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nedviga\01_Python code\Pile_optimisation\"/>
    </mc:Choice>
  </mc:AlternateContent>
  <bookViews>
    <workbookView xWindow="0" yWindow="-165" windowWidth="10275" windowHeight="13170" activeTab="5"/>
  </bookViews>
  <sheets>
    <sheet name="Сз-06927" sheetId="24" r:id="rId1"/>
    <sheet name="Сз-06928" sheetId="31" r:id="rId2"/>
    <sheet name="Сз-06930" sheetId="33" r:id="rId3"/>
    <sheet name="Статистика" sheetId="10" r:id="rId4"/>
    <sheet name="Student" sheetId="11" r:id="rId5"/>
    <sheet name="v_criteria" sheetId="34" r:id="rId6"/>
  </sheets>
  <definedNames>
    <definedName name="_xlnm.Print_Area" localSheetId="0">'Сз-06927'!$B$1:$T$137</definedName>
    <definedName name="_xlnm.Print_Area" localSheetId="1">'Сз-06928'!$B$1:$T$137</definedName>
    <definedName name="_xlnm.Print_Area" localSheetId="2">'Сз-06930'!$B$1:$T$137</definedName>
  </definedNames>
  <calcPr calcId="162913"/>
</workbook>
</file>

<file path=xl/calcChain.xml><?xml version="1.0" encoding="utf-8"?>
<calcChain xmlns="http://schemas.openxmlformats.org/spreadsheetml/2006/main">
  <c r="AI137" i="33" l="1"/>
  <c r="AI136" i="33"/>
  <c r="AI135" i="33"/>
  <c r="AI134" i="33"/>
  <c r="AI133" i="33"/>
  <c r="AI132" i="33"/>
  <c r="AI131" i="33"/>
  <c r="AI130" i="33"/>
  <c r="AI129" i="33"/>
  <c r="AI128" i="33"/>
  <c r="AI127" i="33"/>
  <c r="AI126" i="33"/>
  <c r="AI125" i="33"/>
  <c r="AI124" i="33"/>
  <c r="AI123" i="33"/>
  <c r="AI26" i="33"/>
  <c r="AI25" i="33"/>
  <c r="AI24" i="33"/>
  <c r="AI23" i="33"/>
  <c r="AI22" i="33"/>
  <c r="AI21" i="33"/>
  <c r="AI20" i="33"/>
  <c r="AI19" i="33"/>
  <c r="T8" i="33"/>
  <c r="Q50" i="33"/>
  <c r="T8" i="31"/>
  <c r="T8" i="24"/>
  <c r="B3" i="33"/>
  <c r="T5" i="33"/>
  <c r="T6" i="33"/>
  <c r="Q26" i="33"/>
  <c r="T14" i="33"/>
  <c r="B18" i="33"/>
  <c r="F18" i="33"/>
  <c r="G18" i="33"/>
  <c r="L18" i="33" s="1"/>
  <c r="I18" i="33"/>
  <c r="J18" i="33" s="1"/>
  <c r="N18" i="33"/>
  <c r="O18" i="33"/>
  <c r="B19" i="33"/>
  <c r="I19" i="33"/>
  <c r="J19" i="33" s="1"/>
  <c r="B20" i="33"/>
  <c r="B21" i="33"/>
  <c r="B22" i="33"/>
  <c r="B23" i="33"/>
  <c r="O23" i="33"/>
  <c r="B24" i="33"/>
  <c r="Q24" i="33"/>
  <c r="B25" i="33"/>
  <c r="G25" i="33"/>
  <c r="L25" i="33" s="1"/>
  <c r="B26" i="33"/>
  <c r="B27" i="33"/>
  <c r="O27" i="33"/>
  <c r="B28" i="33"/>
  <c r="Q28" i="33"/>
  <c r="B29" i="33"/>
  <c r="G29" i="33"/>
  <c r="L29" i="33" s="1"/>
  <c r="B30" i="33"/>
  <c r="B31" i="33"/>
  <c r="O31" i="33"/>
  <c r="B32" i="33"/>
  <c r="B33" i="33"/>
  <c r="G33" i="33"/>
  <c r="L33" i="33" s="1"/>
  <c r="B34" i="33"/>
  <c r="B35" i="33"/>
  <c r="O35" i="33"/>
  <c r="B36" i="33"/>
  <c r="B37" i="33"/>
  <c r="G37" i="33"/>
  <c r="L37" i="33" s="1"/>
  <c r="B38" i="33"/>
  <c r="B39" i="33"/>
  <c r="O39" i="33"/>
  <c r="B40" i="33"/>
  <c r="B41" i="33"/>
  <c r="G41" i="33"/>
  <c r="L41" i="33" s="1"/>
  <c r="B42" i="33"/>
  <c r="B43" i="33"/>
  <c r="O43" i="33"/>
  <c r="B44" i="33"/>
  <c r="B45" i="33"/>
  <c r="G45" i="33"/>
  <c r="L45" i="33" s="1"/>
  <c r="B46" i="33"/>
  <c r="B47" i="33"/>
  <c r="O47" i="33"/>
  <c r="B48" i="33"/>
  <c r="B49" i="33"/>
  <c r="B50" i="33"/>
  <c r="B51" i="33"/>
  <c r="B52" i="33"/>
  <c r="Q52" i="33"/>
  <c r="B53" i="33"/>
  <c r="B54" i="33"/>
  <c r="B55" i="33"/>
  <c r="B56" i="33"/>
  <c r="Q56" i="33"/>
  <c r="B57" i="33"/>
  <c r="B58" i="33"/>
  <c r="B59" i="33"/>
  <c r="B60" i="33"/>
  <c r="B61" i="33"/>
  <c r="B62" i="33"/>
  <c r="Q62" i="33"/>
  <c r="B63" i="33"/>
  <c r="B64" i="33"/>
  <c r="Q64" i="33"/>
  <c r="B65" i="33"/>
  <c r="B66" i="33"/>
  <c r="B67" i="33"/>
  <c r="B68" i="33"/>
  <c r="Q68" i="33"/>
  <c r="B69" i="33"/>
  <c r="B70" i="33"/>
  <c r="Q70" i="33"/>
  <c r="B71" i="33"/>
  <c r="B72" i="33"/>
  <c r="Q72" i="33"/>
  <c r="B73" i="33"/>
  <c r="B74" i="33"/>
  <c r="B75" i="33"/>
  <c r="B76" i="33"/>
  <c r="Q76" i="33"/>
  <c r="B77" i="33"/>
  <c r="B78" i="33"/>
  <c r="Q78" i="33"/>
  <c r="B79" i="33"/>
  <c r="B80" i="33"/>
  <c r="Q80" i="33"/>
  <c r="B81" i="33"/>
  <c r="B82" i="33"/>
  <c r="B83" i="33"/>
  <c r="B84" i="33"/>
  <c r="Q84" i="33"/>
  <c r="B85" i="33"/>
  <c r="B86" i="33"/>
  <c r="Q86" i="33"/>
  <c r="B87" i="33"/>
  <c r="B88" i="33"/>
  <c r="Q88" i="33"/>
  <c r="B89" i="33"/>
  <c r="B90" i="33"/>
  <c r="B91" i="33"/>
  <c r="B92" i="33"/>
  <c r="Q92" i="33"/>
  <c r="B93" i="33"/>
  <c r="B94" i="33"/>
  <c r="Q94" i="33"/>
  <c r="B95" i="33"/>
  <c r="B96" i="33"/>
  <c r="Q96" i="33"/>
  <c r="B97" i="33"/>
  <c r="B98" i="33"/>
  <c r="B99" i="33"/>
  <c r="B100" i="33"/>
  <c r="Q100" i="33"/>
  <c r="B101" i="33"/>
  <c r="B102" i="33"/>
  <c r="Q102" i="33"/>
  <c r="B103" i="33"/>
  <c r="B104" i="33"/>
  <c r="Q104" i="33"/>
  <c r="B105" i="33"/>
  <c r="B106" i="33"/>
  <c r="B107" i="33"/>
  <c r="B108" i="33"/>
  <c r="Q108" i="33"/>
  <c r="B109" i="33"/>
  <c r="B110" i="33"/>
  <c r="Q110" i="33"/>
  <c r="B111" i="33"/>
  <c r="B112" i="33"/>
  <c r="Q112" i="33"/>
  <c r="B113" i="33"/>
  <c r="B114" i="33"/>
  <c r="B115" i="33"/>
  <c r="B116" i="33"/>
  <c r="Q116" i="33"/>
  <c r="B117" i="33"/>
  <c r="B118" i="33"/>
  <c r="Q118" i="33"/>
  <c r="B119" i="33"/>
  <c r="B120" i="33"/>
  <c r="Q120" i="33"/>
  <c r="B121" i="33"/>
  <c r="B122" i="33"/>
  <c r="B123" i="33"/>
  <c r="Q123" i="33"/>
  <c r="B124" i="33"/>
  <c r="Q124" i="33"/>
  <c r="V124" i="33"/>
  <c r="B125" i="33"/>
  <c r="Q125" i="33"/>
  <c r="B126" i="33"/>
  <c r="Q126" i="33"/>
  <c r="S126" i="33"/>
  <c r="B127" i="33"/>
  <c r="Q127" i="33"/>
  <c r="B128" i="33"/>
  <c r="Q128" i="33"/>
  <c r="V128" i="33"/>
  <c r="B129" i="33"/>
  <c r="Q129" i="33"/>
  <c r="B130" i="33"/>
  <c r="Q130" i="33"/>
  <c r="S130" i="33"/>
  <c r="B131" i="33"/>
  <c r="Q131" i="33"/>
  <c r="B132" i="33"/>
  <c r="Q132" i="33"/>
  <c r="V132" i="33"/>
  <c r="B133" i="33"/>
  <c r="Q133" i="33"/>
  <c r="B134" i="33"/>
  <c r="Q134" i="33"/>
  <c r="S134" i="33"/>
  <c r="B135" i="33"/>
  <c r="Q135" i="33"/>
  <c r="Q136" i="33"/>
  <c r="T136" i="33"/>
  <c r="Q137" i="33"/>
  <c r="V137" i="33"/>
  <c r="AA19" i="33"/>
  <c r="AD19" i="33"/>
  <c r="F20" i="33"/>
  <c r="G20" i="33"/>
  <c r="L20" i="33" s="1"/>
  <c r="I20" i="33"/>
  <c r="J20" i="33" s="1"/>
  <c r="N20" i="33"/>
  <c r="O20" i="33"/>
  <c r="AA20" i="33"/>
  <c r="AC20" i="33"/>
  <c r="AH20" i="33"/>
  <c r="N21" i="33"/>
  <c r="O21" i="33"/>
  <c r="AC21" i="33"/>
  <c r="AF21" i="33"/>
  <c r="AD21" i="33"/>
  <c r="AH21" i="33"/>
  <c r="F22" i="33"/>
  <c r="G22" i="33"/>
  <c r="L22" i="33" s="1"/>
  <c r="I22" i="33"/>
  <c r="J22" i="33" s="1"/>
  <c r="N22" i="33"/>
  <c r="O22" i="33"/>
  <c r="Z22" i="33"/>
  <c r="AA22" i="33"/>
  <c r="AH22" i="33"/>
  <c r="F23" i="33"/>
  <c r="AA23" i="33"/>
  <c r="AC23" i="33"/>
  <c r="F24" i="33"/>
  <c r="G24" i="33"/>
  <c r="L24" i="33" s="1"/>
  <c r="I24" i="33"/>
  <c r="J24" i="33" s="1"/>
  <c r="N24" i="33"/>
  <c r="O24" i="33"/>
  <c r="Z24" i="33"/>
  <c r="AA24" i="33"/>
  <c r="AH24" i="33"/>
  <c r="F25" i="33"/>
  <c r="N25" i="33"/>
  <c r="O25" i="33"/>
  <c r="Z25" i="33"/>
  <c r="AC25" i="33"/>
  <c r="AD25" i="33"/>
  <c r="AH25" i="33"/>
  <c r="F26" i="33"/>
  <c r="G26" i="33"/>
  <c r="L26" i="33" s="1"/>
  <c r="I26" i="33"/>
  <c r="J26" i="33" s="1"/>
  <c r="N26" i="33"/>
  <c r="O26" i="33"/>
  <c r="Z26" i="33"/>
  <c r="AA26" i="33"/>
  <c r="AC26" i="33"/>
  <c r="AF26" i="33"/>
  <c r="AH26" i="33"/>
  <c r="F27" i="33"/>
  <c r="G27" i="33"/>
  <c r="L27" i="33" s="1"/>
  <c r="N27" i="33"/>
  <c r="Z27" i="33"/>
  <c r="AA27" i="33"/>
  <c r="AD27" i="33"/>
  <c r="AH27" i="33"/>
  <c r="F28" i="33"/>
  <c r="G28" i="33"/>
  <c r="L28" i="33" s="1"/>
  <c r="I28" i="33"/>
  <c r="J28" i="33" s="1"/>
  <c r="R28" i="33" s="1"/>
  <c r="N28" i="33"/>
  <c r="O28" i="33"/>
  <c r="Z28" i="33"/>
  <c r="AA28" i="33"/>
  <c r="AC28" i="33"/>
  <c r="AF28" i="33"/>
  <c r="AD28" i="33"/>
  <c r="AH28" i="33"/>
  <c r="F29" i="33"/>
  <c r="I29" i="33"/>
  <c r="J29" i="33" s="1"/>
  <c r="R29" i="33" s="1"/>
  <c r="N29" i="33"/>
  <c r="O29" i="33"/>
  <c r="Z29" i="33"/>
  <c r="AA29" i="33"/>
  <c r="AC29" i="33"/>
  <c r="AD29" i="33"/>
  <c r="AH29" i="33"/>
  <c r="F30" i="33"/>
  <c r="G30" i="33"/>
  <c r="L30" i="33" s="1"/>
  <c r="I30" i="33"/>
  <c r="J30" i="33" s="1"/>
  <c r="R30" i="33" s="1"/>
  <c r="N30" i="33"/>
  <c r="O30" i="33"/>
  <c r="Z30" i="33"/>
  <c r="AA30" i="33"/>
  <c r="AC30" i="33"/>
  <c r="AD30" i="33"/>
  <c r="AF30" i="33"/>
  <c r="AH30" i="33"/>
  <c r="G31" i="33"/>
  <c r="L31" i="33" s="1"/>
  <c r="I31" i="33"/>
  <c r="J31" i="33" s="1"/>
  <c r="R31" i="33" s="1"/>
  <c r="N31" i="33"/>
  <c r="Z31" i="33"/>
  <c r="AA31" i="33"/>
  <c r="AC31" i="33"/>
  <c r="AD31" i="33"/>
  <c r="AF31" i="33"/>
  <c r="AH31" i="33"/>
  <c r="F32" i="33"/>
  <c r="G32" i="33"/>
  <c r="L32" i="33" s="1"/>
  <c r="I32" i="33"/>
  <c r="J32" i="33" s="1"/>
  <c r="R32" i="33" s="1"/>
  <c r="N32" i="33"/>
  <c r="O32" i="33"/>
  <c r="Z32" i="33"/>
  <c r="AA32" i="33"/>
  <c r="AC32" i="33"/>
  <c r="AD32" i="33"/>
  <c r="AH32" i="33"/>
  <c r="F33" i="33"/>
  <c r="I33" i="33"/>
  <c r="J33" i="33" s="1"/>
  <c r="N33" i="33"/>
  <c r="O33" i="33"/>
  <c r="Z33" i="33"/>
  <c r="AA33" i="33"/>
  <c r="AC33" i="33"/>
  <c r="AD33" i="33"/>
  <c r="AH33" i="33"/>
  <c r="F34" i="33"/>
  <c r="G34" i="33"/>
  <c r="L34" i="33" s="1"/>
  <c r="I34" i="33"/>
  <c r="J34" i="33" s="1"/>
  <c r="N34" i="33"/>
  <c r="O34" i="33"/>
  <c r="Z34" i="33"/>
  <c r="AA34" i="33"/>
  <c r="AC34" i="33"/>
  <c r="AF34" i="33"/>
  <c r="AD34" i="33"/>
  <c r="AH34" i="33"/>
  <c r="F35" i="33"/>
  <c r="G35" i="33"/>
  <c r="L35" i="33" s="1"/>
  <c r="I35" i="33"/>
  <c r="J35" i="33" s="1"/>
  <c r="R35" i="33" s="1"/>
  <c r="N35" i="33"/>
  <c r="Z35" i="33"/>
  <c r="AA35" i="33"/>
  <c r="AC35" i="33"/>
  <c r="AD35" i="33"/>
  <c r="AH35" i="33"/>
  <c r="F36" i="33"/>
  <c r="G36" i="33"/>
  <c r="L36" i="33" s="1"/>
  <c r="I36" i="33"/>
  <c r="J36" i="33" s="1"/>
  <c r="R36" i="33" s="1"/>
  <c r="N36" i="33"/>
  <c r="O36" i="33"/>
  <c r="Z36" i="33"/>
  <c r="AA36" i="33"/>
  <c r="AC36" i="33"/>
  <c r="AD36" i="33"/>
  <c r="AF36" i="33"/>
  <c r="AH36" i="33"/>
  <c r="F37" i="33"/>
  <c r="I37" i="33"/>
  <c r="J37" i="33" s="1"/>
  <c r="R37" i="33" s="1"/>
  <c r="N37" i="33"/>
  <c r="O37" i="33"/>
  <c r="Z37" i="33"/>
  <c r="AA37" i="33"/>
  <c r="AC37" i="33"/>
  <c r="AF37" i="33"/>
  <c r="AD37" i="33"/>
  <c r="AH37" i="33"/>
  <c r="F38" i="33"/>
  <c r="G38" i="33"/>
  <c r="L38" i="33" s="1"/>
  <c r="M38" i="33" s="1"/>
  <c r="I38" i="33"/>
  <c r="J38" i="33" s="1"/>
  <c r="R38" i="33" s="1"/>
  <c r="N38" i="33"/>
  <c r="O38" i="33"/>
  <c r="Z38" i="33"/>
  <c r="AA38" i="33"/>
  <c r="AC38" i="33"/>
  <c r="AD38" i="33"/>
  <c r="AH38" i="33"/>
  <c r="F39" i="33"/>
  <c r="G39" i="33"/>
  <c r="L39" i="33" s="1"/>
  <c r="I39" i="33"/>
  <c r="J39" i="33" s="1"/>
  <c r="R39" i="33" s="1"/>
  <c r="N39" i="33"/>
  <c r="Z39" i="33"/>
  <c r="AA39" i="33"/>
  <c r="AC39" i="33"/>
  <c r="AD39" i="33"/>
  <c r="AF39" i="33"/>
  <c r="AH39" i="33"/>
  <c r="F40" i="33"/>
  <c r="G40" i="33"/>
  <c r="L40" i="33" s="1"/>
  <c r="I40" i="33"/>
  <c r="J40" i="33" s="1"/>
  <c r="R40" i="33" s="1"/>
  <c r="N40" i="33"/>
  <c r="O40" i="33"/>
  <c r="Z40" i="33"/>
  <c r="AA40" i="33"/>
  <c r="AC40" i="33"/>
  <c r="AD40" i="33"/>
  <c r="AH40" i="33"/>
  <c r="F41" i="33"/>
  <c r="I41" i="33"/>
  <c r="J41" i="33" s="1"/>
  <c r="N41" i="33"/>
  <c r="O41" i="33"/>
  <c r="Z41" i="33"/>
  <c r="AA41" i="33"/>
  <c r="AC41" i="33"/>
  <c r="AD41" i="33"/>
  <c r="AH41" i="33"/>
  <c r="F42" i="33"/>
  <c r="G42" i="33"/>
  <c r="L42" i="33" s="1"/>
  <c r="I42" i="33"/>
  <c r="J42" i="33" s="1"/>
  <c r="R42" i="33" s="1"/>
  <c r="N42" i="33"/>
  <c r="O42" i="33"/>
  <c r="Z42" i="33"/>
  <c r="AA42" i="33"/>
  <c r="AC42" i="33"/>
  <c r="AF42" i="33"/>
  <c r="AD42" i="33"/>
  <c r="AH42" i="33"/>
  <c r="F43" i="33"/>
  <c r="G43" i="33"/>
  <c r="L43" i="33" s="1"/>
  <c r="I43" i="33"/>
  <c r="J43" i="33" s="1"/>
  <c r="R43" i="33" s="1"/>
  <c r="N43" i="33"/>
  <c r="Z43" i="33"/>
  <c r="AA43" i="33"/>
  <c r="AC43" i="33"/>
  <c r="AD43" i="33"/>
  <c r="AH43" i="33"/>
  <c r="F44" i="33"/>
  <c r="G44" i="33"/>
  <c r="L44" i="33" s="1"/>
  <c r="I44" i="33"/>
  <c r="J44" i="33" s="1"/>
  <c r="R44" i="33" s="1"/>
  <c r="N44" i="33"/>
  <c r="O44" i="33"/>
  <c r="Z44" i="33"/>
  <c r="AA44" i="33"/>
  <c r="AC44" i="33"/>
  <c r="AD44" i="33"/>
  <c r="AF44" i="33"/>
  <c r="AH44" i="33"/>
  <c r="F45" i="33"/>
  <c r="I45" i="33"/>
  <c r="J45" i="33" s="1"/>
  <c r="R45" i="33" s="1"/>
  <c r="N45" i="33"/>
  <c r="O45" i="33"/>
  <c r="Z45" i="33"/>
  <c r="AA45" i="33"/>
  <c r="AC45" i="33"/>
  <c r="AF45" i="33"/>
  <c r="AD45" i="33"/>
  <c r="AH45" i="33"/>
  <c r="F46" i="33"/>
  <c r="G46" i="33"/>
  <c r="L46" i="33" s="1"/>
  <c r="I46" i="33"/>
  <c r="J46" i="33" s="1"/>
  <c r="R46" i="33" s="1"/>
  <c r="N46" i="33"/>
  <c r="O46" i="33"/>
  <c r="Z46" i="33"/>
  <c r="AA46" i="33"/>
  <c r="AC46" i="33"/>
  <c r="AD46" i="33"/>
  <c r="AH46" i="33"/>
  <c r="F47" i="33"/>
  <c r="G47" i="33"/>
  <c r="L47" i="33" s="1"/>
  <c r="I47" i="33"/>
  <c r="J47" i="33" s="1"/>
  <c r="R47" i="33" s="1"/>
  <c r="N47" i="33"/>
  <c r="Z47" i="33"/>
  <c r="AA47" i="33"/>
  <c r="AC47" i="33"/>
  <c r="AD47" i="33"/>
  <c r="AH47" i="33"/>
  <c r="F48" i="33"/>
  <c r="G48" i="33"/>
  <c r="L48" i="33" s="1"/>
  <c r="I48" i="33"/>
  <c r="J48" i="33" s="1"/>
  <c r="R48" i="33" s="1"/>
  <c r="N48" i="33"/>
  <c r="O48" i="33"/>
  <c r="Z48" i="33"/>
  <c r="AA48" i="33"/>
  <c r="AC48" i="33"/>
  <c r="AD48" i="33"/>
  <c r="AF48" i="33"/>
  <c r="AH48" i="33"/>
  <c r="F49" i="33"/>
  <c r="G49" i="33"/>
  <c r="L49" i="33" s="1"/>
  <c r="I49" i="33"/>
  <c r="J49" i="33" s="1"/>
  <c r="R49" i="33" s="1"/>
  <c r="N49" i="33"/>
  <c r="O49" i="33"/>
  <c r="Z49" i="33"/>
  <c r="AA49" i="33"/>
  <c r="AC49" i="33"/>
  <c r="AF49" i="33"/>
  <c r="AD49" i="33"/>
  <c r="AH49" i="33"/>
  <c r="F50" i="33"/>
  <c r="G50" i="33"/>
  <c r="L50" i="33" s="1"/>
  <c r="I50" i="33"/>
  <c r="J50" i="33" s="1"/>
  <c r="R50" i="33" s="1"/>
  <c r="N50" i="33"/>
  <c r="O50" i="33"/>
  <c r="Z50" i="33"/>
  <c r="AA50" i="33"/>
  <c r="AC50" i="33"/>
  <c r="AD50" i="33"/>
  <c r="AH50" i="33"/>
  <c r="F51" i="33"/>
  <c r="G51" i="33"/>
  <c r="L51" i="33" s="1"/>
  <c r="I51" i="33"/>
  <c r="J51" i="33" s="1"/>
  <c r="R51" i="33" s="1"/>
  <c r="N51" i="33"/>
  <c r="O51" i="33"/>
  <c r="Z51" i="33"/>
  <c r="AA51" i="33"/>
  <c r="AC51" i="33"/>
  <c r="AF51" i="33"/>
  <c r="AD51" i="33"/>
  <c r="AH51" i="33"/>
  <c r="F52" i="33"/>
  <c r="G52" i="33"/>
  <c r="L52" i="33" s="1"/>
  <c r="I52" i="33"/>
  <c r="J52" i="33" s="1"/>
  <c r="R52" i="33" s="1"/>
  <c r="N52" i="33"/>
  <c r="O52" i="33"/>
  <c r="Z52" i="33"/>
  <c r="AA52" i="33"/>
  <c r="AC52" i="33"/>
  <c r="AD52" i="33"/>
  <c r="AH52" i="33"/>
  <c r="F53" i="33"/>
  <c r="G53" i="33"/>
  <c r="L53" i="33" s="1"/>
  <c r="I53" i="33"/>
  <c r="J53" i="33" s="1"/>
  <c r="R53" i="33" s="1"/>
  <c r="N53" i="33"/>
  <c r="O53" i="33"/>
  <c r="Z53" i="33"/>
  <c r="AA53" i="33"/>
  <c r="AC53" i="33"/>
  <c r="AF53" i="33"/>
  <c r="AD53" i="33"/>
  <c r="AH53" i="33"/>
  <c r="F54" i="33"/>
  <c r="G54" i="33"/>
  <c r="L54" i="33" s="1"/>
  <c r="I54" i="33"/>
  <c r="J54" i="33" s="1"/>
  <c r="R54" i="33" s="1"/>
  <c r="N54" i="33"/>
  <c r="O54" i="33"/>
  <c r="Z54" i="33"/>
  <c r="AA54" i="33"/>
  <c r="AC54" i="33"/>
  <c r="AD54" i="33"/>
  <c r="AH54" i="33"/>
  <c r="F55" i="33"/>
  <c r="G55" i="33"/>
  <c r="L55" i="33" s="1"/>
  <c r="I55" i="33"/>
  <c r="J55" i="33" s="1"/>
  <c r="R55" i="33" s="1"/>
  <c r="N55" i="33"/>
  <c r="O55" i="33"/>
  <c r="Z55" i="33"/>
  <c r="AA55" i="33"/>
  <c r="AC55" i="33"/>
  <c r="AF55" i="33"/>
  <c r="AD55" i="33"/>
  <c r="AH55" i="33"/>
  <c r="F56" i="33"/>
  <c r="G56" i="33"/>
  <c r="L56" i="33" s="1"/>
  <c r="I56" i="33"/>
  <c r="J56" i="33" s="1"/>
  <c r="R56" i="33" s="1"/>
  <c r="N56" i="33"/>
  <c r="O56" i="33"/>
  <c r="Z56" i="33"/>
  <c r="AA56" i="33"/>
  <c r="AC56" i="33"/>
  <c r="AD56" i="33"/>
  <c r="AH56" i="33"/>
  <c r="F57" i="33"/>
  <c r="G57" i="33"/>
  <c r="L57" i="33" s="1"/>
  <c r="I57" i="33"/>
  <c r="J57" i="33" s="1"/>
  <c r="R57" i="33" s="1"/>
  <c r="N57" i="33"/>
  <c r="O57" i="33"/>
  <c r="Z57" i="33"/>
  <c r="AA57" i="33"/>
  <c r="AC57" i="33"/>
  <c r="AD57" i="33"/>
  <c r="AH57" i="33"/>
  <c r="F58" i="33"/>
  <c r="G58" i="33"/>
  <c r="L58" i="33" s="1"/>
  <c r="I58" i="33"/>
  <c r="J58" i="33" s="1"/>
  <c r="R58" i="33" s="1"/>
  <c r="N58" i="33"/>
  <c r="O58" i="33"/>
  <c r="Z58" i="33"/>
  <c r="AA58" i="33"/>
  <c r="AC58" i="33"/>
  <c r="AD58" i="33"/>
  <c r="AF58" i="33"/>
  <c r="AH58" i="33"/>
  <c r="F59" i="33"/>
  <c r="G59" i="33"/>
  <c r="L59" i="33" s="1"/>
  <c r="I59" i="33"/>
  <c r="J59" i="33" s="1"/>
  <c r="R59" i="33" s="1"/>
  <c r="N59" i="33"/>
  <c r="O59" i="33"/>
  <c r="Z59" i="33"/>
  <c r="AA59" i="33"/>
  <c r="AC59" i="33"/>
  <c r="AF59" i="33"/>
  <c r="AD59" i="33"/>
  <c r="AH59" i="33"/>
  <c r="F60" i="33"/>
  <c r="G60" i="33"/>
  <c r="L60" i="33" s="1"/>
  <c r="I60" i="33"/>
  <c r="J60" i="33" s="1"/>
  <c r="R60" i="33" s="1"/>
  <c r="N60" i="33"/>
  <c r="O60" i="33"/>
  <c r="Z60" i="33"/>
  <c r="AA60" i="33"/>
  <c r="AC60" i="33"/>
  <c r="AD60" i="33"/>
  <c r="AH60" i="33"/>
  <c r="F61" i="33"/>
  <c r="G61" i="33"/>
  <c r="L61" i="33" s="1"/>
  <c r="I61" i="33"/>
  <c r="J61" i="33" s="1"/>
  <c r="R61" i="33" s="1"/>
  <c r="N61" i="33"/>
  <c r="O61" i="33"/>
  <c r="Z61" i="33"/>
  <c r="AA61" i="33"/>
  <c r="AC61" i="33"/>
  <c r="AF61" i="33"/>
  <c r="AD61" i="33"/>
  <c r="AH61" i="33"/>
  <c r="F62" i="33"/>
  <c r="G62" i="33"/>
  <c r="L62" i="33" s="1"/>
  <c r="I62" i="33"/>
  <c r="J62" i="33" s="1"/>
  <c r="N62" i="33"/>
  <c r="O62" i="33"/>
  <c r="Z62" i="33"/>
  <c r="AA62" i="33"/>
  <c r="AC62" i="33"/>
  <c r="AD62" i="33"/>
  <c r="AH62" i="33"/>
  <c r="F63" i="33"/>
  <c r="G63" i="33"/>
  <c r="L63" i="33" s="1"/>
  <c r="I63" i="33"/>
  <c r="J63" i="33" s="1"/>
  <c r="R63" i="33" s="1"/>
  <c r="N63" i="33"/>
  <c r="O63" i="33"/>
  <c r="Z63" i="33"/>
  <c r="AA63" i="33"/>
  <c r="AC63" i="33"/>
  <c r="AF63" i="33"/>
  <c r="AD63" i="33"/>
  <c r="AH63" i="33"/>
  <c r="F64" i="33"/>
  <c r="G64" i="33"/>
  <c r="L64" i="33" s="1"/>
  <c r="I64" i="33"/>
  <c r="J64" i="33" s="1"/>
  <c r="R64" i="33" s="1"/>
  <c r="N64" i="33"/>
  <c r="O64" i="33"/>
  <c r="Z64" i="33"/>
  <c r="AA64" i="33"/>
  <c r="AC64" i="33"/>
  <c r="AD64" i="33"/>
  <c r="AH64" i="33"/>
  <c r="F65" i="33"/>
  <c r="G65" i="33"/>
  <c r="L65" i="33" s="1"/>
  <c r="I65" i="33"/>
  <c r="J65" i="33" s="1"/>
  <c r="R65" i="33" s="1"/>
  <c r="N65" i="33"/>
  <c r="O65" i="33"/>
  <c r="Z65" i="33"/>
  <c r="AA65" i="33"/>
  <c r="AC65" i="33"/>
  <c r="AF65" i="33"/>
  <c r="AD65" i="33"/>
  <c r="AH65" i="33"/>
  <c r="F66" i="33"/>
  <c r="G66" i="33"/>
  <c r="L66" i="33" s="1"/>
  <c r="I66" i="33"/>
  <c r="J66" i="33" s="1"/>
  <c r="R66" i="33" s="1"/>
  <c r="N66" i="33"/>
  <c r="O66" i="33"/>
  <c r="Z66" i="33"/>
  <c r="AA66" i="33"/>
  <c r="AC66" i="33"/>
  <c r="AD66" i="33"/>
  <c r="AH66" i="33"/>
  <c r="F67" i="33"/>
  <c r="G67" i="33"/>
  <c r="L67" i="33" s="1"/>
  <c r="I67" i="33"/>
  <c r="J67" i="33" s="1"/>
  <c r="R67" i="33" s="1"/>
  <c r="N67" i="33"/>
  <c r="O67" i="33"/>
  <c r="Z67" i="33"/>
  <c r="AA67" i="33"/>
  <c r="AC67" i="33"/>
  <c r="AF67" i="33"/>
  <c r="AD67" i="33"/>
  <c r="AH67" i="33"/>
  <c r="F68" i="33"/>
  <c r="G68" i="33"/>
  <c r="L68" i="33" s="1"/>
  <c r="I68" i="33"/>
  <c r="J68" i="33" s="1"/>
  <c r="R68" i="33" s="1"/>
  <c r="N68" i="33"/>
  <c r="O68" i="33"/>
  <c r="Z68" i="33"/>
  <c r="AA68" i="33"/>
  <c r="AC68" i="33"/>
  <c r="AD68" i="33"/>
  <c r="AH68" i="33"/>
  <c r="F69" i="33"/>
  <c r="G69" i="33"/>
  <c r="L69" i="33" s="1"/>
  <c r="I69" i="33"/>
  <c r="J69" i="33" s="1"/>
  <c r="R69" i="33" s="1"/>
  <c r="N69" i="33"/>
  <c r="O69" i="33"/>
  <c r="Z69" i="33"/>
  <c r="AA69" i="33"/>
  <c r="AC69" i="33"/>
  <c r="AD69" i="33"/>
  <c r="AH69" i="33"/>
  <c r="F70" i="33"/>
  <c r="G70" i="33"/>
  <c r="L70" i="33" s="1"/>
  <c r="I70" i="33"/>
  <c r="J70" i="33" s="1"/>
  <c r="R70" i="33" s="1"/>
  <c r="N70" i="33"/>
  <c r="O70" i="33"/>
  <c r="Z70" i="33"/>
  <c r="AA70" i="33"/>
  <c r="AC70" i="33"/>
  <c r="AD70" i="33"/>
  <c r="AH70" i="33"/>
  <c r="F71" i="33"/>
  <c r="G71" i="33"/>
  <c r="L71" i="33" s="1"/>
  <c r="I71" i="33"/>
  <c r="J71" i="33" s="1"/>
  <c r="R71" i="33" s="1"/>
  <c r="N71" i="33"/>
  <c r="O71" i="33"/>
  <c r="Z71" i="33"/>
  <c r="AA71" i="33"/>
  <c r="AC71" i="33"/>
  <c r="AF71" i="33"/>
  <c r="AD71" i="33"/>
  <c r="AH71" i="33"/>
  <c r="F72" i="33"/>
  <c r="G72" i="33"/>
  <c r="L72" i="33" s="1"/>
  <c r="I72" i="33"/>
  <c r="J72" i="33" s="1"/>
  <c r="R72" i="33" s="1"/>
  <c r="N72" i="33"/>
  <c r="O72" i="33"/>
  <c r="Z72" i="33"/>
  <c r="AA72" i="33"/>
  <c r="AC72" i="33"/>
  <c r="AD72" i="33"/>
  <c r="AH72" i="33"/>
  <c r="F73" i="33"/>
  <c r="G73" i="33"/>
  <c r="L73" i="33" s="1"/>
  <c r="I73" i="33"/>
  <c r="J73" i="33" s="1"/>
  <c r="R73" i="33" s="1"/>
  <c r="N73" i="33"/>
  <c r="O73" i="33"/>
  <c r="Z73" i="33"/>
  <c r="AA73" i="33"/>
  <c r="AC73" i="33"/>
  <c r="AF73" i="33"/>
  <c r="AD73" i="33"/>
  <c r="AH73" i="33"/>
  <c r="F74" i="33"/>
  <c r="G74" i="33"/>
  <c r="L74" i="33" s="1"/>
  <c r="I74" i="33"/>
  <c r="J74" i="33" s="1"/>
  <c r="R74" i="33" s="1"/>
  <c r="N74" i="33"/>
  <c r="O74" i="33"/>
  <c r="Z74" i="33"/>
  <c r="AA74" i="33"/>
  <c r="AC74" i="33"/>
  <c r="AD74" i="33"/>
  <c r="AH74" i="33"/>
  <c r="F75" i="33"/>
  <c r="G75" i="33"/>
  <c r="L75" i="33" s="1"/>
  <c r="I75" i="33"/>
  <c r="J75" i="33" s="1"/>
  <c r="R75" i="33" s="1"/>
  <c r="N75" i="33"/>
  <c r="O75" i="33"/>
  <c r="Z75" i="33"/>
  <c r="AA75" i="33"/>
  <c r="AC75" i="33"/>
  <c r="AF75" i="33"/>
  <c r="AD75" i="33"/>
  <c r="AH75" i="33"/>
  <c r="F76" i="33"/>
  <c r="G76" i="33"/>
  <c r="L76" i="33" s="1"/>
  <c r="I76" i="33"/>
  <c r="J76" i="33" s="1"/>
  <c r="R76" i="33" s="1"/>
  <c r="N76" i="33"/>
  <c r="O76" i="33"/>
  <c r="Z76" i="33"/>
  <c r="AA76" i="33"/>
  <c r="AC76" i="33"/>
  <c r="AD76" i="33"/>
  <c r="AH76" i="33"/>
  <c r="F77" i="33"/>
  <c r="G77" i="33"/>
  <c r="L77" i="33" s="1"/>
  <c r="I77" i="33"/>
  <c r="J77" i="33" s="1"/>
  <c r="N77" i="33"/>
  <c r="O77" i="33"/>
  <c r="Z77" i="33"/>
  <c r="AA77" i="33"/>
  <c r="AC77" i="33"/>
  <c r="AD77" i="33"/>
  <c r="AH77" i="33"/>
  <c r="F78" i="33"/>
  <c r="G78" i="33"/>
  <c r="L78" i="33" s="1"/>
  <c r="I78" i="33"/>
  <c r="J78" i="33" s="1"/>
  <c r="N78" i="33"/>
  <c r="O78" i="33"/>
  <c r="Z78" i="33"/>
  <c r="AA78" i="33"/>
  <c r="AC78" i="33"/>
  <c r="AD78" i="33"/>
  <c r="AH78" i="33"/>
  <c r="F79" i="33"/>
  <c r="G79" i="33"/>
  <c r="L79" i="33" s="1"/>
  <c r="I79" i="33"/>
  <c r="J79" i="33" s="1"/>
  <c r="R79" i="33" s="1"/>
  <c r="N79" i="33"/>
  <c r="O79" i="33"/>
  <c r="Z79" i="33"/>
  <c r="AA79" i="33"/>
  <c r="AC79" i="33"/>
  <c r="AF79" i="33"/>
  <c r="AD79" i="33"/>
  <c r="AH79" i="33"/>
  <c r="F80" i="33"/>
  <c r="G80" i="33"/>
  <c r="L80" i="33" s="1"/>
  <c r="I80" i="33"/>
  <c r="J80" i="33" s="1"/>
  <c r="R80" i="33" s="1"/>
  <c r="N80" i="33"/>
  <c r="O80" i="33"/>
  <c r="Z80" i="33"/>
  <c r="AA80" i="33"/>
  <c r="AC80" i="33"/>
  <c r="AD80" i="33"/>
  <c r="AH80" i="33"/>
  <c r="F81" i="33"/>
  <c r="G81" i="33"/>
  <c r="L81" i="33" s="1"/>
  <c r="I81" i="33"/>
  <c r="J81" i="33" s="1"/>
  <c r="R81" i="33" s="1"/>
  <c r="N81" i="33"/>
  <c r="O81" i="33"/>
  <c r="Z81" i="33"/>
  <c r="AA81" i="33"/>
  <c r="AC81" i="33"/>
  <c r="AF81" i="33"/>
  <c r="AD81" i="33"/>
  <c r="AH81" i="33"/>
  <c r="F82" i="33"/>
  <c r="G82" i="33"/>
  <c r="L82" i="33" s="1"/>
  <c r="I82" i="33"/>
  <c r="J82" i="33" s="1"/>
  <c r="R82" i="33" s="1"/>
  <c r="N82" i="33"/>
  <c r="O82" i="33"/>
  <c r="Z82" i="33"/>
  <c r="AA82" i="33"/>
  <c r="AC82" i="33"/>
  <c r="AD82" i="33"/>
  <c r="AH82" i="33"/>
  <c r="F83" i="33"/>
  <c r="G83" i="33"/>
  <c r="L83" i="33" s="1"/>
  <c r="I83" i="33"/>
  <c r="J83" i="33" s="1"/>
  <c r="R83" i="33" s="1"/>
  <c r="N83" i="33"/>
  <c r="O83" i="33"/>
  <c r="Z83" i="33"/>
  <c r="AA83" i="33"/>
  <c r="AC83" i="33"/>
  <c r="AF83" i="33"/>
  <c r="AD83" i="33"/>
  <c r="AH83" i="33"/>
  <c r="F84" i="33"/>
  <c r="G84" i="33"/>
  <c r="L84" i="33" s="1"/>
  <c r="I84" i="33"/>
  <c r="J84" i="33" s="1"/>
  <c r="R84" i="33" s="1"/>
  <c r="N84" i="33"/>
  <c r="O84" i="33"/>
  <c r="Z84" i="33"/>
  <c r="AA84" i="33"/>
  <c r="AC84" i="33"/>
  <c r="AD84" i="33"/>
  <c r="AH84" i="33"/>
  <c r="F85" i="33"/>
  <c r="G85" i="33"/>
  <c r="L85" i="33" s="1"/>
  <c r="I85" i="33"/>
  <c r="J85" i="33" s="1"/>
  <c r="R85" i="33" s="1"/>
  <c r="N85" i="33"/>
  <c r="O85" i="33"/>
  <c r="Z85" i="33"/>
  <c r="AA85" i="33"/>
  <c r="AC85" i="33"/>
  <c r="AF85" i="33"/>
  <c r="AD85" i="33"/>
  <c r="AH85" i="33"/>
  <c r="F86" i="33"/>
  <c r="G86" i="33"/>
  <c r="L86" i="33" s="1"/>
  <c r="I86" i="33"/>
  <c r="J86" i="33" s="1"/>
  <c r="R86" i="33" s="1"/>
  <c r="N86" i="33"/>
  <c r="O86" i="33"/>
  <c r="Z86" i="33"/>
  <c r="AA86" i="33"/>
  <c r="AC86" i="33"/>
  <c r="AD86" i="33"/>
  <c r="AH86" i="33"/>
  <c r="F87" i="33"/>
  <c r="G87" i="33"/>
  <c r="L87" i="33" s="1"/>
  <c r="I87" i="33"/>
  <c r="J87" i="33" s="1"/>
  <c r="R87" i="33" s="1"/>
  <c r="N87" i="33"/>
  <c r="O87" i="33"/>
  <c r="Z87" i="33"/>
  <c r="AA87" i="33"/>
  <c r="AC87" i="33"/>
  <c r="AF87" i="33"/>
  <c r="AD87" i="33"/>
  <c r="AH87" i="33"/>
  <c r="F88" i="33"/>
  <c r="G88" i="33"/>
  <c r="L88" i="33" s="1"/>
  <c r="I88" i="33"/>
  <c r="J88" i="33" s="1"/>
  <c r="R88" i="33" s="1"/>
  <c r="N88" i="33"/>
  <c r="O88" i="33"/>
  <c r="Z88" i="33"/>
  <c r="AA88" i="33"/>
  <c r="AC88" i="33"/>
  <c r="AD88" i="33"/>
  <c r="AH88" i="33"/>
  <c r="F89" i="33"/>
  <c r="G89" i="33"/>
  <c r="L89" i="33" s="1"/>
  <c r="I89" i="33"/>
  <c r="J89" i="33" s="1"/>
  <c r="R89" i="33" s="1"/>
  <c r="N89" i="33"/>
  <c r="O89" i="33"/>
  <c r="Z89" i="33"/>
  <c r="AA89" i="33"/>
  <c r="AC89" i="33"/>
  <c r="AD89" i="33"/>
  <c r="AH89" i="33"/>
  <c r="F90" i="33"/>
  <c r="G90" i="33"/>
  <c r="L90" i="33" s="1"/>
  <c r="I90" i="33"/>
  <c r="J90" i="33" s="1"/>
  <c r="R90" i="33" s="1"/>
  <c r="N90" i="33"/>
  <c r="O90" i="33"/>
  <c r="Z90" i="33"/>
  <c r="AA90" i="33"/>
  <c r="AC90" i="33"/>
  <c r="AD90" i="33"/>
  <c r="AF90" i="33"/>
  <c r="AH90" i="33"/>
  <c r="F91" i="33"/>
  <c r="G91" i="33"/>
  <c r="L91" i="33" s="1"/>
  <c r="I91" i="33"/>
  <c r="J91" i="33" s="1"/>
  <c r="R91" i="33" s="1"/>
  <c r="N91" i="33"/>
  <c r="O91" i="33"/>
  <c r="Z91" i="33"/>
  <c r="AA91" i="33"/>
  <c r="AC91" i="33"/>
  <c r="AD91" i="33"/>
  <c r="AH91" i="33"/>
  <c r="F92" i="33"/>
  <c r="G92" i="33"/>
  <c r="L92" i="33" s="1"/>
  <c r="I92" i="33"/>
  <c r="J92" i="33" s="1"/>
  <c r="R92" i="33" s="1"/>
  <c r="N92" i="33"/>
  <c r="O92" i="33"/>
  <c r="Z92" i="33"/>
  <c r="AA92" i="33"/>
  <c r="AC92" i="33"/>
  <c r="AD92" i="33"/>
  <c r="AF92" i="33"/>
  <c r="AH92" i="33"/>
  <c r="F93" i="33"/>
  <c r="G93" i="33"/>
  <c r="L93" i="33" s="1"/>
  <c r="I93" i="33"/>
  <c r="J93" i="33" s="1"/>
  <c r="R93" i="33" s="1"/>
  <c r="N93" i="33"/>
  <c r="O93" i="33"/>
  <c r="Z93" i="33"/>
  <c r="AA93" i="33"/>
  <c r="AC93" i="33"/>
  <c r="AD93" i="33"/>
  <c r="AH93" i="33"/>
  <c r="F94" i="33"/>
  <c r="G94" i="33"/>
  <c r="L94" i="33" s="1"/>
  <c r="I94" i="33"/>
  <c r="J94" i="33" s="1"/>
  <c r="R94" i="33" s="1"/>
  <c r="N94" i="33"/>
  <c r="O94" i="33"/>
  <c r="Z94" i="33"/>
  <c r="AA94" i="33"/>
  <c r="AC94" i="33"/>
  <c r="AD94" i="33"/>
  <c r="AF94" i="33"/>
  <c r="AH94" i="33"/>
  <c r="F95" i="33"/>
  <c r="G95" i="33"/>
  <c r="L95" i="33" s="1"/>
  <c r="I95" i="33"/>
  <c r="J95" i="33" s="1"/>
  <c r="R95" i="33" s="1"/>
  <c r="N95" i="33"/>
  <c r="O95" i="33"/>
  <c r="Z95" i="33"/>
  <c r="AA95" i="33"/>
  <c r="AC95" i="33"/>
  <c r="AD95" i="33"/>
  <c r="AF95" i="33"/>
  <c r="AH95" i="33"/>
  <c r="F96" i="33"/>
  <c r="G96" i="33"/>
  <c r="L96" i="33" s="1"/>
  <c r="I96" i="33"/>
  <c r="J96" i="33" s="1"/>
  <c r="R96" i="33" s="1"/>
  <c r="N96" i="33"/>
  <c r="O96" i="33"/>
  <c r="Z96" i="33"/>
  <c r="AA96" i="33"/>
  <c r="AC96" i="33"/>
  <c r="AD96" i="33"/>
  <c r="AF96" i="33"/>
  <c r="AH96" i="33"/>
  <c r="F97" i="33"/>
  <c r="G97" i="33"/>
  <c r="L97" i="33" s="1"/>
  <c r="I97" i="33"/>
  <c r="J97" i="33" s="1"/>
  <c r="R97" i="33" s="1"/>
  <c r="N97" i="33"/>
  <c r="O97" i="33"/>
  <c r="Z97" i="33"/>
  <c r="AA97" i="33"/>
  <c r="AC97" i="33"/>
  <c r="AD97" i="33"/>
  <c r="AH97" i="33"/>
  <c r="F98" i="33"/>
  <c r="G98" i="33"/>
  <c r="L98" i="33" s="1"/>
  <c r="I98" i="33"/>
  <c r="J98" i="33" s="1"/>
  <c r="R98" i="33" s="1"/>
  <c r="N98" i="33"/>
  <c r="O98" i="33"/>
  <c r="Z98" i="33"/>
  <c r="AA98" i="33"/>
  <c r="AC98" i="33"/>
  <c r="AD98" i="33"/>
  <c r="AF98" i="33"/>
  <c r="AH98" i="33"/>
  <c r="F99" i="33"/>
  <c r="G99" i="33"/>
  <c r="L99" i="33" s="1"/>
  <c r="I99" i="33"/>
  <c r="J99" i="33" s="1"/>
  <c r="R99" i="33" s="1"/>
  <c r="N99" i="33"/>
  <c r="O99" i="33"/>
  <c r="Z99" i="33"/>
  <c r="AA99" i="33"/>
  <c r="AC99" i="33"/>
  <c r="AD99" i="33"/>
  <c r="AH99" i="33"/>
  <c r="F100" i="33"/>
  <c r="G100" i="33"/>
  <c r="L100" i="33" s="1"/>
  <c r="I100" i="33"/>
  <c r="J100" i="33" s="1"/>
  <c r="R100" i="33" s="1"/>
  <c r="N100" i="33"/>
  <c r="O100" i="33"/>
  <c r="Z100" i="33"/>
  <c r="AA100" i="33"/>
  <c r="AC100" i="33"/>
  <c r="AD100" i="33"/>
  <c r="AF100" i="33"/>
  <c r="AH100" i="33"/>
  <c r="F101" i="33"/>
  <c r="G101" i="33"/>
  <c r="L101" i="33" s="1"/>
  <c r="I101" i="33"/>
  <c r="J101" i="33" s="1"/>
  <c r="N101" i="33"/>
  <c r="O101" i="33"/>
  <c r="Z101" i="33"/>
  <c r="AA101" i="33"/>
  <c r="AC101" i="33"/>
  <c r="AD101" i="33"/>
  <c r="AH101" i="33"/>
  <c r="F102" i="33"/>
  <c r="G102" i="33"/>
  <c r="L102" i="33" s="1"/>
  <c r="I102" i="33"/>
  <c r="J102" i="33" s="1"/>
  <c r="N102" i="33"/>
  <c r="O102" i="33"/>
  <c r="Z102" i="33"/>
  <c r="AA102" i="33"/>
  <c r="AC102" i="33"/>
  <c r="AD102" i="33"/>
  <c r="AH102" i="33"/>
  <c r="F103" i="33"/>
  <c r="G103" i="33"/>
  <c r="L103" i="33" s="1"/>
  <c r="I103" i="33"/>
  <c r="J103" i="33" s="1"/>
  <c r="R103" i="33" s="1"/>
  <c r="N103" i="33"/>
  <c r="O103" i="33"/>
  <c r="Z103" i="33"/>
  <c r="AA103" i="33"/>
  <c r="AC103" i="33"/>
  <c r="AD103" i="33"/>
  <c r="AH103" i="33"/>
  <c r="F104" i="33"/>
  <c r="G104" i="33"/>
  <c r="L104" i="33" s="1"/>
  <c r="I104" i="33"/>
  <c r="J104" i="33" s="1"/>
  <c r="R104" i="33" s="1"/>
  <c r="N104" i="33"/>
  <c r="O104" i="33"/>
  <c r="Z104" i="33"/>
  <c r="AA104" i="33"/>
  <c r="AC104" i="33"/>
  <c r="AD104" i="33"/>
  <c r="AF104" i="33"/>
  <c r="AH104" i="33"/>
  <c r="F105" i="33"/>
  <c r="G105" i="33"/>
  <c r="L105" i="33" s="1"/>
  <c r="I105" i="33"/>
  <c r="J105" i="33" s="1"/>
  <c r="R105" i="33" s="1"/>
  <c r="N105" i="33"/>
  <c r="O105" i="33"/>
  <c r="Z105" i="33"/>
  <c r="AA105" i="33"/>
  <c r="AC105" i="33"/>
  <c r="AD105" i="33"/>
  <c r="AH105" i="33"/>
  <c r="F106" i="33"/>
  <c r="G106" i="33"/>
  <c r="L106" i="33" s="1"/>
  <c r="I106" i="33"/>
  <c r="J106" i="33" s="1"/>
  <c r="R106" i="33" s="1"/>
  <c r="N106" i="33"/>
  <c r="O106" i="33"/>
  <c r="Z106" i="33"/>
  <c r="AA106" i="33"/>
  <c r="AC106" i="33"/>
  <c r="AD106" i="33"/>
  <c r="AH106" i="33"/>
  <c r="F107" i="33"/>
  <c r="G107" i="33"/>
  <c r="L107" i="33" s="1"/>
  <c r="I107" i="33"/>
  <c r="J107" i="33" s="1"/>
  <c r="R107" i="33" s="1"/>
  <c r="N107" i="33"/>
  <c r="O107" i="33"/>
  <c r="Z107" i="33"/>
  <c r="AA107" i="33"/>
  <c r="AC107" i="33"/>
  <c r="AD107" i="33"/>
  <c r="AH107" i="33"/>
  <c r="F108" i="33"/>
  <c r="G108" i="33"/>
  <c r="L108" i="33" s="1"/>
  <c r="I108" i="33"/>
  <c r="J108" i="33" s="1"/>
  <c r="R108" i="33" s="1"/>
  <c r="N108" i="33"/>
  <c r="O108" i="33"/>
  <c r="Z108" i="33"/>
  <c r="AA108" i="33"/>
  <c r="AC108" i="33"/>
  <c r="AD108" i="33"/>
  <c r="AH108" i="33"/>
  <c r="F109" i="33"/>
  <c r="G109" i="33"/>
  <c r="L109" i="33" s="1"/>
  <c r="I109" i="33"/>
  <c r="J109" i="33" s="1"/>
  <c r="R109" i="33" s="1"/>
  <c r="N109" i="33"/>
  <c r="O109" i="33"/>
  <c r="Z109" i="33"/>
  <c r="AA109" i="33"/>
  <c r="AC109" i="33"/>
  <c r="AD109" i="33"/>
  <c r="AH109" i="33"/>
  <c r="F110" i="33"/>
  <c r="G110" i="33"/>
  <c r="L110" i="33" s="1"/>
  <c r="I110" i="33"/>
  <c r="J110" i="33" s="1"/>
  <c r="R110" i="33" s="1"/>
  <c r="N110" i="33"/>
  <c r="O110" i="33"/>
  <c r="Z110" i="33"/>
  <c r="AA110" i="33"/>
  <c r="AC110" i="33"/>
  <c r="AD110" i="33"/>
  <c r="AF110" i="33"/>
  <c r="AH110" i="33"/>
  <c r="F111" i="33"/>
  <c r="G111" i="33"/>
  <c r="L111" i="33" s="1"/>
  <c r="I111" i="33"/>
  <c r="J111" i="33" s="1"/>
  <c r="R111" i="33" s="1"/>
  <c r="N111" i="33"/>
  <c r="O111" i="33"/>
  <c r="Z111" i="33"/>
  <c r="AA111" i="33"/>
  <c r="AC111" i="33"/>
  <c r="AD111" i="33"/>
  <c r="AF111" i="33"/>
  <c r="AH111" i="33"/>
  <c r="F112" i="33"/>
  <c r="G112" i="33"/>
  <c r="L112" i="33" s="1"/>
  <c r="I112" i="33"/>
  <c r="J112" i="33" s="1"/>
  <c r="R112" i="33" s="1"/>
  <c r="N112" i="33"/>
  <c r="O112" i="33"/>
  <c r="Z112" i="33"/>
  <c r="AA112" i="33"/>
  <c r="AC112" i="33"/>
  <c r="AD112" i="33"/>
  <c r="AH112" i="33"/>
  <c r="F113" i="33"/>
  <c r="G113" i="33"/>
  <c r="L113" i="33" s="1"/>
  <c r="I113" i="33"/>
  <c r="J113" i="33" s="1"/>
  <c r="R113" i="33" s="1"/>
  <c r="N113" i="33"/>
  <c r="O113" i="33"/>
  <c r="Z113" i="33"/>
  <c r="AA113" i="33"/>
  <c r="AC113" i="33"/>
  <c r="AD113" i="33"/>
  <c r="AH113" i="33"/>
  <c r="F114" i="33"/>
  <c r="G114" i="33"/>
  <c r="L114" i="33" s="1"/>
  <c r="I114" i="33"/>
  <c r="J114" i="33" s="1"/>
  <c r="R114" i="33" s="1"/>
  <c r="N114" i="33"/>
  <c r="O114" i="33"/>
  <c r="Z114" i="33"/>
  <c r="AA114" i="33"/>
  <c r="AC114" i="33"/>
  <c r="AD114" i="33"/>
  <c r="AH114" i="33"/>
  <c r="F115" i="33"/>
  <c r="G115" i="33"/>
  <c r="L115" i="33" s="1"/>
  <c r="I115" i="33"/>
  <c r="J115" i="33" s="1"/>
  <c r="R115" i="33" s="1"/>
  <c r="N115" i="33"/>
  <c r="O115" i="33"/>
  <c r="Z115" i="33"/>
  <c r="AA115" i="33"/>
  <c r="AC115" i="33"/>
  <c r="AD115" i="33"/>
  <c r="AF115" i="33"/>
  <c r="AH115" i="33"/>
  <c r="F116" i="33"/>
  <c r="G116" i="33"/>
  <c r="L116" i="33" s="1"/>
  <c r="I116" i="33"/>
  <c r="J116" i="33" s="1"/>
  <c r="R116" i="33" s="1"/>
  <c r="N116" i="33"/>
  <c r="O116" i="33"/>
  <c r="Z116" i="33"/>
  <c r="AA116" i="33"/>
  <c r="AC116" i="33"/>
  <c r="AD116" i="33"/>
  <c r="AF116" i="33"/>
  <c r="AH116" i="33"/>
  <c r="F117" i="33"/>
  <c r="G117" i="33"/>
  <c r="L117" i="33" s="1"/>
  <c r="I117" i="33"/>
  <c r="J117" i="33" s="1"/>
  <c r="R117" i="33" s="1"/>
  <c r="N117" i="33"/>
  <c r="O117" i="33"/>
  <c r="Z117" i="33"/>
  <c r="AA117" i="33"/>
  <c r="AC117" i="33"/>
  <c r="AF117" i="33"/>
  <c r="AD117" i="33"/>
  <c r="AH117" i="33"/>
  <c r="F118" i="33"/>
  <c r="G118" i="33"/>
  <c r="L118" i="33" s="1"/>
  <c r="I118" i="33"/>
  <c r="J118" i="33" s="1"/>
  <c r="R118" i="33" s="1"/>
  <c r="N118" i="33"/>
  <c r="O118" i="33"/>
  <c r="Z118" i="33"/>
  <c r="AA118" i="33"/>
  <c r="AC118" i="33"/>
  <c r="AD118" i="33"/>
  <c r="AH118" i="33"/>
  <c r="F119" i="33"/>
  <c r="G119" i="33"/>
  <c r="L119" i="33" s="1"/>
  <c r="I119" i="33"/>
  <c r="J119" i="33" s="1"/>
  <c r="R119" i="33" s="1"/>
  <c r="N119" i="33"/>
  <c r="O119" i="33"/>
  <c r="Z119" i="33"/>
  <c r="AA119" i="33"/>
  <c r="AC119" i="33"/>
  <c r="AF119" i="33"/>
  <c r="AD119" i="33"/>
  <c r="AH119" i="33"/>
  <c r="F120" i="33"/>
  <c r="G120" i="33"/>
  <c r="L120" i="33" s="1"/>
  <c r="I120" i="33"/>
  <c r="J120" i="33" s="1"/>
  <c r="R120" i="33" s="1"/>
  <c r="N120" i="33"/>
  <c r="O120" i="33"/>
  <c r="Z120" i="33"/>
  <c r="AA120" i="33"/>
  <c r="AC120" i="33"/>
  <c r="AD120" i="33"/>
  <c r="AH120" i="33"/>
  <c r="F121" i="33"/>
  <c r="G121" i="33"/>
  <c r="L121" i="33" s="1"/>
  <c r="I121" i="33"/>
  <c r="J121" i="33" s="1"/>
  <c r="R121" i="33" s="1"/>
  <c r="N121" i="33"/>
  <c r="O121" i="33"/>
  <c r="Z121" i="33"/>
  <c r="AA121" i="33"/>
  <c r="AC121" i="33"/>
  <c r="AF121" i="33"/>
  <c r="AD121" i="33"/>
  <c r="AH121" i="33"/>
  <c r="F122" i="33"/>
  <c r="G122" i="33"/>
  <c r="L122" i="33" s="1"/>
  <c r="I122" i="33"/>
  <c r="J122" i="33" s="1"/>
  <c r="R122" i="33" s="1"/>
  <c r="N122" i="33"/>
  <c r="O122" i="33"/>
  <c r="Z122" i="33"/>
  <c r="AA122" i="33"/>
  <c r="AC122" i="33"/>
  <c r="AD122" i="33"/>
  <c r="AH122" i="33"/>
  <c r="F123" i="33"/>
  <c r="G123" i="33"/>
  <c r="L123" i="33" s="1"/>
  <c r="M123" i="33" s="1"/>
  <c r="I123" i="33"/>
  <c r="J123" i="33" s="1"/>
  <c r="N123" i="33"/>
  <c r="O123" i="33"/>
  <c r="R123" i="33"/>
  <c r="S123" i="33"/>
  <c r="T123" i="33"/>
  <c r="V123" i="33"/>
  <c r="X123" i="33"/>
  <c r="Z123" i="33"/>
  <c r="AA123" i="33"/>
  <c r="AC123" i="33"/>
  <c r="AD123" i="33"/>
  <c r="AH123" i="33"/>
  <c r="F124" i="33"/>
  <c r="G124" i="33"/>
  <c r="L124" i="33" s="1"/>
  <c r="M124" i="33" s="1"/>
  <c r="I124" i="33"/>
  <c r="J124" i="33" s="1"/>
  <c r="N124" i="33"/>
  <c r="O124" i="33"/>
  <c r="T124" i="33"/>
  <c r="Z124" i="33"/>
  <c r="AA124" i="33"/>
  <c r="AC124" i="33"/>
  <c r="AD124" i="33"/>
  <c r="AH124" i="33"/>
  <c r="F125" i="33"/>
  <c r="G125" i="33"/>
  <c r="L125" i="33" s="1"/>
  <c r="M125" i="33" s="1"/>
  <c r="I125" i="33"/>
  <c r="J125" i="33" s="1"/>
  <c r="N125" i="33"/>
  <c r="O125" i="33"/>
  <c r="R125" i="33"/>
  <c r="S125" i="33"/>
  <c r="T125" i="33"/>
  <c r="V125" i="33"/>
  <c r="X125" i="33"/>
  <c r="Z125" i="33"/>
  <c r="AA125" i="33"/>
  <c r="AC125" i="33"/>
  <c r="AD125" i="33"/>
  <c r="AF125" i="33"/>
  <c r="AH125" i="33"/>
  <c r="F126" i="33"/>
  <c r="G126" i="33"/>
  <c r="L126" i="33" s="1"/>
  <c r="M126" i="33" s="1"/>
  <c r="I126" i="33"/>
  <c r="J126" i="33" s="1"/>
  <c r="N126" i="33"/>
  <c r="O126" i="33"/>
  <c r="R126" i="33"/>
  <c r="X126" i="33"/>
  <c r="Z126" i="33"/>
  <c r="AA126" i="33"/>
  <c r="AC126" i="33"/>
  <c r="AD126" i="33"/>
  <c r="AF126" i="33"/>
  <c r="AH126" i="33"/>
  <c r="F127" i="33"/>
  <c r="G127" i="33"/>
  <c r="L127" i="33" s="1"/>
  <c r="M127" i="33" s="1"/>
  <c r="I127" i="33"/>
  <c r="J127" i="33" s="1"/>
  <c r="N127" i="33"/>
  <c r="O127" i="33"/>
  <c r="R127" i="33"/>
  <c r="S127" i="33"/>
  <c r="T127" i="33"/>
  <c r="V127" i="33"/>
  <c r="X127" i="33"/>
  <c r="Z127" i="33"/>
  <c r="AA127" i="33"/>
  <c r="AC127" i="33"/>
  <c r="AD127" i="33"/>
  <c r="AH127" i="33"/>
  <c r="F128" i="33"/>
  <c r="G128" i="33"/>
  <c r="L128" i="33" s="1"/>
  <c r="M128" i="33" s="1"/>
  <c r="I128" i="33"/>
  <c r="J128" i="33" s="1"/>
  <c r="N128" i="33"/>
  <c r="O128" i="33"/>
  <c r="T128" i="33"/>
  <c r="Z128" i="33"/>
  <c r="AA128" i="33"/>
  <c r="AC128" i="33"/>
  <c r="AD128" i="33"/>
  <c r="AH128" i="33"/>
  <c r="F129" i="33"/>
  <c r="G129" i="33"/>
  <c r="L129" i="33" s="1"/>
  <c r="M129" i="33" s="1"/>
  <c r="I129" i="33"/>
  <c r="J129" i="33" s="1"/>
  <c r="N129" i="33"/>
  <c r="O129" i="33"/>
  <c r="R129" i="33"/>
  <c r="S129" i="33"/>
  <c r="T129" i="33"/>
  <c r="V129" i="33"/>
  <c r="X129" i="33"/>
  <c r="Z129" i="33"/>
  <c r="AA129" i="33"/>
  <c r="AC129" i="33"/>
  <c r="AF129" i="33"/>
  <c r="AD129" i="33"/>
  <c r="AH129" i="33"/>
  <c r="F130" i="33"/>
  <c r="G130" i="33"/>
  <c r="L130" i="33" s="1"/>
  <c r="M130" i="33" s="1"/>
  <c r="I130" i="33"/>
  <c r="J130" i="33" s="1"/>
  <c r="N130" i="33"/>
  <c r="O130" i="33"/>
  <c r="R130" i="33"/>
  <c r="X130" i="33"/>
  <c r="Z130" i="33"/>
  <c r="AA130" i="33"/>
  <c r="AC130" i="33"/>
  <c r="AF130" i="33"/>
  <c r="AD130" i="33"/>
  <c r="AH130" i="33"/>
  <c r="F131" i="33"/>
  <c r="G131" i="33"/>
  <c r="L131" i="33" s="1"/>
  <c r="M131" i="33" s="1"/>
  <c r="I131" i="33"/>
  <c r="J131" i="33" s="1"/>
  <c r="N131" i="33"/>
  <c r="O131" i="33"/>
  <c r="R131" i="33"/>
  <c r="S131" i="33"/>
  <c r="T131" i="33"/>
  <c r="V131" i="33"/>
  <c r="X131" i="33"/>
  <c r="Z131" i="33"/>
  <c r="AA131" i="33"/>
  <c r="AC131" i="33"/>
  <c r="AD131" i="33"/>
  <c r="AF131" i="33"/>
  <c r="AH131" i="33"/>
  <c r="F132" i="33"/>
  <c r="G132" i="33"/>
  <c r="L132" i="33" s="1"/>
  <c r="M132" i="33" s="1"/>
  <c r="I132" i="33"/>
  <c r="J132" i="33" s="1"/>
  <c r="N132" i="33"/>
  <c r="O132" i="33"/>
  <c r="T132" i="33"/>
  <c r="Z132" i="33"/>
  <c r="AA132" i="33"/>
  <c r="AC132" i="33"/>
  <c r="AD132" i="33"/>
  <c r="AH132" i="33"/>
  <c r="F133" i="33"/>
  <c r="G133" i="33"/>
  <c r="L133" i="33" s="1"/>
  <c r="M133" i="33" s="1"/>
  <c r="I133" i="33"/>
  <c r="J133" i="33" s="1"/>
  <c r="N133" i="33"/>
  <c r="O133" i="33"/>
  <c r="R133" i="33"/>
  <c r="S133" i="33"/>
  <c r="T133" i="33"/>
  <c r="V133" i="33"/>
  <c r="X133" i="33"/>
  <c r="Z133" i="33"/>
  <c r="AA133" i="33"/>
  <c r="AC133" i="33"/>
  <c r="AD133" i="33"/>
  <c r="AH133" i="33"/>
  <c r="F134" i="33"/>
  <c r="G134" i="33"/>
  <c r="L134" i="33" s="1"/>
  <c r="M134" i="33" s="1"/>
  <c r="I134" i="33"/>
  <c r="J134" i="33" s="1"/>
  <c r="N134" i="33"/>
  <c r="O134" i="33"/>
  <c r="R134" i="33"/>
  <c r="X134" i="33"/>
  <c r="Z134" i="33"/>
  <c r="AA134" i="33"/>
  <c r="AC134" i="33"/>
  <c r="AD134" i="33"/>
  <c r="AH134" i="33"/>
  <c r="F135" i="33"/>
  <c r="G135" i="33"/>
  <c r="L135" i="33" s="1"/>
  <c r="M135" i="33" s="1"/>
  <c r="I135" i="33"/>
  <c r="J135" i="33" s="1"/>
  <c r="N135" i="33"/>
  <c r="O135" i="33"/>
  <c r="R135" i="33"/>
  <c r="S135" i="33"/>
  <c r="T135" i="33"/>
  <c r="V135" i="33"/>
  <c r="X135" i="33"/>
  <c r="Z135" i="33"/>
  <c r="AA135" i="33"/>
  <c r="AC135" i="33"/>
  <c r="AF135" i="33"/>
  <c r="AD135" i="33"/>
  <c r="AH135" i="33"/>
  <c r="B136" i="33"/>
  <c r="F136" i="33"/>
  <c r="G136" i="33"/>
  <c r="L136" i="33" s="1"/>
  <c r="M136" i="33" s="1"/>
  <c r="I136" i="33"/>
  <c r="J136" i="33" s="1"/>
  <c r="N136" i="33"/>
  <c r="O136" i="33"/>
  <c r="Z136" i="33"/>
  <c r="AA136" i="33"/>
  <c r="AC136" i="33"/>
  <c r="AD136" i="33"/>
  <c r="AF136" i="33"/>
  <c r="AH136" i="33"/>
  <c r="B137" i="33"/>
  <c r="F137" i="33"/>
  <c r="G137" i="33"/>
  <c r="L137" i="33" s="1"/>
  <c r="M137" i="33" s="1"/>
  <c r="I137" i="33"/>
  <c r="J137" i="33" s="1"/>
  <c r="N137" i="33"/>
  <c r="O137" i="33"/>
  <c r="T137" i="33"/>
  <c r="Z137" i="33"/>
  <c r="AA137" i="33"/>
  <c r="AC137" i="33"/>
  <c r="AD137" i="33"/>
  <c r="AF137" i="33"/>
  <c r="AH137" i="33"/>
  <c r="Q67" i="31"/>
  <c r="Q28" i="31"/>
  <c r="Q99" i="31"/>
  <c r="G30" i="31"/>
  <c r="L30" i="31" s="1"/>
  <c r="G46" i="31"/>
  <c r="L46" i="31" s="1"/>
  <c r="G62" i="31"/>
  <c r="L62" i="31" s="1"/>
  <c r="G79" i="31"/>
  <c r="L79" i="31" s="1"/>
  <c r="G82" i="31"/>
  <c r="L82" i="31" s="1"/>
  <c r="G83" i="31"/>
  <c r="L83" i="31" s="1"/>
  <c r="G84" i="31"/>
  <c r="L84" i="31" s="1"/>
  <c r="G87" i="31"/>
  <c r="L87" i="31" s="1"/>
  <c r="G91" i="31"/>
  <c r="L91" i="31" s="1"/>
  <c r="G95" i="31"/>
  <c r="L95" i="31" s="1"/>
  <c r="G98" i="31"/>
  <c r="L98" i="31" s="1"/>
  <c r="G99" i="31"/>
  <c r="L99" i="31" s="1"/>
  <c r="G100" i="31"/>
  <c r="L100" i="31" s="1"/>
  <c r="G103" i="31"/>
  <c r="L103" i="31" s="1"/>
  <c r="G107" i="31"/>
  <c r="L107" i="31" s="1"/>
  <c r="G111" i="31"/>
  <c r="L111" i="31" s="1"/>
  <c r="G114" i="31"/>
  <c r="L114" i="31" s="1"/>
  <c r="G115" i="31"/>
  <c r="L115" i="31" s="1"/>
  <c r="G118" i="31"/>
  <c r="L118" i="31" s="1"/>
  <c r="G119" i="31"/>
  <c r="L119" i="31" s="1"/>
  <c r="G122" i="31"/>
  <c r="L122" i="31" s="1"/>
  <c r="G123" i="31"/>
  <c r="L123" i="31" s="1"/>
  <c r="G126" i="31"/>
  <c r="L126" i="31" s="1"/>
  <c r="G127" i="31"/>
  <c r="L127" i="31" s="1"/>
  <c r="G131" i="31"/>
  <c r="L131" i="31" s="1"/>
  <c r="G134" i="31"/>
  <c r="L134" i="31" s="1"/>
  <c r="G135" i="31"/>
  <c r="L135" i="31" s="1"/>
  <c r="B3" i="31"/>
  <c r="T5" i="31"/>
  <c r="T14" i="31"/>
  <c r="B18" i="31"/>
  <c r="N18" i="31"/>
  <c r="AH18" i="31"/>
  <c r="B19" i="31"/>
  <c r="B20" i="31"/>
  <c r="B21" i="31"/>
  <c r="B22" i="31"/>
  <c r="B23" i="31"/>
  <c r="G23" i="31"/>
  <c r="L23" i="31" s="1"/>
  <c r="B24" i="31"/>
  <c r="B25" i="31"/>
  <c r="B26" i="31"/>
  <c r="B27" i="31"/>
  <c r="B28" i="31"/>
  <c r="B29" i="31"/>
  <c r="B30" i="31"/>
  <c r="B31" i="31"/>
  <c r="G31" i="31"/>
  <c r="L31" i="31" s="1"/>
  <c r="B32" i="31"/>
  <c r="B33" i="31"/>
  <c r="B34" i="31"/>
  <c r="B35" i="31"/>
  <c r="G35" i="31"/>
  <c r="L35" i="31" s="1"/>
  <c r="B36" i="31"/>
  <c r="B37" i="31"/>
  <c r="B38" i="31"/>
  <c r="B39" i="31"/>
  <c r="G39" i="31"/>
  <c r="L39" i="31" s="1"/>
  <c r="B40" i="31"/>
  <c r="B41" i="31"/>
  <c r="B42" i="31"/>
  <c r="B43" i="31"/>
  <c r="G43" i="31"/>
  <c r="L43" i="31" s="1"/>
  <c r="B44" i="31"/>
  <c r="B45" i="31"/>
  <c r="B46" i="31"/>
  <c r="B47" i="31"/>
  <c r="G47" i="31"/>
  <c r="L47" i="31" s="1"/>
  <c r="B48" i="31"/>
  <c r="B49" i="31"/>
  <c r="B50" i="31"/>
  <c r="B51" i="31"/>
  <c r="G51" i="31"/>
  <c r="L51" i="31" s="1"/>
  <c r="B52" i="31"/>
  <c r="B53" i="31"/>
  <c r="B54" i="31"/>
  <c r="B55" i="31"/>
  <c r="G55" i="31"/>
  <c r="L55" i="31" s="1"/>
  <c r="B56" i="31"/>
  <c r="B57" i="31"/>
  <c r="B58" i="31"/>
  <c r="B59" i="31"/>
  <c r="G59" i="31"/>
  <c r="L59" i="31" s="1"/>
  <c r="B60" i="31"/>
  <c r="B61" i="31"/>
  <c r="B62" i="31"/>
  <c r="B63" i="31"/>
  <c r="G63" i="31"/>
  <c r="L63" i="31" s="1"/>
  <c r="B64" i="31"/>
  <c r="B65" i="31"/>
  <c r="N65" i="31"/>
  <c r="B66" i="31"/>
  <c r="B67" i="31"/>
  <c r="G67" i="31"/>
  <c r="L67" i="31" s="1"/>
  <c r="B68" i="31"/>
  <c r="B69" i="31"/>
  <c r="B70" i="31"/>
  <c r="B71" i="31"/>
  <c r="G71" i="31"/>
  <c r="L71" i="31" s="1"/>
  <c r="B72" i="31"/>
  <c r="G72" i="31"/>
  <c r="L72" i="31" s="1"/>
  <c r="B73" i="31"/>
  <c r="N73" i="31"/>
  <c r="B74" i="31"/>
  <c r="B75" i="31"/>
  <c r="G75" i="31"/>
  <c r="L75" i="31" s="1"/>
  <c r="B76" i="31"/>
  <c r="Q76" i="31"/>
  <c r="B77" i="31"/>
  <c r="B78" i="31"/>
  <c r="B79" i="31"/>
  <c r="B80" i="31"/>
  <c r="Q80" i="31"/>
  <c r="B81" i="31"/>
  <c r="N81" i="31"/>
  <c r="B82" i="31"/>
  <c r="B83" i="31"/>
  <c r="B84" i="31"/>
  <c r="B85" i="31"/>
  <c r="B86" i="31"/>
  <c r="B87" i="31"/>
  <c r="B88" i="31"/>
  <c r="Q88" i="31"/>
  <c r="B89" i="31"/>
  <c r="N89" i="31"/>
  <c r="B90" i="31"/>
  <c r="B91" i="31"/>
  <c r="B92" i="31"/>
  <c r="Q92" i="31"/>
  <c r="B93" i="31"/>
  <c r="B94" i="31"/>
  <c r="G94" i="31"/>
  <c r="L94" i="31" s="1"/>
  <c r="B95" i="31"/>
  <c r="B96" i="31"/>
  <c r="Q96" i="31"/>
  <c r="B97" i="31"/>
  <c r="N97" i="31"/>
  <c r="B98" i="31"/>
  <c r="B99" i="31"/>
  <c r="B100" i="31"/>
  <c r="Q100" i="31"/>
  <c r="B101" i="31"/>
  <c r="B102" i="31"/>
  <c r="B103" i="31"/>
  <c r="B104" i="31"/>
  <c r="B105" i="31"/>
  <c r="B106" i="31"/>
  <c r="B107" i="31"/>
  <c r="B108" i="31"/>
  <c r="Q108" i="31"/>
  <c r="B109" i="31"/>
  <c r="N109" i="31"/>
  <c r="B110" i="31"/>
  <c r="G110" i="31"/>
  <c r="L110" i="31" s="1"/>
  <c r="B111" i="31"/>
  <c r="B112" i="31"/>
  <c r="B113" i="31"/>
  <c r="B114" i="31"/>
  <c r="B115" i="31"/>
  <c r="B116" i="31"/>
  <c r="Q116" i="31"/>
  <c r="B117" i="31"/>
  <c r="B118" i="31"/>
  <c r="B119" i="31"/>
  <c r="B120" i="31"/>
  <c r="Q120" i="31"/>
  <c r="B121" i="31"/>
  <c r="B122" i="31"/>
  <c r="B123" i="31"/>
  <c r="B124" i="31"/>
  <c r="Q124" i="31"/>
  <c r="B125" i="31"/>
  <c r="N125" i="31"/>
  <c r="B126" i="31"/>
  <c r="B127" i="31"/>
  <c r="B128" i="31"/>
  <c r="Q128" i="31"/>
  <c r="B129" i="31"/>
  <c r="B130" i="31"/>
  <c r="B131" i="31"/>
  <c r="B132" i="31"/>
  <c r="Q132" i="31"/>
  <c r="B133" i="31"/>
  <c r="G133" i="31"/>
  <c r="L133" i="31" s="1"/>
  <c r="B134" i="31"/>
  <c r="B135" i="31"/>
  <c r="Q136" i="31"/>
  <c r="R136" i="31"/>
  <c r="Q137" i="31"/>
  <c r="V137" i="31"/>
  <c r="F20" i="31"/>
  <c r="O20" i="31"/>
  <c r="F21" i="31"/>
  <c r="O21" i="31"/>
  <c r="F22" i="31"/>
  <c r="N22" i="31"/>
  <c r="O22" i="31"/>
  <c r="AH22" i="31"/>
  <c r="F23" i="31"/>
  <c r="N23" i="31"/>
  <c r="O23" i="31"/>
  <c r="AH23" i="31"/>
  <c r="F24" i="31"/>
  <c r="O24" i="31"/>
  <c r="AH24" i="31"/>
  <c r="F26" i="31"/>
  <c r="N26" i="31"/>
  <c r="O26" i="31"/>
  <c r="AH26" i="31"/>
  <c r="F27" i="31"/>
  <c r="N27" i="31"/>
  <c r="O27" i="31"/>
  <c r="AH27" i="31"/>
  <c r="F28" i="31"/>
  <c r="O28" i="31"/>
  <c r="AH28" i="31"/>
  <c r="F30" i="31"/>
  <c r="N30" i="31"/>
  <c r="O30" i="31"/>
  <c r="AH30" i="31"/>
  <c r="F31" i="31"/>
  <c r="N31" i="31"/>
  <c r="O31" i="31"/>
  <c r="AH31" i="31"/>
  <c r="F32" i="31"/>
  <c r="O32" i="31"/>
  <c r="AH32" i="31"/>
  <c r="F34" i="31"/>
  <c r="N34" i="31"/>
  <c r="O34" i="31"/>
  <c r="AH34" i="31"/>
  <c r="F35" i="31"/>
  <c r="N35" i="31"/>
  <c r="O35" i="31"/>
  <c r="AH35" i="31"/>
  <c r="F36" i="31"/>
  <c r="O36" i="31"/>
  <c r="AH36" i="31"/>
  <c r="F38" i="31"/>
  <c r="N38" i="31"/>
  <c r="O38" i="31"/>
  <c r="AH38" i="31"/>
  <c r="F39" i="31"/>
  <c r="N39" i="31"/>
  <c r="O39" i="31"/>
  <c r="AH39" i="31"/>
  <c r="F40" i="31"/>
  <c r="O40" i="31"/>
  <c r="AH40" i="31"/>
  <c r="F42" i="31"/>
  <c r="N42" i="31"/>
  <c r="O42" i="31"/>
  <c r="AH42" i="31"/>
  <c r="F43" i="31"/>
  <c r="N43" i="31"/>
  <c r="O43" i="31"/>
  <c r="AH43" i="31"/>
  <c r="F44" i="31"/>
  <c r="O44" i="31"/>
  <c r="AH44" i="31"/>
  <c r="F46" i="31"/>
  <c r="N46" i="31"/>
  <c r="O46" i="31"/>
  <c r="AH46" i="31"/>
  <c r="F47" i="31"/>
  <c r="N47" i="31"/>
  <c r="O47" i="31"/>
  <c r="AH47" i="31"/>
  <c r="F48" i="31"/>
  <c r="O48" i="31"/>
  <c r="AH48" i="31"/>
  <c r="F50" i="31"/>
  <c r="N50" i="31"/>
  <c r="O50" i="31"/>
  <c r="AH50" i="31"/>
  <c r="F51" i="31"/>
  <c r="N51" i="31"/>
  <c r="O51" i="31"/>
  <c r="AH51" i="31"/>
  <c r="F52" i="31"/>
  <c r="O52" i="31"/>
  <c r="AH52" i="31"/>
  <c r="F54" i="31"/>
  <c r="N54" i="31"/>
  <c r="O54" i="31"/>
  <c r="AH54" i="31"/>
  <c r="F55" i="31"/>
  <c r="N55" i="31"/>
  <c r="O55" i="31"/>
  <c r="AH55" i="31"/>
  <c r="F56" i="31"/>
  <c r="O56" i="31"/>
  <c r="AH56" i="31"/>
  <c r="F58" i="31"/>
  <c r="N58" i="31"/>
  <c r="O58" i="31"/>
  <c r="AH58" i="31"/>
  <c r="F59" i="31"/>
  <c r="N59" i="31"/>
  <c r="O59" i="31"/>
  <c r="AH59" i="31"/>
  <c r="F60" i="31"/>
  <c r="O60" i="31"/>
  <c r="AH60" i="31"/>
  <c r="F62" i="31"/>
  <c r="N62" i="31"/>
  <c r="O62" i="31"/>
  <c r="AH62" i="31"/>
  <c r="F63" i="31"/>
  <c r="N63" i="31"/>
  <c r="O63" i="31"/>
  <c r="AH63" i="31"/>
  <c r="F64" i="31"/>
  <c r="O64" i="31"/>
  <c r="AH64" i="31"/>
  <c r="F66" i="31"/>
  <c r="N66" i="31"/>
  <c r="O66" i="31"/>
  <c r="AH66" i="31"/>
  <c r="F67" i="31"/>
  <c r="N67" i="31"/>
  <c r="O67" i="31"/>
  <c r="AH67" i="31"/>
  <c r="F68" i="31"/>
  <c r="N68" i="31"/>
  <c r="O68" i="31"/>
  <c r="AH68" i="31"/>
  <c r="N69" i="31"/>
  <c r="F70" i="31"/>
  <c r="N70" i="31"/>
  <c r="O70" i="31"/>
  <c r="AH70" i="31"/>
  <c r="F71" i="31"/>
  <c r="N71" i="31"/>
  <c r="O71" i="31"/>
  <c r="AH71" i="31"/>
  <c r="F72" i="31"/>
  <c r="N72" i="31"/>
  <c r="O72" i="31"/>
  <c r="AH72" i="31"/>
  <c r="F74" i="31"/>
  <c r="N74" i="31"/>
  <c r="O74" i="31"/>
  <c r="AH74" i="31"/>
  <c r="F75" i="31"/>
  <c r="N75" i="31"/>
  <c r="O75" i="31"/>
  <c r="AH75" i="31"/>
  <c r="F76" i="31"/>
  <c r="N76" i="31"/>
  <c r="O76" i="31"/>
  <c r="AH76" i="31"/>
  <c r="N77" i="31"/>
  <c r="F78" i="31"/>
  <c r="N78" i="31"/>
  <c r="O78" i="31"/>
  <c r="AH78" i="31"/>
  <c r="F79" i="31"/>
  <c r="N79" i="31"/>
  <c r="O79" i="31"/>
  <c r="AH79" i="31"/>
  <c r="F80" i="31"/>
  <c r="N80" i="31"/>
  <c r="O80" i="31"/>
  <c r="AH80" i="31"/>
  <c r="F82" i="31"/>
  <c r="N82" i="31"/>
  <c r="O82" i="31"/>
  <c r="AH82" i="31"/>
  <c r="F83" i="31"/>
  <c r="N83" i="31"/>
  <c r="O83" i="31"/>
  <c r="AH83" i="31"/>
  <c r="F84" i="31"/>
  <c r="N84" i="31"/>
  <c r="O84" i="31"/>
  <c r="AH84" i="31"/>
  <c r="N85" i="31"/>
  <c r="F86" i="31"/>
  <c r="N86" i="31"/>
  <c r="O86" i="31"/>
  <c r="AH86" i="31"/>
  <c r="F87" i="31"/>
  <c r="N87" i="31"/>
  <c r="O87" i="31"/>
  <c r="AH87" i="31"/>
  <c r="F88" i="31"/>
  <c r="N88" i="31"/>
  <c r="O88" i="31"/>
  <c r="AH88" i="31"/>
  <c r="AC89" i="31"/>
  <c r="F90" i="31"/>
  <c r="N90" i="31"/>
  <c r="O90" i="31"/>
  <c r="AA90" i="31"/>
  <c r="AH90" i="31"/>
  <c r="F91" i="31"/>
  <c r="N91" i="31"/>
  <c r="O91" i="31"/>
  <c r="AH91" i="31"/>
  <c r="F92" i="31"/>
  <c r="N92" i="31"/>
  <c r="O92" i="31"/>
  <c r="AH92" i="31"/>
  <c r="N93" i="31"/>
  <c r="F94" i="31"/>
  <c r="N94" i="31"/>
  <c r="O94" i="31"/>
  <c r="AH94" i="31"/>
  <c r="F95" i="31"/>
  <c r="N95" i="31"/>
  <c r="O95" i="31"/>
  <c r="AH95" i="31"/>
  <c r="F96" i="31"/>
  <c r="N96" i="31"/>
  <c r="O96" i="31"/>
  <c r="AH96" i="31"/>
  <c r="F98" i="31"/>
  <c r="N98" i="31"/>
  <c r="O98" i="31"/>
  <c r="AH98" i="31"/>
  <c r="F99" i="31"/>
  <c r="N99" i="31"/>
  <c r="O99" i="31"/>
  <c r="AH99" i="31"/>
  <c r="F100" i="31"/>
  <c r="N100" i="31"/>
  <c r="O100" i="31"/>
  <c r="AH100" i="31"/>
  <c r="N101" i="31"/>
  <c r="F102" i="31"/>
  <c r="N102" i="31"/>
  <c r="O102" i="31"/>
  <c r="AH102" i="31"/>
  <c r="F103" i="31"/>
  <c r="N103" i="31"/>
  <c r="O103" i="31"/>
  <c r="AH103" i="31"/>
  <c r="F104" i="31"/>
  <c r="N104" i="31"/>
  <c r="O104" i="31"/>
  <c r="AH104" i="31"/>
  <c r="N105" i="31"/>
  <c r="F106" i="31"/>
  <c r="N106" i="31"/>
  <c r="O106" i="31"/>
  <c r="AH106" i="31"/>
  <c r="F107" i="31"/>
  <c r="N107" i="31"/>
  <c r="O107" i="31"/>
  <c r="AH107" i="31"/>
  <c r="F108" i="31"/>
  <c r="N108" i="31"/>
  <c r="O108" i="31"/>
  <c r="AH108" i="31"/>
  <c r="F110" i="31"/>
  <c r="N110" i="31"/>
  <c r="O110" i="31"/>
  <c r="AH110" i="31"/>
  <c r="F111" i="31"/>
  <c r="N111" i="31"/>
  <c r="O111" i="31"/>
  <c r="AH111" i="31"/>
  <c r="F112" i="31"/>
  <c r="N112" i="31"/>
  <c r="O112" i="31"/>
  <c r="AD112" i="31"/>
  <c r="AH112" i="31"/>
  <c r="N113" i="31"/>
  <c r="F114" i="31"/>
  <c r="N114" i="31"/>
  <c r="O114" i="31"/>
  <c r="AH114" i="31"/>
  <c r="F115" i="31"/>
  <c r="N115" i="31"/>
  <c r="O115" i="31"/>
  <c r="AH115" i="31"/>
  <c r="F116" i="31"/>
  <c r="N116" i="31"/>
  <c r="O116" i="31"/>
  <c r="AH116" i="31"/>
  <c r="N117" i="31"/>
  <c r="F118" i="31"/>
  <c r="N118" i="31"/>
  <c r="O118" i="31"/>
  <c r="AH118" i="31"/>
  <c r="F119" i="31"/>
  <c r="N119" i="31"/>
  <c r="O119" i="31"/>
  <c r="AH119" i="31"/>
  <c r="F120" i="31"/>
  <c r="N120" i="31"/>
  <c r="O120" i="31"/>
  <c r="AH120" i="31"/>
  <c r="N121" i="31"/>
  <c r="F122" i="31"/>
  <c r="N122" i="31"/>
  <c r="O122" i="31"/>
  <c r="AH122" i="31"/>
  <c r="F123" i="31"/>
  <c r="N123" i="31"/>
  <c r="O123" i="31"/>
  <c r="AH123" i="31"/>
  <c r="F124" i="31"/>
  <c r="N124" i="31"/>
  <c r="O124" i="31"/>
  <c r="AH124" i="31"/>
  <c r="F126" i="31"/>
  <c r="N126" i="31"/>
  <c r="O126" i="31"/>
  <c r="AH126" i="31"/>
  <c r="F127" i="31"/>
  <c r="N127" i="31"/>
  <c r="O127" i="31"/>
  <c r="AH127" i="31"/>
  <c r="F128" i="31"/>
  <c r="N128" i="31"/>
  <c r="O128" i="31"/>
  <c r="AH128" i="31"/>
  <c r="N129" i="31"/>
  <c r="F130" i="31"/>
  <c r="N130" i="31"/>
  <c r="O130" i="31"/>
  <c r="AH130" i="31"/>
  <c r="F131" i="31"/>
  <c r="N131" i="31"/>
  <c r="O131" i="31"/>
  <c r="AH131" i="31"/>
  <c r="F132" i="31"/>
  <c r="N132" i="31"/>
  <c r="O132" i="31"/>
  <c r="AH132" i="31"/>
  <c r="N133" i="31"/>
  <c r="F134" i="31"/>
  <c r="N134" i="31"/>
  <c r="O134" i="31"/>
  <c r="AH134" i="31"/>
  <c r="F135" i="31"/>
  <c r="N135" i="31"/>
  <c r="O135" i="31"/>
  <c r="AH135" i="31"/>
  <c r="B136" i="31"/>
  <c r="AH136" i="31"/>
  <c r="F136" i="31"/>
  <c r="G136" i="31"/>
  <c r="L136" i="31" s="1"/>
  <c r="M136" i="31" s="1"/>
  <c r="I136" i="31"/>
  <c r="J136" i="31" s="1"/>
  <c r="N136" i="31"/>
  <c r="O136" i="31"/>
  <c r="B137" i="31"/>
  <c r="AH137" i="31"/>
  <c r="F137" i="31"/>
  <c r="G137" i="31"/>
  <c r="L137" i="31" s="1"/>
  <c r="M137" i="31" s="1"/>
  <c r="I137" i="31"/>
  <c r="J137" i="31" s="1"/>
  <c r="N137" i="31"/>
  <c r="O137" i="31"/>
  <c r="S137" i="31"/>
  <c r="T5" i="24"/>
  <c r="AC103" i="24"/>
  <c r="Q122" i="24"/>
  <c r="Q126" i="24"/>
  <c r="S126" i="24"/>
  <c r="Q127" i="24"/>
  <c r="S127" i="24"/>
  <c r="Q128" i="24"/>
  <c r="Q129" i="24"/>
  <c r="R129" i="24"/>
  <c r="Q130" i="24"/>
  <c r="T130" i="24"/>
  <c r="Q131" i="24"/>
  <c r="Q132" i="24"/>
  <c r="T132" i="24"/>
  <c r="Q133" i="24"/>
  <c r="R133" i="24"/>
  <c r="Q134" i="24"/>
  <c r="Q135" i="24"/>
  <c r="R135" i="24"/>
  <c r="G19" i="24"/>
  <c r="L19" i="24" s="1"/>
  <c r="G21" i="24"/>
  <c r="L21" i="24" s="1"/>
  <c r="G29" i="24"/>
  <c r="L29" i="24" s="1"/>
  <c r="G37" i="24"/>
  <c r="L37" i="24" s="1"/>
  <c r="G45" i="24"/>
  <c r="L45" i="24" s="1"/>
  <c r="G55" i="24"/>
  <c r="L55" i="24" s="1"/>
  <c r="G59" i="24"/>
  <c r="L59" i="24" s="1"/>
  <c r="G63" i="24"/>
  <c r="L63" i="24" s="1"/>
  <c r="G67" i="24"/>
  <c r="L67" i="24" s="1"/>
  <c r="G71" i="24"/>
  <c r="L71" i="24" s="1"/>
  <c r="G75" i="24"/>
  <c r="L75" i="24" s="1"/>
  <c r="G79" i="24"/>
  <c r="L79" i="24" s="1"/>
  <c r="G83" i="24"/>
  <c r="L83" i="24" s="1"/>
  <c r="G87" i="24"/>
  <c r="L87" i="24" s="1"/>
  <c r="G91" i="24"/>
  <c r="L91" i="24" s="1"/>
  <c r="G95" i="24"/>
  <c r="L95" i="24" s="1"/>
  <c r="G99" i="24"/>
  <c r="L99" i="24" s="1"/>
  <c r="N19" i="24"/>
  <c r="N23" i="24"/>
  <c r="N27" i="24"/>
  <c r="N31" i="24"/>
  <c r="N35" i="24"/>
  <c r="N39" i="24"/>
  <c r="N43" i="24"/>
  <c r="N47" i="24"/>
  <c r="N51" i="24"/>
  <c r="N55" i="24"/>
  <c r="N59" i="24"/>
  <c r="N63" i="24"/>
  <c r="N67" i="24"/>
  <c r="N71" i="24"/>
  <c r="N75" i="24"/>
  <c r="N79" i="24"/>
  <c r="N83" i="24"/>
  <c r="N87" i="24"/>
  <c r="N91" i="24"/>
  <c r="N95" i="24"/>
  <c r="N99" i="24"/>
  <c r="O26" i="24"/>
  <c r="O42" i="24"/>
  <c r="O58" i="24"/>
  <c r="O74" i="24"/>
  <c r="O90" i="24"/>
  <c r="AH102" i="24"/>
  <c r="N104" i="24"/>
  <c r="AH104" i="24"/>
  <c r="N106" i="24"/>
  <c r="N108" i="24"/>
  <c r="AH108" i="24"/>
  <c r="AH110" i="24"/>
  <c r="N112" i="24"/>
  <c r="AH112" i="24"/>
  <c r="N114" i="24"/>
  <c r="G116" i="24"/>
  <c r="L116" i="24" s="1"/>
  <c r="N116" i="24"/>
  <c r="O116" i="24"/>
  <c r="AH116" i="24"/>
  <c r="N118" i="24"/>
  <c r="AH118" i="24"/>
  <c r="G120" i="24"/>
  <c r="L120" i="24" s="1"/>
  <c r="N120" i="24"/>
  <c r="O120" i="24"/>
  <c r="AH120" i="24"/>
  <c r="N122" i="24"/>
  <c r="AH122" i="24"/>
  <c r="G124" i="24"/>
  <c r="L124" i="24" s="1"/>
  <c r="N124" i="24"/>
  <c r="O124" i="24"/>
  <c r="AH124" i="24"/>
  <c r="I126" i="24"/>
  <c r="J126" i="24" s="1"/>
  <c r="G126" i="24"/>
  <c r="L126" i="24" s="1"/>
  <c r="M126" i="24" s="1"/>
  <c r="N126" i="24"/>
  <c r="O126" i="24"/>
  <c r="R126" i="24"/>
  <c r="AH126" i="24"/>
  <c r="I127" i="24"/>
  <c r="J127" i="24" s="1"/>
  <c r="G127" i="24"/>
  <c r="L127" i="24" s="1"/>
  <c r="M127" i="24" s="1"/>
  <c r="N127" i="24"/>
  <c r="O127" i="24"/>
  <c r="T127" i="24"/>
  <c r="I128" i="24"/>
  <c r="J128" i="24" s="1"/>
  <c r="G128" i="24"/>
  <c r="L128" i="24" s="1"/>
  <c r="M128" i="24" s="1"/>
  <c r="N128" i="24"/>
  <c r="O128" i="24"/>
  <c r="T128" i="24"/>
  <c r="I129" i="24"/>
  <c r="J129" i="24" s="1"/>
  <c r="G129" i="24"/>
  <c r="L129" i="24" s="1"/>
  <c r="M129" i="24" s="1"/>
  <c r="N129" i="24"/>
  <c r="O129" i="24"/>
  <c r="V129" i="24"/>
  <c r="I130" i="24"/>
  <c r="J130" i="24" s="1"/>
  <c r="G130" i="24"/>
  <c r="L130" i="24" s="1"/>
  <c r="M130" i="24" s="1"/>
  <c r="N130" i="24"/>
  <c r="O130" i="24"/>
  <c r="V130" i="24"/>
  <c r="I131" i="24"/>
  <c r="J131" i="24" s="1"/>
  <c r="G131" i="24"/>
  <c r="L131" i="24" s="1"/>
  <c r="M131" i="24" s="1"/>
  <c r="N131" i="24"/>
  <c r="O131" i="24"/>
  <c r="R131" i="24"/>
  <c r="S131" i="24"/>
  <c r="T131" i="24"/>
  <c r="V131" i="24"/>
  <c r="X131" i="24"/>
  <c r="AI131" i="24"/>
  <c r="I132" i="24"/>
  <c r="J132" i="24" s="1"/>
  <c r="G132" i="24"/>
  <c r="L132" i="24" s="1"/>
  <c r="M132" i="24" s="1"/>
  <c r="N132" i="24"/>
  <c r="O132" i="24"/>
  <c r="I133" i="24"/>
  <c r="J133" i="24" s="1"/>
  <c r="G133" i="24"/>
  <c r="L133" i="24" s="1"/>
  <c r="M133" i="24" s="1"/>
  <c r="N133" i="24"/>
  <c r="O133" i="24"/>
  <c r="V133" i="24"/>
  <c r="I134" i="24"/>
  <c r="J134" i="24" s="1"/>
  <c r="G134" i="24"/>
  <c r="L134" i="24" s="1"/>
  <c r="M134" i="24" s="1"/>
  <c r="N134" i="24"/>
  <c r="O134" i="24"/>
  <c r="R134" i="24"/>
  <c r="S134" i="24"/>
  <c r="T134" i="24"/>
  <c r="V134" i="24"/>
  <c r="X134" i="24"/>
  <c r="AI134" i="24"/>
  <c r="AH134" i="24"/>
  <c r="I135" i="24"/>
  <c r="J135" i="24" s="1"/>
  <c r="G135" i="24"/>
  <c r="L135" i="24" s="1"/>
  <c r="M135" i="24" s="1"/>
  <c r="N135" i="24"/>
  <c r="O135" i="24"/>
  <c r="V135" i="24"/>
  <c r="B116" i="24"/>
  <c r="F116" i="24"/>
  <c r="Q97" i="24"/>
  <c r="B117" i="24"/>
  <c r="B118" i="24"/>
  <c r="G118" i="24"/>
  <c r="L118" i="24" s="1"/>
  <c r="B119" i="24"/>
  <c r="N119" i="24"/>
  <c r="B120" i="24"/>
  <c r="B121" i="24"/>
  <c r="B122" i="24"/>
  <c r="G122" i="24"/>
  <c r="L122" i="24" s="1"/>
  <c r="B123" i="24"/>
  <c r="N123" i="24"/>
  <c r="B124" i="24"/>
  <c r="B125" i="24"/>
  <c r="Q136" i="24"/>
  <c r="R136" i="24"/>
  <c r="Q137" i="24"/>
  <c r="X137" i="24"/>
  <c r="AI137" i="24"/>
  <c r="F118" i="24"/>
  <c r="F119" i="24"/>
  <c r="F120" i="24"/>
  <c r="F122" i="24"/>
  <c r="F123" i="24"/>
  <c r="F124" i="24"/>
  <c r="B126" i="24"/>
  <c r="F126" i="24"/>
  <c r="B127" i="24"/>
  <c r="AH127" i="24"/>
  <c r="F127" i="24"/>
  <c r="B128" i="24"/>
  <c r="AH128" i="24"/>
  <c r="F128" i="24"/>
  <c r="B129" i="24"/>
  <c r="AH129" i="24"/>
  <c r="F129" i="24"/>
  <c r="B130" i="24"/>
  <c r="AH130" i="24"/>
  <c r="F130" i="24"/>
  <c r="B131" i="24"/>
  <c r="AH131" i="24"/>
  <c r="F131" i="24"/>
  <c r="B132" i="24"/>
  <c r="AH132" i="24"/>
  <c r="F132" i="24"/>
  <c r="B133" i="24"/>
  <c r="AH133" i="24"/>
  <c r="F133" i="24"/>
  <c r="B134" i="24"/>
  <c r="F134" i="24"/>
  <c r="B135" i="24"/>
  <c r="AH135" i="24"/>
  <c r="F135" i="24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Q25" i="24"/>
  <c r="Q41" i="24"/>
  <c r="Q59" i="24"/>
  <c r="Q79" i="24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V14" i="10"/>
  <c r="C14" i="10"/>
  <c r="B14" i="10"/>
  <c r="B18" i="24"/>
  <c r="O18" i="24"/>
  <c r="B19" i="24"/>
  <c r="O19" i="24"/>
  <c r="B20" i="24"/>
  <c r="G20" i="24"/>
  <c r="L20" i="24" s="1"/>
  <c r="B21" i="24"/>
  <c r="N21" i="24"/>
  <c r="B22" i="24"/>
  <c r="O22" i="24"/>
  <c r="B23" i="24"/>
  <c r="O23" i="24"/>
  <c r="B24" i="24"/>
  <c r="G24" i="24"/>
  <c r="L24" i="24" s="1"/>
  <c r="B25" i="24"/>
  <c r="G25" i="24"/>
  <c r="L25" i="24" s="1"/>
  <c r="B26" i="24"/>
  <c r="AH26" i="24"/>
  <c r="B27" i="24"/>
  <c r="G27" i="24"/>
  <c r="L27" i="24" s="1"/>
  <c r="B28" i="24"/>
  <c r="G28" i="24"/>
  <c r="L28" i="24" s="1"/>
  <c r="B29" i="24"/>
  <c r="N29" i="24"/>
  <c r="B30" i="24"/>
  <c r="AH30" i="24"/>
  <c r="B31" i="24"/>
  <c r="O31" i="24"/>
  <c r="B32" i="24"/>
  <c r="G32" i="24"/>
  <c r="L32" i="24" s="1"/>
  <c r="B33" i="24"/>
  <c r="G33" i="24"/>
  <c r="L33" i="24" s="1"/>
  <c r="B34" i="24"/>
  <c r="AH34" i="24"/>
  <c r="B35" i="24"/>
  <c r="G35" i="24"/>
  <c r="L35" i="24" s="1"/>
  <c r="B36" i="24"/>
  <c r="G36" i="24"/>
  <c r="L36" i="24" s="1"/>
  <c r="B37" i="24"/>
  <c r="N37" i="24"/>
  <c r="B38" i="24"/>
  <c r="O38" i="24"/>
  <c r="B39" i="24"/>
  <c r="O39" i="24"/>
  <c r="B40" i="24"/>
  <c r="G40" i="24"/>
  <c r="L40" i="24" s="1"/>
  <c r="B41" i="24"/>
  <c r="G41" i="24"/>
  <c r="L41" i="24" s="1"/>
  <c r="B42" i="24"/>
  <c r="AH42" i="24"/>
  <c r="B43" i="24"/>
  <c r="G43" i="24"/>
  <c r="L43" i="24" s="1"/>
  <c r="B44" i="24"/>
  <c r="G44" i="24"/>
  <c r="L44" i="24" s="1"/>
  <c r="B45" i="24"/>
  <c r="N45" i="24"/>
  <c r="B46" i="24"/>
  <c r="AH46" i="24"/>
  <c r="B47" i="24"/>
  <c r="O47" i="24"/>
  <c r="B48" i="24"/>
  <c r="G48" i="24"/>
  <c r="L48" i="24" s="1"/>
  <c r="B49" i="24"/>
  <c r="G49" i="24"/>
  <c r="L49" i="24" s="1"/>
  <c r="B50" i="24"/>
  <c r="AH50" i="24"/>
  <c r="B51" i="24"/>
  <c r="G51" i="24"/>
  <c r="L51" i="24" s="1"/>
  <c r="B52" i="24"/>
  <c r="G52" i="24"/>
  <c r="L52" i="24" s="1"/>
  <c r="B53" i="24"/>
  <c r="G53" i="24"/>
  <c r="L53" i="24" s="1"/>
  <c r="B54" i="24"/>
  <c r="O54" i="24"/>
  <c r="B55" i="24"/>
  <c r="O55" i="24"/>
  <c r="B56" i="24"/>
  <c r="N56" i="24"/>
  <c r="B57" i="24"/>
  <c r="G57" i="24"/>
  <c r="L57" i="24" s="1"/>
  <c r="B58" i="24"/>
  <c r="AH58" i="24"/>
  <c r="B59" i="24"/>
  <c r="O59" i="24"/>
  <c r="B60" i="24"/>
  <c r="N60" i="24"/>
  <c r="B61" i="24"/>
  <c r="G61" i="24"/>
  <c r="L61" i="24" s="1"/>
  <c r="B62" i="24"/>
  <c r="AH62" i="24"/>
  <c r="B63" i="24"/>
  <c r="O63" i="24"/>
  <c r="B64" i="24"/>
  <c r="N64" i="24"/>
  <c r="B65" i="24"/>
  <c r="G65" i="24"/>
  <c r="L65" i="24" s="1"/>
  <c r="B66" i="24"/>
  <c r="AH66" i="24"/>
  <c r="B67" i="24"/>
  <c r="O67" i="24"/>
  <c r="B68" i="24"/>
  <c r="N68" i="24"/>
  <c r="B69" i="24"/>
  <c r="G69" i="24"/>
  <c r="L69" i="24" s="1"/>
  <c r="B70" i="24"/>
  <c r="O70" i="24"/>
  <c r="B71" i="24"/>
  <c r="O71" i="24"/>
  <c r="B72" i="24"/>
  <c r="N72" i="24"/>
  <c r="B73" i="24"/>
  <c r="G73" i="24"/>
  <c r="L73" i="24" s="1"/>
  <c r="B74" i="24"/>
  <c r="AH74" i="24"/>
  <c r="B75" i="24"/>
  <c r="O75" i="24"/>
  <c r="B76" i="24"/>
  <c r="N76" i="24"/>
  <c r="B77" i="24"/>
  <c r="G77" i="24"/>
  <c r="L77" i="24" s="1"/>
  <c r="B78" i="24"/>
  <c r="AH78" i="24"/>
  <c r="B79" i="24"/>
  <c r="O79" i="24"/>
  <c r="B80" i="24"/>
  <c r="N80" i="24"/>
  <c r="B81" i="24"/>
  <c r="G81" i="24"/>
  <c r="L81" i="24" s="1"/>
  <c r="B82" i="24"/>
  <c r="AH82" i="24"/>
  <c r="B83" i="24"/>
  <c r="O83" i="24"/>
  <c r="B84" i="24"/>
  <c r="N84" i="24"/>
  <c r="B85" i="24"/>
  <c r="G85" i="24"/>
  <c r="L85" i="24" s="1"/>
  <c r="B86" i="24"/>
  <c r="O86" i="24"/>
  <c r="B87" i="24"/>
  <c r="O87" i="24"/>
  <c r="B88" i="24"/>
  <c r="N88" i="24"/>
  <c r="B89" i="24"/>
  <c r="G89" i="24"/>
  <c r="L89" i="24" s="1"/>
  <c r="B90" i="24"/>
  <c r="AH90" i="24"/>
  <c r="B91" i="24"/>
  <c r="O91" i="24"/>
  <c r="B92" i="24"/>
  <c r="N92" i="24"/>
  <c r="B93" i="24"/>
  <c r="G93" i="24"/>
  <c r="L93" i="24" s="1"/>
  <c r="B94" i="24"/>
  <c r="AH94" i="24"/>
  <c r="B95" i="24"/>
  <c r="O95" i="24"/>
  <c r="B96" i="24"/>
  <c r="N96" i="24"/>
  <c r="B97" i="24"/>
  <c r="G97" i="24"/>
  <c r="L97" i="24" s="1"/>
  <c r="B98" i="24"/>
  <c r="AH98" i="24"/>
  <c r="B99" i="24"/>
  <c r="O99" i="24"/>
  <c r="B100" i="24"/>
  <c r="G100" i="24"/>
  <c r="L100" i="24" s="1"/>
  <c r="B101" i="24"/>
  <c r="B102" i="24"/>
  <c r="B103" i="24"/>
  <c r="N103" i="24"/>
  <c r="B104" i="24"/>
  <c r="G104" i="24"/>
  <c r="L104" i="24" s="1"/>
  <c r="B105" i="24"/>
  <c r="N105" i="24"/>
  <c r="B106" i="24"/>
  <c r="B107" i="24"/>
  <c r="B108" i="24"/>
  <c r="G108" i="24"/>
  <c r="L108" i="24" s="1"/>
  <c r="B109" i="24"/>
  <c r="N109" i="24"/>
  <c r="B110" i="24"/>
  <c r="B111" i="24"/>
  <c r="B112" i="24"/>
  <c r="G112" i="24"/>
  <c r="L112" i="24" s="1"/>
  <c r="B113" i="24"/>
  <c r="N113" i="24"/>
  <c r="B114" i="24"/>
  <c r="B115" i="24"/>
  <c r="F111" i="24"/>
  <c r="F112" i="24"/>
  <c r="F113" i="24"/>
  <c r="F115" i="24"/>
  <c r="O136" i="24"/>
  <c r="O137" i="24"/>
  <c r="B3" i="24"/>
  <c r="T14" i="24"/>
  <c r="F18" i="24"/>
  <c r="AH18" i="24"/>
  <c r="F19" i="24"/>
  <c r="AH19" i="24"/>
  <c r="F20" i="24"/>
  <c r="AH20" i="24"/>
  <c r="F21" i="24"/>
  <c r="AH21" i="24"/>
  <c r="AH22" i="24"/>
  <c r="F23" i="24"/>
  <c r="AH23" i="24"/>
  <c r="F24" i="24"/>
  <c r="AH24" i="24"/>
  <c r="F25" i="24"/>
  <c r="AH25" i="24"/>
  <c r="F26" i="24"/>
  <c r="F27" i="24"/>
  <c r="AH27" i="24"/>
  <c r="F28" i="24"/>
  <c r="AH28" i="24"/>
  <c r="F29" i="24"/>
  <c r="AH29" i="24"/>
  <c r="F30" i="24"/>
  <c r="F31" i="24"/>
  <c r="AH31" i="24"/>
  <c r="F32" i="24"/>
  <c r="AH32" i="24"/>
  <c r="F33" i="24"/>
  <c r="AH33" i="24"/>
  <c r="F34" i="24"/>
  <c r="F35" i="24"/>
  <c r="AH35" i="24"/>
  <c r="F36" i="24"/>
  <c r="AH36" i="24"/>
  <c r="F37" i="24"/>
  <c r="AH37" i="24"/>
  <c r="F38" i="24"/>
  <c r="F39" i="24"/>
  <c r="AH39" i="24"/>
  <c r="F40" i="24"/>
  <c r="AH40" i="24"/>
  <c r="F41" i="24"/>
  <c r="AH41" i="24"/>
  <c r="F42" i="24"/>
  <c r="F43" i="24"/>
  <c r="AH43" i="24"/>
  <c r="F44" i="24"/>
  <c r="AH44" i="24"/>
  <c r="F45" i="24"/>
  <c r="AH45" i="24"/>
  <c r="F46" i="24"/>
  <c r="F47" i="24"/>
  <c r="AH47" i="24"/>
  <c r="F48" i="24"/>
  <c r="AH48" i="24"/>
  <c r="F49" i="24"/>
  <c r="AH49" i="24"/>
  <c r="F50" i="24"/>
  <c r="F51" i="24"/>
  <c r="AH51" i="24"/>
  <c r="F52" i="24"/>
  <c r="AH52" i="24"/>
  <c r="F53" i="24"/>
  <c r="AH53" i="24"/>
  <c r="F54" i="24"/>
  <c r="F55" i="24"/>
  <c r="AH55" i="24"/>
  <c r="F56" i="24"/>
  <c r="AH56" i="24"/>
  <c r="F57" i="24"/>
  <c r="AH57" i="24"/>
  <c r="F58" i="24"/>
  <c r="F59" i="24"/>
  <c r="AH59" i="24"/>
  <c r="F60" i="24"/>
  <c r="AH60" i="24"/>
  <c r="F61" i="24"/>
  <c r="AH61" i="24"/>
  <c r="F62" i="24"/>
  <c r="F63" i="24"/>
  <c r="AH63" i="24"/>
  <c r="F64" i="24"/>
  <c r="AH64" i="24"/>
  <c r="F65" i="24"/>
  <c r="AH65" i="24"/>
  <c r="F66" i="24"/>
  <c r="F67" i="24"/>
  <c r="AH67" i="24"/>
  <c r="F68" i="24"/>
  <c r="AH68" i="24"/>
  <c r="F69" i="24"/>
  <c r="AH69" i="24"/>
  <c r="F70" i="24"/>
  <c r="F71" i="24"/>
  <c r="AH71" i="24"/>
  <c r="F72" i="24"/>
  <c r="AH72" i="24"/>
  <c r="F73" i="24"/>
  <c r="AH73" i="24"/>
  <c r="F74" i="24"/>
  <c r="F75" i="24"/>
  <c r="AH75" i="24"/>
  <c r="F76" i="24"/>
  <c r="AH76" i="24"/>
  <c r="F77" i="24"/>
  <c r="AH77" i="24"/>
  <c r="F78" i="24"/>
  <c r="F79" i="24"/>
  <c r="AH79" i="24"/>
  <c r="F80" i="24"/>
  <c r="AH80" i="24"/>
  <c r="F81" i="24"/>
  <c r="AH81" i="24"/>
  <c r="F82" i="24"/>
  <c r="F83" i="24"/>
  <c r="AH83" i="24"/>
  <c r="F84" i="24"/>
  <c r="AH84" i="24"/>
  <c r="F85" i="24"/>
  <c r="AH85" i="24"/>
  <c r="F86" i="24"/>
  <c r="F87" i="24"/>
  <c r="AH87" i="24"/>
  <c r="F88" i="24"/>
  <c r="AH88" i="24"/>
  <c r="F89" i="24"/>
  <c r="AH89" i="24"/>
  <c r="F90" i="24"/>
  <c r="F91" i="24"/>
  <c r="AH91" i="24"/>
  <c r="F92" i="24"/>
  <c r="AH92" i="24"/>
  <c r="F93" i="24"/>
  <c r="AH93" i="24"/>
  <c r="F94" i="24"/>
  <c r="F95" i="24"/>
  <c r="AH95" i="24"/>
  <c r="F96" i="24"/>
  <c r="AH96" i="24"/>
  <c r="F97" i="24"/>
  <c r="AH97" i="24"/>
  <c r="F98" i="24"/>
  <c r="F99" i="24"/>
  <c r="AH99" i="24"/>
  <c r="F100" i="24"/>
  <c r="Z100" i="24"/>
  <c r="AH100" i="24"/>
  <c r="F101" i="24"/>
  <c r="F102" i="24"/>
  <c r="F103" i="24"/>
  <c r="F104" i="24"/>
  <c r="F105" i="24"/>
  <c r="F106" i="24"/>
  <c r="F107" i="24"/>
  <c r="F108" i="24"/>
  <c r="F109" i="24"/>
  <c r="F110" i="24"/>
  <c r="B136" i="24"/>
  <c r="AH136" i="24"/>
  <c r="F136" i="24"/>
  <c r="G136" i="24"/>
  <c r="L136" i="24" s="1"/>
  <c r="M136" i="24" s="1"/>
  <c r="I136" i="24"/>
  <c r="J136" i="24" s="1"/>
  <c r="N136" i="24"/>
  <c r="S136" i="24"/>
  <c r="B137" i="24"/>
  <c r="AH137" i="24"/>
  <c r="F137" i="24"/>
  <c r="G137" i="24"/>
  <c r="L137" i="24" s="1"/>
  <c r="M137" i="24" s="1"/>
  <c r="I137" i="24"/>
  <c r="J137" i="24" s="1"/>
  <c r="N137" i="24"/>
  <c r="V137" i="24"/>
  <c r="B15" i="10"/>
  <c r="C15" i="10"/>
  <c r="V15" i="10"/>
  <c r="V6" i="10"/>
  <c r="B2" i="10"/>
  <c r="C6" i="10"/>
  <c r="B6" i="10"/>
  <c r="T133" i="24"/>
  <c r="T129" i="24"/>
  <c r="Q135" i="31"/>
  <c r="Q127" i="31"/>
  <c r="Q123" i="31"/>
  <c r="Q119" i="31"/>
  <c r="Q111" i="31"/>
  <c r="Q107" i="31"/>
  <c r="Q103" i="31"/>
  <c r="Q95" i="31"/>
  <c r="Q91" i="31"/>
  <c r="Q87" i="31"/>
  <c r="Q79" i="31"/>
  <c r="Q18" i="31"/>
  <c r="S18" i="31"/>
  <c r="Q94" i="31"/>
  <c r="Q51" i="31"/>
  <c r="Q30" i="33"/>
  <c r="Q22" i="33"/>
  <c r="S133" i="24"/>
  <c r="S129" i="24"/>
  <c r="Q134" i="31"/>
  <c r="Q130" i="31"/>
  <c r="Q126" i="31"/>
  <c r="Q122" i="31"/>
  <c r="Q118" i="31"/>
  <c r="Q114" i="31"/>
  <c r="Q106" i="31"/>
  <c r="Q102" i="31"/>
  <c r="Q98" i="31"/>
  <c r="Q90" i="31"/>
  <c r="Q86" i="31"/>
  <c r="Q82" i="31"/>
  <c r="Q78" i="31"/>
  <c r="Q70" i="31"/>
  <c r="Q62" i="31"/>
  <c r="Q54" i="31"/>
  <c r="Q46" i="31"/>
  <c r="Q38" i="31"/>
  <c r="Q30" i="31"/>
  <c r="Q22" i="31"/>
  <c r="R22" i="31"/>
  <c r="Q19" i="31"/>
  <c r="R19" i="31"/>
  <c r="Q131" i="31"/>
  <c r="Q83" i="31"/>
  <c r="Q35" i="31"/>
  <c r="X133" i="24"/>
  <c r="AI133" i="24"/>
  <c r="X129" i="24"/>
  <c r="AI129" i="24"/>
  <c r="Q21" i="31"/>
  <c r="S21" i="31"/>
  <c r="Q115" i="31"/>
  <c r="Q72" i="31"/>
  <c r="Q101" i="24"/>
  <c r="Q103" i="24"/>
  <c r="Q107" i="24"/>
  <c r="Q111" i="24"/>
  <c r="Q115" i="24"/>
  <c r="Q119" i="24"/>
  <c r="Q123" i="24"/>
  <c r="Q105" i="24"/>
  <c r="Q109" i="24"/>
  <c r="Q113" i="24"/>
  <c r="Q117" i="24"/>
  <c r="Q121" i="24"/>
  <c r="Q125" i="24"/>
  <c r="Q108" i="24"/>
  <c r="Q116" i="24"/>
  <c r="Q124" i="24"/>
  <c r="Q82" i="24"/>
  <c r="Q86" i="24"/>
  <c r="Q90" i="24"/>
  <c r="Q94" i="24"/>
  <c r="Q98" i="24"/>
  <c r="Q18" i="24"/>
  <c r="S18" i="24"/>
  <c r="Q22" i="24"/>
  <c r="Q26" i="24"/>
  <c r="Q30" i="24"/>
  <c r="Q34" i="24"/>
  <c r="Q38" i="24"/>
  <c r="Q42" i="24"/>
  <c r="Q46" i="24"/>
  <c r="Q51" i="24"/>
  <c r="Q56" i="24"/>
  <c r="Q61" i="24"/>
  <c r="Q66" i="24"/>
  <c r="Q71" i="24"/>
  <c r="Q76" i="24"/>
  <c r="Q81" i="24"/>
  <c r="Q102" i="24"/>
  <c r="Q110" i="24"/>
  <c r="Q118" i="24"/>
  <c r="Q83" i="24"/>
  <c r="Q87" i="24"/>
  <c r="Q91" i="24"/>
  <c r="Q95" i="24"/>
  <c r="Q99" i="24"/>
  <c r="Q19" i="24"/>
  <c r="Q23" i="24"/>
  <c r="Q27" i="24"/>
  <c r="Q31" i="24"/>
  <c r="Q35" i="24"/>
  <c r="Q39" i="24"/>
  <c r="Q43" i="24"/>
  <c r="Q47" i="24"/>
  <c r="Q52" i="24"/>
  <c r="Q57" i="24"/>
  <c r="Q62" i="24"/>
  <c r="Q67" i="24"/>
  <c r="Q72" i="24"/>
  <c r="Q77" i="24"/>
  <c r="Q104" i="24"/>
  <c r="Q112" i="24"/>
  <c r="Q120" i="24"/>
  <c r="Q84" i="24"/>
  <c r="Q88" i="24"/>
  <c r="Q92" i="24"/>
  <c r="Q96" i="24"/>
  <c r="Q100" i="24"/>
  <c r="Q50" i="24"/>
  <c r="Q55" i="24"/>
  <c r="Q60" i="24"/>
  <c r="Q65" i="24"/>
  <c r="Q70" i="24"/>
  <c r="Q75" i="24"/>
  <c r="Q80" i="24"/>
  <c r="Q20" i="24"/>
  <c r="Q24" i="24"/>
  <c r="Q28" i="24"/>
  <c r="Q32" i="24"/>
  <c r="Q36" i="24"/>
  <c r="Q40" i="24"/>
  <c r="Q44" i="24"/>
  <c r="Q48" i="24"/>
  <c r="Q53" i="24"/>
  <c r="Q58" i="24"/>
  <c r="Q63" i="24"/>
  <c r="Q68" i="24"/>
  <c r="Q73" i="24"/>
  <c r="Q78" i="24"/>
  <c r="AH86" i="24"/>
  <c r="AH70" i="24"/>
  <c r="AH54" i="24"/>
  <c r="AH38" i="24"/>
  <c r="F22" i="24"/>
  <c r="N115" i="24"/>
  <c r="AH115" i="24"/>
  <c r="G115" i="24"/>
  <c r="L115" i="24" s="1"/>
  <c r="O115" i="24"/>
  <c r="N111" i="24"/>
  <c r="AH111" i="24"/>
  <c r="G111" i="24"/>
  <c r="L111" i="24" s="1"/>
  <c r="O111" i="24"/>
  <c r="N107" i="24"/>
  <c r="AH107" i="24"/>
  <c r="G107" i="24"/>
  <c r="L107" i="24" s="1"/>
  <c r="O107" i="24"/>
  <c r="Q74" i="24"/>
  <c r="Q54" i="24"/>
  <c r="Q37" i="24"/>
  <c r="Q21" i="24"/>
  <c r="Q93" i="24"/>
  <c r="V132" i="24"/>
  <c r="R132" i="24"/>
  <c r="X132" i="24"/>
  <c r="AI132" i="24"/>
  <c r="S132" i="24"/>
  <c r="V128" i="24"/>
  <c r="R128" i="24"/>
  <c r="X128" i="24"/>
  <c r="AI128" i="24"/>
  <c r="S128" i="24"/>
  <c r="Q114" i="24"/>
  <c r="AD128" i="31"/>
  <c r="AA108" i="31"/>
  <c r="AA102" i="31"/>
  <c r="AC51" i="31"/>
  <c r="AC46" i="31"/>
  <c r="Z45" i="31"/>
  <c r="G114" i="24"/>
  <c r="L114" i="24" s="1"/>
  <c r="O114" i="24"/>
  <c r="F114" i="24"/>
  <c r="G110" i="24"/>
  <c r="L110" i="24" s="1"/>
  <c r="O110" i="24"/>
  <c r="G106" i="24"/>
  <c r="L106" i="24" s="1"/>
  <c r="O106" i="24"/>
  <c r="G102" i="24"/>
  <c r="L102" i="24" s="1"/>
  <c r="O102" i="24"/>
  <c r="G98" i="24"/>
  <c r="L98" i="24" s="1"/>
  <c r="N98" i="24"/>
  <c r="G94" i="24"/>
  <c r="L94" i="24" s="1"/>
  <c r="N94" i="24"/>
  <c r="G90" i="24"/>
  <c r="L90" i="24" s="1"/>
  <c r="N90" i="24"/>
  <c r="G86" i="24"/>
  <c r="L86" i="24" s="1"/>
  <c r="N86" i="24"/>
  <c r="G82" i="24"/>
  <c r="L82" i="24" s="1"/>
  <c r="N82" i="24"/>
  <c r="G78" i="24"/>
  <c r="L78" i="24" s="1"/>
  <c r="N78" i="24"/>
  <c r="G74" i="24"/>
  <c r="L74" i="24" s="1"/>
  <c r="N74" i="24"/>
  <c r="G70" i="24"/>
  <c r="L70" i="24" s="1"/>
  <c r="N70" i="24"/>
  <c r="G66" i="24"/>
  <c r="L66" i="24" s="1"/>
  <c r="N66" i="24"/>
  <c r="G62" i="24"/>
  <c r="L62" i="24" s="1"/>
  <c r="M63" i="24" s="1"/>
  <c r="N62" i="24"/>
  <c r="G58" i="24"/>
  <c r="L58" i="24" s="1"/>
  <c r="N58" i="24"/>
  <c r="G54" i="24"/>
  <c r="L54" i="24" s="1"/>
  <c r="N54" i="24"/>
  <c r="G50" i="24"/>
  <c r="L50" i="24" s="1"/>
  <c r="N50" i="24"/>
  <c r="G46" i="24"/>
  <c r="L46" i="24" s="1"/>
  <c r="N46" i="24"/>
  <c r="G42" i="24"/>
  <c r="L42" i="24" s="1"/>
  <c r="N42" i="24"/>
  <c r="G38" i="24"/>
  <c r="L38" i="24" s="1"/>
  <c r="N38" i="24"/>
  <c r="G34" i="24"/>
  <c r="L34" i="24" s="1"/>
  <c r="N34" i="24"/>
  <c r="G30" i="24"/>
  <c r="L30" i="24" s="1"/>
  <c r="N30" i="24"/>
  <c r="G26" i="24"/>
  <c r="L26" i="24" s="1"/>
  <c r="N26" i="24"/>
  <c r="G22" i="24"/>
  <c r="L22" i="24" s="1"/>
  <c r="N22" i="24"/>
  <c r="G18" i="24"/>
  <c r="L18" i="24" s="1"/>
  <c r="N18" i="24"/>
  <c r="Q69" i="24"/>
  <c r="Q49" i="24"/>
  <c r="Q33" i="24"/>
  <c r="Q89" i="24"/>
  <c r="AH114" i="24"/>
  <c r="N110" i="24"/>
  <c r="AH106" i="24"/>
  <c r="N102" i="24"/>
  <c r="O98" i="24"/>
  <c r="O82" i="24"/>
  <c r="O66" i="24"/>
  <c r="O50" i="24"/>
  <c r="O34" i="24"/>
  <c r="Q106" i="24"/>
  <c r="I28" i="31"/>
  <c r="J28" i="31" s="1"/>
  <c r="R28" i="31" s="1"/>
  <c r="I36" i="31"/>
  <c r="J36" i="31" s="1"/>
  <c r="R36" i="31" s="1"/>
  <c r="I44" i="31"/>
  <c r="J44" i="31" s="1"/>
  <c r="R44" i="31" s="1"/>
  <c r="I52" i="31"/>
  <c r="J52" i="31" s="1"/>
  <c r="R52" i="31" s="1"/>
  <c r="I53" i="31"/>
  <c r="J53" i="31" s="1"/>
  <c r="R53" i="31" s="1"/>
  <c r="I68" i="31"/>
  <c r="J68" i="31" s="1"/>
  <c r="R68" i="31" s="1"/>
  <c r="I69" i="31"/>
  <c r="J69" i="31" s="1"/>
  <c r="R69" i="31" s="1"/>
  <c r="I76" i="31"/>
  <c r="J76" i="31" s="1"/>
  <c r="R76" i="31" s="1"/>
  <c r="I82" i="31"/>
  <c r="J82" i="31" s="1"/>
  <c r="R82" i="31" s="1"/>
  <c r="I84" i="31"/>
  <c r="J84" i="31" s="1"/>
  <c r="R84" i="31" s="1"/>
  <c r="I88" i="31"/>
  <c r="J88" i="31" s="1"/>
  <c r="R88" i="31" s="1"/>
  <c r="I92" i="31"/>
  <c r="J92" i="31" s="1"/>
  <c r="R92" i="31" s="1"/>
  <c r="I96" i="31"/>
  <c r="J96" i="31" s="1"/>
  <c r="R96" i="31" s="1"/>
  <c r="I98" i="31"/>
  <c r="J98" i="31" s="1"/>
  <c r="R98" i="31" s="1"/>
  <c r="I104" i="31"/>
  <c r="J104" i="31" s="1"/>
  <c r="R104" i="31" s="1"/>
  <c r="I106" i="31"/>
  <c r="J106" i="31" s="1"/>
  <c r="R106" i="31" s="1"/>
  <c r="I108" i="31"/>
  <c r="J108" i="31" s="1"/>
  <c r="R108" i="31" s="1"/>
  <c r="I114" i="31"/>
  <c r="J114" i="31" s="1"/>
  <c r="R114" i="31" s="1"/>
  <c r="I116" i="31"/>
  <c r="J116" i="31" s="1"/>
  <c r="R116" i="31" s="1"/>
  <c r="I120" i="31"/>
  <c r="J120" i="31" s="1"/>
  <c r="R120" i="31" s="1"/>
  <c r="I124" i="31"/>
  <c r="J124" i="31" s="1"/>
  <c r="R124" i="31" s="1"/>
  <c r="I23" i="31"/>
  <c r="J23" i="31" s="1"/>
  <c r="I30" i="31"/>
  <c r="J30" i="31" s="1"/>
  <c r="R30" i="31" s="1"/>
  <c r="I39" i="31"/>
  <c r="J39" i="31" s="1"/>
  <c r="R39" i="31" s="1"/>
  <c r="I46" i="31"/>
  <c r="J46" i="31" s="1"/>
  <c r="R46" i="31" s="1"/>
  <c r="I47" i="31"/>
  <c r="J47" i="31" s="1"/>
  <c r="R47" i="31" s="1"/>
  <c r="I62" i="31"/>
  <c r="J62" i="31" s="1"/>
  <c r="R62" i="31" s="1"/>
  <c r="I63" i="31"/>
  <c r="J63" i="31" s="1"/>
  <c r="R63" i="31" s="1"/>
  <c r="I71" i="31"/>
  <c r="J71" i="31" s="1"/>
  <c r="R71" i="31" s="1"/>
  <c r="I25" i="31"/>
  <c r="J25" i="31" s="1"/>
  <c r="R25" i="31" s="1"/>
  <c r="I33" i="31"/>
  <c r="J33" i="31" s="1"/>
  <c r="R33" i="31" s="1"/>
  <c r="I40" i="31"/>
  <c r="J40" i="31" s="1"/>
  <c r="I49" i="31"/>
  <c r="J49" i="31" s="1"/>
  <c r="R49" i="31" s="1"/>
  <c r="I56" i="31"/>
  <c r="J56" i="31" s="1"/>
  <c r="R56" i="31" s="1"/>
  <c r="I57" i="31"/>
  <c r="J57" i="31" s="1"/>
  <c r="R57" i="31" s="1"/>
  <c r="I72" i="31"/>
  <c r="J72" i="31" s="1"/>
  <c r="R72" i="31" s="1"/>
  <c r="I73" i="31"/>
  <c r="J73" i="31" s="1"/>
  <c r="R73" i="31" s="1"/>
  <c r="I79" i="31"/>
  <c r="J79" i="31" s="1"/>
  <c r="R79" i="31" s="1"/>
  <c r="I83" i="31"/>
  <c r="J83" i="31" s="1"/>
  <c r="R83" i="31" s="1"/>
  <c r="I87" i="31"/>
  <c r="J87" i="31" s="1"/>
  <c r="R87" i="31" s="1"/>
  <c r="I89" i="31"/>
  <c r="J89" i="31" s="1"/>
  <c r="R89" i="31" s="1"/>
  <c r="I95" i="31"/>
  <c r="J95" i="31" s="1"/>
  <c r="R95" i="31" s="1"/>
  <c r="I97" i="31"/>
  <c r="J97" i="31" s="1"/>
  <c r="R97" i="31" s="1"/>
  <c r="I99" i="31"/>
  <c r="J99" i="31" s="1"/>
  <c r="R99" i="31" s="1"/>
  <c r="I105" i="31"/>
  <c r="J105" i="31" s="1"/>
  <c r="R105" i="31" s="1"/>
  <c r="I107" i="31"/>
  <c r="J107" i="31" s="1"/>
  <c r="R107" i="31" s="1"/>
  <c r="I111" i="31"/>
  <c r="J111" i="31" s="1"/>
  <c r="R111" i="31" s="1"/>
  <c r="I115" i="31"/>
  <c r="J115" i="31" s="1"/>
  <c r="R115" i="31" s="1"/>
  <c r="I119" i="31"/>
  <c r="J119" i="31" s="1"/>
  <c r="R119" i="31" s="1"/>
  <c r="I121" i="31"/>
  <c r="J121" i="31" s="1"/>
  <c r="R121" i="31" s="1"/>
  <c r="I127" i="31"/>
  <c r="J127" i="31" s="1"/>
  <c r="R127" i="31" s="1"/>
  <c r="I129" i="31"/>
  <c r="J129" i="31" s="1"/>
  <c r="R129" i="31" s="1"/>
  <c r="I131" i="31"/>
  <c r="J131" i="31" s="1"/>
  <c r="R131" i="31" s="1"/>
  <c r="T6" i="31"/>
  <c r="AA19" i="31"/>
  <c r="AA21" i="31"/>
  <c r="AD23" i="31"/>
  <c r="AA25" i="31"/>
  <c r="AC28" i="31"/>
  <c r="AA29" i="31"/>
  <c r="Z30" i="31"/>
  <c r="AA33" i="31"/>
  <c r="Z34" i="31"/>
  <c r="AA37" i="31"/>
  <c r="AD39" i="31"/>
  <c r="AF39" i="31"/>
  <c r="AC40" i="31"/>
  <c r="Z42" i="31"/>
  <c r="AD43" i="31"/>
  <c r="AC44" i="31"/>
  <c r="AF44" i="31"/>
  <c r="AD47" i="31"/>
  <c r="AC48" i="31"/>
  <c r="AF48" i="31"/>
  <c r="AA49" i="31"/>
  <c r="AD51" i="31"/>
  <c r="AA53" i="31"/>
  <c r="Z54" i="31"/>
  <c r="AA57" i="31"/>
  <c r="Z58" i="31"/>
  <c r="AA61" i="31"/>
  <c r="Z62" i="31"/>
  <c r="I34" i="31"/>
  <c r="J34" i="31" s="1"/>
  <c r="R34" i="31" s="1"/>
  <c r="I66" i="31"/>
  <c r="J66" i="31" s="1"/>
  <c r="R66" i="31" s="1"/>
  <c r="T7" i="31"/>
  <c r="I19" i="31"/>
  <c r="J19" i="31" s="1"/>
  <c r="I20" i="31"/>
  <c r="J20" i="31" s="1"/>
  <c r="AC20" i="31"/>
  <c r="AF20" i="31"/>
  <c r="I21" i="31"/>
  <c r="J21" i="31" s="1"/>
  <c r="R21" i="31"/>
  <c r="AC21" i="31"/>
  <c r="AD22" i="31"/>
  <c r="Z24" i="31"/>
  <c r="Z28" i="31"/>
  <c r="AC29" i="31"/>
  <c r="AD30" i="31"/>
  <c r="Z32" i="31"/>
  <c r="AD34" i="31"/>
  <c r="Z36" i="31"/>
  <c r="Z40" i="31"/>
  <c r="AC41" i="31"/>
  <c r="AD42" i="31"/>
  <c r="AD46" i="31"/>
  <c r="Z48" i="31"/>
  <c r="AD50" i="31"/>
  <c r="AC53" i="31"/>
  <c r="Z56" i="31"/>
  <c r="AC57" i="31"/>
  <c r="AF57" i="31"/>
  <c r="AC61" i="31"/>
  <c r="AD62" i="31"/>
  <c r="Z64" i="31"/>
  <c r="AA67" i="31"/>
  <c r="Z68" i="31"/>
  <c r="AC70" i="31"/>
  <c r="Z72" i="31"/>
  <c r="AC74" i="31"/>
  <c r="AA75" i="31"/>
  <c r="AD77" i="31"/>
  <c r="AC78" i="31"/>
  <c r="AA79" i="31"/>
  <c r="AD81" i="31"/>
  <c r="AC82" i="31"/>
  <c r="AA83" i="31"/>
  <c r="AD85" i="31"/>
  <c r="AF85" i="31"/>
  <c r="AC86" i="31"/>
  <c r="AA87" i="31"/>
  <c r="AD89" i="31"/>
  <c r="AF89" i="31"/>
  <c r="AC90" i="31"/>
  <c r="Z92" i="31"/>
  <c r="AD93" i="31"/>
  <c r="AC94" i="31"/>
  <c r="Z96" i="31"/>
  <c r="AD97" i="31"/>
  <c r="AA99" i="31"/>
  <c r="Z100" i="31"/>
  <c r="AD101" i="31"/>
  <c r="AA103" i="31"/>
  <c r="Z104" i="31"/>
  <c r="AD105" i="31"/>
  <c r="AA107" i="31"/>
  <c r="Z108" i="31"/>
  <c r="AD109" i="31"/>
  <c r="AA111" i="31"/>
  <c r="Z112" i="31"/>
  <c r="AD113" i="31"/>
  <c r="AC114" i="31"/>
  <c r="AA115" i="31"/>
  <c r="Z116" i="31"/>
  <c r="AC118" i="31"/>
  <c r="AA119" i="31"/>
  <c r="Z120" i="31"/>
  <c r="AC122" i="31"/>
  <c r="AA123" i="31"/>
  <c r="Z124" i="31"/>
  <c r="AC126" i="31"/>
  <c r="AF126" i="31"/>
  <c r="AA127" i="31"/>
  <c r="Z128" i="31"/>
  <c r="AC130" i="31"/>
  <c r="AA131" i="31"/>
  <c r="Z132" i="31"/>
  <c r="AC134" i="31"/>
  <c r="AA135" i="31"/>
  <c r="AA136" i="31"/>
  <c r="I35" i="31"/>
  <c r="J35" i="31" s="1"/>
  <c r="R35" i="31" s="1"/>
  <c r="I51" i="31"/>
  <c r="J51" i="31" s="1"/>
  <c r="R51" i="31" s="1"/>
  <c r="I67" i="31"/>
  <c r="J67" i="31" s="1"/>
  <c r="R67" i="31" s="1"/>
  <c r="AD19" i="31"/>
  <c r="AD20" i="31"/>
  <c r="AD21" i="31"/>
  <c r="AA24" i="31"/>
  <c r="AD25" i="31"/>
  <c r="Z27" i="31"/>
  <c r="AD29" i="31"/>
  <c r="Z31" i="31"/>
  <c r="AA32" i="31"/>
  <c r="Z35" i="31"/>
  <c r="AA36" i="31"/>
  <c r="AD37" i="31"/>
  <c r="AA40" i="31"/>
  <c r="AD41" i="31"/>
  <c r="Z43" i="31"/>
  <c r="AD45" i="31"/>
  <c r="Z47" i="31"/>
  <c r="AA48" i="31"/>
  <c r="Z51" i="31"/>
  <c r="AA52" i="31"/>
  <c r="AD53" i="31"/>
  <c r="AF53" i="31"/>
  <c r="AA56" i="31"/>
  <c r="AD57" i="31"/>
  <c r="Z59" i="31"/>
  <c r="AD61" i="31"/>
  <c r="Z63" i="31"/>
  <c r="AA64" i="31"/>
  <c r="AD66" i="31"/>
  <c r="AC67" i="31"/>
  <c r="AA68" i="31"/>
  <c r="AD70" i="31"/>
  <c r="AC71" i="31"/>
  <c r="AA72" i="31"/>
  <c r="AD74" i="31"/>
  <c r="AC75" i="31"/>
  <c r="AA76" i="31"/>
  <c r="AD78" i="31"/>
  <c r="AF78" i="31"/>
  <c r="AC79" i="31"/>
  <c r="AA80" i="31"/>
  <c r="AD82" i="31"/>
  <c r="AC83" i="31"/>
  <c r="AA84" i="31"/>
  <c r="AD86" i="31"/>
  <c r="AC87" i="31"/>
  <c r="AA88" i="31"/>
  <c r="AD90" i="31"/>
  <c r="AC91" i="31"/>
  <c r="AA92" i="31"/>
  <c r="AD94" i="31"/>
  <c r="AF94" i="31"/>
  <c r="AC95" i="31"/>
  <c r="AA96" i="31"/>
  <c r="AD98" i="31"/>
  <c r="AC99" i="31"/>
  <c r="AA100" i="31"/>
  <c r="I26" i="31"/>
  <c r="J26" i="31" s="1"/>
  <c r="R26" i="31" s="1"/>
  <c r="I42" i="31"/>
  <c r="J42" i="31" s="1"/>
  <c r="R42" i="31" s="1"/>
  <c r="I58" i="31"/>
  <c r="J58" i="31" s="1"/>
  <c r="R58" i="31" s="1"/>
  <c r="I128" i="31"/>
  <c r="J128" i="31" s="1"/>
  <c r="R128" i="31" s="1"/>
  <c r="AA22" i="31"/>
  <c r="AA23" i="31"/>
  <c r="AA26" i="31"/>
  <c r="AA27" i="31"/>
  <c r="AD28" i="31"/>
  <c r="AA30" i="31"/>
  <c r="AA31" i="31"/>
  <c r="AD32" i="31"/>
  <c r="AA34" i="31"/>
  <c r="AA35" i="31"/>
  <c r="AD36" i="31"/>
  <c r="AA38" i="31"/>
  <c r="AA39" i="31"/>
  <c r="AD40" i="31"/>
  <c r="AA42" i="31"/>
  <c r="AA43" i="31"/>
  <c r="AD44" i="31"/>
  <c r="AA46" i="31"/>
  <c r="AA47" i="31"/>
  <c r="AD48" i="31"/>
  <c r="AA50" i="31"/>
  <c r="AA51" i="31"/>
  <c r="AD52" i="31"/>
  <c r="AA54" i="31"/>
  <c r="AA55" i="31"/>
  <c r="AD56" i="31"/>
  <c r="AA58" i="31"/>
  <c r="AA59" i="31"/>
  <c r="AD60" i="31"/>
  <c r="AA62" i="31"/>
  <c r="AA63" i="31"/>
  <c r="AC64" i="31"/>
  <c r="AA65" i="31"/>
  <c r="Z66" i="31"/>
  <c r="AD67" i="31"/>
  <c r="AC68" i="31"/>
  <c r="AF68" i="31"/>
  <c r="AA69" i="31"/>
  <c r="Z70" i="31"/>
  <c r="AD71" i="31"/>
  <c r="AC72" i="31"/>
  <c r="AA73" i="31"/>
  <c r="Z74" i="31"/>
  <c r="AD75" i="31"/>
  <c r="AF75" i="31"/>
  <c r="AC76" i="31"/>
  <c r="AA77" i="31"/>
  <c r="Z78" i="31"/>
  <c r="AD79" i="31"/>
  <c r="AC80" i="31"/>
  <c r="AA81" i="31"/>
  <c r="Z82" i="31"/>
  <c r="AD83" i="31"/>
  <c r="AC84" i="31"/>
  <c r="AA85" i="31"/>
  <c r="Z86" i="31"/>
  <c r="AD87" i="31"/>
  <c r="AF87" i="31"/>
  <c r="AC88" i="31"/>
  <c r="AA89" i="31"/>
  <c r="Z90" i="31"/>
  <c r="AD91" i="31"/>
  <c r="AF91" i="31"/>
  <c r="AC92" i="31"/>
  <c r="AA93" i="31"/>
  <c r="Z94" i="31"/>
  <c r="AD95" i="31"/>
  <c r="AF95" i="31"/>
  <c r="AC96" i="31"/>
  <c r="AA97" i="31"/>
  <c r="Z98" i="31"/>
  <c r="AD99" i="31"/>
  <c r="AC100" i="31"/>
  <c r="AA101" i="31"/>
  <c r="Z102" i="31"/>
  <c r="AD103" i="31"/>
  <c r="AC104" i="31"/>
  <c r="AA105" i="31"/>
  <c r="Z106" i="31"/>
  <c r="AD107" i="31"/>
  <c r="AF107" i="31"/>
  <c r="AC108" i="31"/>
  <c r="AA109" i="31"/>
  <c r="Z110" i="31"/>
  <c r="AD111" i="31"/>
  <c r="AC112" i="31"/>
  <c r="AF112" i="31"/>
  <c r="AA113" i="31"/>
  <c r="Z114" i="31"/>
  <c r="AD115" i="31"/>
  <c r="AC116" i="31"/>
  <c r="AA117" i="31"/>
  <c r="Z118" i="31"/>
  <c r="AD119" i="31"/>
  <c r="AC120" i="31"/>
  <c r="AA121" i="31"/>
  <c r="Z122" i="31"/>
  <c r="AD123" i="31"/>
  <c r="AC124" i="31"/>
  <c r="AA125" i="31"/>
  <c r="Z126" i="31"/>
  <c r="AD127" i="31"/>
  <c r="AC128" i="31"/>
  <c r="AA129" i="31"/>
  <c r="Z130" i="31"/>
  <c r="AD131" i="31"/>
  <c r="AC132" i="31"/>
  <c r="AA133" i="31"/>
  <c r="Z134" i="31"/>
  <c r="AD135" i="31"/>
  <c r="AD136" i="31"/>
  <c r="AD137" i="31"/>
  <c r="I43" i="31"/>
  <c r="J43" i="31" s="1"/>
  <c r="R43" i="31" s="1"/>
  <c r="I75" i="31"/>
  <c r="J75" i="31" s="1"/>
  <c r="R75" i="31" s="1"/>
  <c r="Z25" i="31"/>
  <c r="AC26" i="31"/>
  <c r="AC31" i="31"/>
  <c r="Z41" i="31"/>
  <c r="AC42" i="31"/>
  <c r="AC47" i="31"/>
  <c r="AF47" i="31"/>
  <c r="Z57" i="31"/>
  <c r="AC58" i="31"/>
  <c r="AC63" i="31"/>
  <c r="AD64" i="31"/>
  <c r="AF64" i="31"/>
  <c r="Z67" i="31"/>
  <c r="AD72" i="31"/>
  <c r="Z75" i="31"/>
  <c r="AD80" i="31"/>
  <c r="AF80" i="31"/>
  <c r="Z83" i="31"/>
  <c r="AD88" i="31"/>
  <c r="Z91" i="31"/>
  <c r="AD96" i="31"/>
  <c r="Z99" i="31"/>
  <c r="AD102" i="31"/>
  <c r="AA104" i="31"/>
  <c r="Z105" i="31"/>
  <c r="Z107" i="31"/>
  <c r="AD108" i="31"/>
  <c r="AC109" i="31"/>
  <c r="AF109" i="31"/>
  <c r="AC111" i="31"/>
  <c r="AF111" i="31"/>
  <c r="AA114" i="31"/>
  <c r="AD118" i="31"/>
  <c r="AA120" i="31"/>
  <c r="Z121" i="31"/>
  <c r="Z123" i="31"/>
  <c r="AD124" i="31"/>
  <c r="AF124" i="31"/>
  <c r="AC125" i="31"/>
  <c r="AC127" i="31"/>
  <c r="AA130" i="31"/>
  <c r="AD134" i="31"/>
  <c r="AC137" i="31"/>
  <c r="I130" i="31"/>
  <c r="J130" i="31" s="1"/>
  <c r="R130" i="31" s="1"/>
  <c r="Z19" i="31"/>
  <c r="Z20" i="31"/>
  <c r="Z21" i="31"/>
  <c r="AC22" i="31"/>
  <c r="AF22" i="31"/>
  <c r="AC27" i="31"/>
  <c r="Z37" i="31"/>
  <c r="AC38" i="31"/>
  <c r="AC43" i="31"/>
  <c r="AF43" i="31"/>
  <c r="Z53" i="31"/>
  <c r="AC54" i="31"/>
  <c r="AC59" i="31"/>
  <c r="AC69" i="31"/>
  <c r="AA70" i="31"/>
  <c r="AC77" i="31"/>
  <c r="AF77" i="31"/>
  <c r="AA78" i="31"/>
  <c r="AC85" i="31"/>
  <c r="AA86" i="31"/>
  <c r="AC93" i="31"/>
  <c r="AF93" i="31"/>
  <c r="AA94" i="31"/>
  <c r="Z101" i="31"/>
  <c r="Z103" i="31"/>
  <c r="AD104" i="31"/>
  <c r="AF104" i="31"/>
  <c r="AC105" i="31"/>
  <c r="AC107" i="31"/>
  <c r="AA110" i="31"/>
  <c r="AD114" i="31"/>
  <c r="AA116" i="31"/>
  <c r="Z117" i="31"/>
  <c r="Z119" i="31"/>
  <c r="AD120" i="31"/>
  <c r="AF120" i="31"/>
  <c r="AC121" i="31"/>
  <c r="AC123" i="31"/>
  <c r="AA126" i="31"/>
  <c r="AD130" i="31"/>
  <c r="AA132" i="31"/>
  <c r="Z133" i="31"/>
  <c r="Z135" i="31"/>
  <c r="I27" i="31"/>
  <c r="J27" i="31" s="1"/>
  <c r="R27" i="31" s="1"/>
  <c r="I59" i="31"/>
  <c r="J59" i="31" s="1"/>
  <c r="R59" i="31" s="1"/>
  <c r="I18" i="31"/>
  <c r="J18" i="31" s="1"/>
  <c r="AC23" i="31"/>
  <c r="Z33" i="31"/>
  <c r="AC34" i="31"/>
  <c r="AC39" i="31"/>
  <c r="Z49" i="31"/>
  <c r="AC50" i="31"/>
  <c r="AF50" i="31"/>
  <c r="AC55" i="31"/>
  <c r="AD68" i="31"/>
  <c r="Z71" i="31"/>
  <c r="AD76" i="31"/>
  <c r="Z79" i="31"/>
  <c r="AD84" i="31"/>
  <c r="Z87" i="31"/>
  <c r="AD92" i="31"/>
  <c r="Z95" i="31"/>
  <c r="AD100" i="31"/>
  <c r="AC101" i="31"/>
  <c r="AF101" i="31"/>
  <c r="AC103" i="31"/>
  <c r="AA106" i="31"/>
  <c r="AD110" i="31"/>
  <c r="AA112" i="31"/>
  <c r="Z113" i="31"/>
  <c r="Z115" i="31"/>
  <c r="AD116" i="31"/>
  <c r="AC117" i="31"/>
  <c r="AC119" i="31"/>
  <c r="AA122" i="31"/>
  <c r="AD126" i="31"/>
  <c r="AA128" i="31"/>
  <c r="Z129" i="31"/>
  <c r="Z131" i="31"/>
  <c r="AD132" i="31"/>
  <c r="AC133" i="31"/>
  <c r="AC135" i="31"/>
  <c r="Z136" i="31"/>
  <c r="Q64" i="24"/>
  <c r="Q45" i="24"/>
  <c r="Q29" i="24"/>
  <c r="N125" i="24"/>
  <c r="AH125" i="24"/>
  <c r="G125" i="24"/>
  <c r="L125" i="24" s="1"/>
  <c r="O125" i="24"/>
  <c r="F125" i="24"/>
  <c r="N121" i="24"/>
  <c r="AH121" i="24"/>
  <c r="G121" i="24"/>
  <c r="L121" i="24" s="1"/>
  <c r="M122" i="24" s="1"/>
  <c r="O121" i="24"/>
  <c r="F121" i="24"/>
  <c r="N117" i="24"/>
  <c r="AH117" i="24"/>
  <c r="G117" i="24"/>
  <c r="L117" i="24" s="1"/>
  <c r="O117" i="24"/>
  <c r="F117" i="24"/>
  <c r="Q85" i="24"/>
  <c r="O94" i="24"/>
  <c r="O78" i="24"/>
  <c r="O62" i="24"/>
  <c r="O46" i="24"/>
  <c r="O30" i="24"/>
  <c r="G101" i="24"/>
  <c r="L101" i="24" s="1"/>
  <c r="O101" i="24"/>
  <c r="O123" i="24"/>
  <c r="G123" i="24"/>
  <c r="L123" i="24" s="1"/>
  <c r="O119" i="24"/>
  <c r="G119" i="24"/>
  <c r="L119" i="24" s="1"/>
  <c r="O113" i="24"/>
  <c r="G113" i="24"/>
  <c r="L113" i="24" s="1"/>
  <c r="O109" i="24"/>
  <c r="G109" i="24"/>
  <c r="L109" i="24" s="1"/>
  <c r="O105" i="24"/>
  <c r="G105" i="24"/>
  <c r="L105" i="24" s="1"/>
  <c r="O103" i="24"/>
  <c r="G103" i="24"/>
  <c r="L103" i="24" s="1"/>
  <c r="O97" i="24"/>
  <c r="O93" i="24"/>
  <c r="O89" i="24"/>
  <c r="O85" i="24"/>
  <c r="O81" i="24"/>
  <c r="O77" i="24"/>
  <c r="O73" i="24"/>
  <c r="O69" i="24"/>
  <c r="O65" i="24"/>
  <c r="O61" i="24"/>
  <c r="O57" i="24"/>
  <c r="O53" i="24"/>
  <c r="O49" i="24"/>
  <c r="O45" i="24"/>
  <c r="O41" i="24"/>
  <c r="O37" i="24"/>
  <c r="O33" i="24"/>
  <c r="O29" i="24"/>
  <c r="O25" i="24"/>
  <c r="O21" i="24"/>
  <c r="G96" i="24"/>
  <c r="L96" i="24" s="1"/>
  <c r="G92" i="24"/>
  <c r="L92" i="24" s="1"/>
  <c r="G88" i="24"/>
  <c r="L88" i="24" s="1"/>
  <c r="G84" i="24"/>
  <c r="L84" i="24" s="1"/>
  <c r="G80" i="24"/>
  <c r="L80" i="24" s="1"/>
  <c r="M81" i="24" s="1"/>
  <c r="G76" i="24"/>
  <c r="L76" i="24" s="1"/>
  <c r="G72" i="24"/>
  <c r="L72" i="24" s="1"/>
  <c r="M72" i="24" s="1"/>
  <c r="G68" i="24"/>
  <c r="L68" i="24" s="1"/>
  <c r="M68" i="24" s="1"/>
  <c r="G64" i="24"/>
  <c r="L64" i="24" s="1"/>
  <c r="M64" i="24" s="1"/>
  <c r="G60" i="24"/>
  <c r="L60" i="24" s="1"/>
  <c r="G56" i="24"/>
  <c r="L56" i="24" s="1"/>
  <c r="G47" i="24"/>
  <c r="L47" i="24" s="1"/>
  <c r="G39" i="24"/>
  <c r="L39" i="24" s="1"/>
  <c r="G31" i="24"/>
  <c r="L31" i="24" s="1"/>
  <c r="G23" i="24"/>
  <c r="L23" i="24" s="1"/>
  <c r="N101" i="24"/>
  <c r="AH123" i="24"/>
  <c r="AH119" i="24"/>
  <c r="AH113" i="24"/>
  <c r="AH109" i="24"/>
  <c r="AH105" i="24"/>
  <c r="AH103" i="24"/>
  <c r="AH101" i="24"/>
  <c r="O100" i="24"/>
  <c r="O96" i="24"/>
  <c r="O92" i="24"/>
  <c r="O88" i="24"/>
  <c r="O84" i="24"/>
  <c r="O80" i="24"/>
  <c r="O76" i="24"/>
  <c r="O72" i="24"/>
  <c r="O68" i="24"/>
  <c r="O64" i="24"/>
  <c r="O60" i="24"/>
  <c r="O56" i="24"/>
  <c r="O52" i="24"/>
  <c r="O48" i="24"/>
  <c r="O44" i="24"/>
  <c r="O40" i="24"/>
  <c r="O36" i="24"/>
  <c r="O32" i="24"/>
  <c r="O28" i="24"/>
  <c r="O24" i="24"/>
  <c r="O20" i="24"/>
  <c r="N97" i="24"/>
  <c r="N93" i="24"/>
  <c r="N89" i="24"/>
  <c r="N85" i="24"/>
  <c r="N81" i="24"/>
  <c r="N77" i="24"/>
  <c r="N73" i="24"/>
  <c r="N69" i="24"/>
  <c r="N65" i="24"/>
  <c r="N61" i="24"/>
  <c r="N57" i="24"/>
  <c r="N53" i="24"/>
  <c r="N49" i="24"/>
  <c r="N41" i="24"/>
  <c r="N33" i="24"/>
  <c r="N25" i="24"/>
  <c r="O122" i="24"/>
  <c r="O118" i="24"/>
  <c r="O112" i="24"/>
  <c r="O108" i="24"/>
  <c r="O104" i="24"/>
  <c r="O51" i="24"/>
  <c r="O43" i="24"/>
  <c r="O35" i="24"/>
  <c r="O27" i="24"/>
  <c r="N100" i="24"/>
  <c r="N52" i="24"/>
  <c r="N48" i="24"/>
  <c r="N44" i="24"/>
  <c r="N40" i="24"/>
  <c r="N36" i="24"/>
  <c r="N32" i="24"/>
  <c r="N28" i="24"/>
  <c r="N24" i="24"/>
  <c r="N20" i="24"/>
  <c r="T137" i="31"/>
  <c r="R137" i="31"/>
  <c r="X137" i="31"/>
  <c r="AI137" i="31"/>
  <c r="Q133" i="31"/>
  <c r="O133" i="31"/>
  <c r="F133" i="31"/>
  <c r="AH133" i="31"/>
  <c r="Q129" i="31"/>
  <c r="O129" i="31"/>
  <c r="G129" i="31"/>
  <c r="L129" i="31" s="1"/>
  <c r="F129" i="31"/>
  <c r="AH129" i="31"/>
  <c r="Q125" i="31"/>
  <c r="G125" i="31"/>
  <c r="L125" i="31" s="1"/>
  <c r="O125" i="31"/>
  <c r="F125" i="31"/>
  <c r="AH125" i="31"/>
  <c r="Q121" i="31"/>
  <c r="G121" i="31"/>
  <c r="L121" i="31" s="1"/>
  <c r="M122" i="31" s="1"/>
  <c r="O121" i="31"/>
  <c r="F121" i="31"/>
  <c r="AH121" i="31"/>
  <c r="Q117" i="31"/>
  <c r="G117" i="31"/>
  <c r="L117" i="31" s="1"/>
  <c r="O117" i="31"/>
  <c r="F117" i="31"/>
  <c r="AH117" i="31"/>
  <c r="Q113" i="31"/>
  <c r="G113" i="31"/>
  <c r="L113" i="31" s="1"/>
  <c r="O113" i="31"/>
  <c r="F113" i="31"/>
  <c r="AH113" i="31"/>
  <c r="Q109" i="31"/>
  <c r="G109" i="31"/>
  <c r="L109" i="31" s="1"/>
  <c r="O109" i="31"/>
  <c r="F109" i="31"/>
  <c r="AH109" i="31"/>
  <c r="Q105" i="31"/>
  <c r="G105" i="31"/>
  <c r="L105" i="31" s="1"/>
  <c r="O105" i="31"/>
  <c r="F105" i="31"/>
  <c r="AH105" i="31"/>
  <c r="Q101" i="31"/>
  <c r="G101" i="31"/>
  <c r="L101" i="31" s="1"/>
  <c r="O101" i="31"/>
  <c r="F101" i="31"/>
  <c r="AH101" i="31"/>
  <c r="Q97" i="31"/>
  <c r="G97" i="31"/>
  <c r="L97" i="31" s="1"/>
  <c r="M98" i="31" s="1"/>
  <c r="O97" i="31"/>
  <c r="F97" i="31"/>
  <c r="AH97" i="31"/>
  <c r="Q93" i="31"/>
  <c r="G93" i="31"/>
  <c r="L93" i="31" s="1"/>
  <c r="O93" i="31"/>
  <c r="F93" i="31"/>
  <c r="AH93" i="31"/>
  <c r="Q89" i="31"/>
  <c r="G89" i="31"/>
  <c r="L89" i="31" s="1"/>
  <c r="O89" i="31"/>
  <c r="F89" i="31"/>
  <c r="AH89" i="31"/>
  <c r="Q85" i="31"/>
  <c r="G85" i="31"/>
  <c r="L85" i="31" s="1"/>
  <c r="O85" i="31"/>
  <c r="F85" i="31"/>
  <c r="AH85" i="31"/>
  <c r="Q81" i="31"/>
  <c r="G81" i="31"/>
  <c r="L81" i="31" s="1"/>
  <c r="O81" i="31"/>
  <c r="F81" i="31"/>
  <c r="AH81" i="31"/>
  <c r="Q77" i="31"/>
  <c r="G77" i="31"/>
  <c r="L77" i="31" s="1"/>
  <c r="O77" i="31"/>
  <c r="F77" i="31"/>
  <c r="AH77" i="31"/>
  <c r="Q73" i="31"/>
  <c r="G73" i="31"/>
  <c r="L73" i="31" s="1"/>
  <c r="O73" i="31"/>
  <c r="F73" i="31"/>
  <c r="AH73" i="31"/>
  <c r="Q69" i="31"/>
  <c r="G69" i="31"/>
  <c r="L69" i="31" s="1"/>
  <c r="O69" i="31"/>
  <c r="F69" i="31"/>
  <c r="AH69" i="31"/>
  <c r="Q65" i="31"/>
  <c r="G65" i="31"/>
  <c r="L65" i="31" s="1"/>
  <c r="O65" i="31"/>
  <c r="F65" i="31"/>
  <c r="AH65" i="31"/>
  <c r="Q61" i="31"/>
  <c r="G61" i="31"/>
  <c r="L61" i="31" s="1"/>
  <c r="F61" i="31"/>
  <c r="AH61" i="31"/>
  <c r="N61" i="31"/>
  <c r="O61" i="31"/>
  <c r="Q57" i="31"/>
  <c r="G57" i="31"/>
  <c r="L57" i="31" s="1"/>
  <c r="F57" i="31"/>
  <c r="AH57" i="31"/>
  <c r="N57" i="31"/>
  <c r="O57" i="31"/>
  <c r="Q53" i="31"/>
  <c r="G53" i="31"/>
  <c r="L53" i="31" s="1"/>
  <c r="F53" i="31"/>
  <c r="AH53" i="31"/>
  <c r="N53" i="31"/>
  <c r="O53" i="31"/>
  <c r="Q49" i="31"/>
  <c r="G49" i="31"/>
  <c r="L49" i="31" s="1"/>
  <c r="F49" i="31"/>
  <c r="AH49" i="31"/>
  <c r="N49" i="31"/>
  <c r="O49" i="31"/>
  <c r="Q45" i="31"/>
  <c r="G45" i="31"/>
  <c r="L45" i="31" s="1"/>
  <c r="F45" i="31"/>
  <c r="AH45" i="31"/>
  <c r="N45" i="31"/>
  <c r="O45" i="31"/>
  <c r="Q41" i="31"/>
  <c r="G41" i="31"/>
  <c r="L41" i="31" s="1"/>
  <c r="F41" i="31"/>
  <c r="AH41" i="31"/>
  <c r="N41" i="31"/>
  <c r="O41" i="31"/>
  <c r="Q37" i="31"/>
  <c r="G37" i="31"/>
  <c r="L37" i="31" s="1"/>
  <c r="F37" i="31"/>
  <c r="AH37" i="31"/>
  <c r="N37" i="31"/>
  <c r="O37" i="31"/>
  <c r="G33" i="31"/>
  <c r="L33" i="31" s="1"/>
  <c r="Q33" i="31"/>
  <c r="F33" i="31"/>
  <c r="AH33" i="31"/>
  <c r="N33" i="31"/>
  <c r="O33" i="31"/>
  <c r="G29" i="31"/>
  <c r="L29" i="31" s="1"/>
  <c r="Q29" i="31"/>
  <c r="F29" i="31"/>
  <c r="AH29" i="31"/>
  <c r="N29" i="31"/>
  <c r="O29" i="31"/>
  <c r="G25" i="31"/>
  <c r="L25" i="31" s="1"/>
  <c r="Q25" i="31"/>
  <c r="F25" i="31"/>
  <c r="AH25" i="31"/>
  <c r="N25" i="31"/>
  <c r="O25" i="31"/>
  <c r="F19" i="31"/>
  <c r="O19" i="31"/>
  <c r="AH19" i="31"/>
  <c r="N19" i="31"/>
  <c r="G19" i="31"/>
  <c r="L19" i="31" s="1"/>
  <c r="Q68" i="31"/>
  <c r="G68" i="31"/>
  <c r="L68" i="31" s="1"/>
  <c r="G64" i="31"/>
  <c r="L64" i="31" s="1"/>
  <c r="Q64" i="31"/>
  <c r="N64" i="31"/>
  <c r="Q60" i="31"/>
  <c r="G60" i="31"/>
  <c r="L60" i="31" s="1"/>
  <c r="N60" i="31"/>
  <c r="G56" i="31"/>
  <c r="L56" i="31" s="1"/>
  <c r="N56" i="31"/>
  <c r="Q52" i="31"/>
  <c r="G52" i="31"/>
  <c r="L52" i="31" s="1"/>
  <c r="N52" i="31"/>
  <c r="G48" i="31"/>
  <c r="L48" i="31" s="1"/>
  <c r="Q48" i="31"/>
  <c r="N48" i="31"/>
  <c r="Q44" i="31"/>
  <c r="G44" i="31"/>
  <c r="L44" i="31" s="1"/>
  <c r="N44" i="31"/>
  <c r="G40" i="31"/>
  <c r="L40" i="31" s="1"/>
  <c r="N40" i="31"/>
  <c r="Q36" i="31"/>
  <c r="G36" i="31"/>
  <c r="L36" i="31" s="1"/>
  <c r="N36" i="31"/>
  <c r="Q32" i="31"/>
  <c r="G32" i="31"/>
  <c r="L32" i="31" s="1"/>
  <c r="N32" i="31"/>
  <c r="G28" i="31"/>
  <c r="L28" i="31" s="1"/>
  <c r="N28" i="31"/>
  <c r="G24" i="31"/>
  <c r="L24" i="31" s="1"/>
  <c r="Q24" i="31"/>
  <c r="N24" i="31"/>
  <c r="G21" i="31"/>
  <c r="L21" i="31" s="1"/>
  <c r="N21" i="31"/>
  <c r="AH21" i="31"/>
  <c r="G18" i="31"/>
  <c r="L18" i="31" s="1"/>
  <c r="F18" i="31"/>
  <c r="O18" i="31"/>
  <c r="G132" i="31"/>
  <c r="L132" i="31" s="1"/>
  <c r="G104" i="31"/>
  <c r="L104" i="31" s="1"/>
  <c r="G102" i="31"/>
  <c r="L102" i="31" s="1"/>
  <c r="G88" i="31"/>
  <c r="L88" i="31" s="1"/>
  <c r="G86" i="31"/>
  <c r="L86" i="31" s="1"/>
  <c r="Q110" i="31"/>
  <c r="G20" i="31"/>
  <c r="L20" i="31" s="1"/>
  <c r="M21" i="31" s="1"/>
  <c r="Q20" i="31"/>
  <c r="R20" i="31"/>
  <c r="N20" i="31"/>
  <c r="AH20" i="31"/>
  <c r="G130" i="31"/>
  <c r="L130" i="31" s="1"/>
  <c r="G124" i="31"/>
  <c r="L124" i="31" s="1"/>
  <c r="G120" i="31"/>
  <c r="L120" i="31" s="1"/>
  <c r="M120" i="31" s="1"/>
  <c r="G116" i="31"/>
  <c r="L116" i="31" s="1"/>
  <c r="G108" i="31"/>
  <c r="L108" i="31" s="1"/>
  <c r="G106" i="31"/>
  <c r="L106" i="31" s="1"/>
  <c r="G92" i="31"/>
  <c r="L92" i="31" s="1"/>
  <c r="G90" i="31"/>
  <c r="L90" i="31" s="1"/>
  <c r="G76" i="31"/>
  <c r="L76" i="31" s="1"/>
  <c r="G70" i="31"/>
  <c r="L70" i="31" s="1"/>
  <c r="G54" i="31"/>
  <c r="L54" i="31" s="1"/>
  <c r="G38" i="31"/>
  <c r="L38" i="31" s="1"/>
  <c r="G22" i="31"/>
  <c r="L22" i="31" s="1"/>
  <c r="Q40" i="31"/>
  <c r="Q74" i="31"/>
  <c r="G74" i="31"/>
  <c r="L74" i="31" s="1"/>
  <c r="G66" i="31"/>
  <c r="L66" i="31" s="1"/>
  <c r="Q66" i="31"/>
  <c r="Q58" i="31"/>
  <c r="G58" i="31"/>
  <c r="L58" i="31" s="1"/>
  <c r="G50" i="31"/>
  <c r="L50" i="31" s="1"/>
  <c r="Q50" i="31"/>
  <c r="Q42" i="31"/>
  <c r="G42" i="31"/>
  <c r="L42" i="31" s="1"/>
  <c r="Q34" i="31"/>
  <c r="G34" i="31"/>
  <c r="L34" i="31" s="1"/>
  <c r="Q26" i="31"/>
  <c r="G26" i="31"/>
  <c r="L26" i="31" s="1"/>
  <c r="G128" i="31"/>
  <c r="L128" i="31" s="1"/>
  <c r="G112" i="31"/>
  <c r="L112" i="31" s="1"/>
  <c r="G96" i="31"/>
  <c r="L96" i="31" s="1"/>
  <c r="G80" i="31"/>
  <c r="L80" i="31" s="1"/>
  <c r="G78" i="31"/>
  <c r="L78" i="31" s="1"/>
  <c r="Q56" i="31"/>
  <c r="Q27" i="31"/>
  <c r="G27" i="31"/>
  <c r="L27" i="31" s="1"/>
  <c r="Q71" i="31"/>
  <c r="Q55" i="31"/>
  <c r="Q39" i="31"/>
  <c r="Q75" i="31"/>
  <c r="Q59" i="31"/>
  <c r="Q43" i="31"/>
  <c r="Q31" i="31"/>
  <c r="Q63" i="31"/>
  <c r="Q47" i="31"/>
  <c r="Q23" i="31"/>
  <c r="T23" i="31"/>
  <c r="AF72" i="33"/>
  <c r="AF56" i="33"/>
  <c r="G19" i="33"/>
  <c r="L19" i="33" s="1"/>
  <c r="AH19" i="33"/>
  <c r="N19" i="33"/>
  <c r="AH23" i="33"/>
  <c r="Q18" i="33"/>
  <c r="S18" i="33"/>
  <c r="Q21" i="33"/>
  <c r="Q23" i="33"/>
  <c r="Q25" i="33"/>
  <c r="Q27" i="33"/>
  <c r="Q29" i="33"/>
  <c r="Q31" i="33"/>
  <c r="Q33" i="33"/>
  <c r="Q35" i="33"/>
  <c r="Q37" i="33"/>
  <c r="Q39" i="33"/>
  <c r="Q41" i="33"/>
  <c r="Q43" i="33"/>
  <c r="Q45" i="33"/>
  <c r="Q47" i="33"/>
  <c r="Q49" i="33"/>
  <c r="Q51" i="33"/>
  <c r="Q53" i="33"/>
  <c r="Q55" i="33"/>
  <c r="Q57" i="33"/>
  <c r="Q59" i="33"/>
  <c r="Q61" i="33"/>
  <c r="Q63" i="33"/>
  <c r="Q65" i="33"/>
  <c r="Q67" i="33"/>
  <c r="Q69" i="33"/>
  <c r="Q71" i="33"/>
  <c r="Q73" i="33"/>
  <c r="Q75" i="33"/>
  <c r="Q77" i="33"/>
  <c r="Q79" i="33"/>
  <c r="Q81" i="33"/>
  <c r="Q83" i="33"/>
  <c r="Q85" i="33"/>
  <c r="Q87" i="33"/>
  <c r="Q89" i="33"/>
  <c r="Q91" i="33"/>
  <c r="Q93" i="33"/>
  <c r="Q95" i="33"/>
  <c r="Q97" i="33"/>
  <c r="Q99" i="33"/>
  <c r="Q101" i="33"/>
  <c r="Q103" i="33"/>
  <c r="Q105" i="33"/>
  <c r="Q107" i="33"/>
  <c r="Q109" i="33"/>
  <c r="Q111" i="33"/>
  <c r="Q113" i="33"/>
  <c r="Q115" i="33"/>
  <c r="Q117" i="33"/>
  <c r="Q119" i="33"/>
  <c r="Q121" i="33"/>
  <c r="AF33" i="33"/>
  <c r="F31" i="33"/>
  <c r="Q19" i="33"/>
  <c r="N23" i="33"/>
  <c r="G23" i="33"/>
  <c r="L23" i="33" s="1"/>
  <c r="F21" i="33"/>
  <c r="G21" i="33"/>
  <c r="L21" i="33" s="1"/>
  <c r="O19" i="33"/>
  <c r="F19" i="33"/>
  <c r="AH18" i="33"/>
  <c r="T7" i="33"/>
  <c r="R18" i="31"/>
  <c r="T18" i="31"/>
  <c r="X18" i="31"/>
  <c r="R24" i="31"/>
  <c r="V21" i="31"/>
  <c r="S24" i="31"/>
  <c r="T24" i="31"/>
  <c r="S22" i="31"/>
  <c r="T20" i="31"/>
  <c r="V25" i="31"/>
  <c r="T21" i="31"/>
  <c r="S25" i="31"/>
  <c r="V24" i="31"/>
  <c r="X21" i="31"/>
  <c r="AI21" i="31"/>
  <c r="X24" i="31"/>
  <c r="AI24" i="31"/>
  <c r="AA87" i="24"/>
  <c r="AD81" i="24"/>
  <c r="AA71" i="24"/>
  <c r="AD65" i="24"/>
  <c r="AA55" i="24"/>
  <c r="AA36" i="24"/>
  <c r="I59" i="24"/>
  <c r="J59" i="24" s="1"/>
  <c r="R59" i="24" s="1"/>
  <c r="AA66" i="31"/>
  <c r="AC65" i="31"/>
  <c r="AF46" i="31"/>
  <c r="Z94" i="24"/>
  <c r="AC84" i="24"/>
  <c r="Z78" i="24"/>
  <c r="AC68" i="24"/>
  <c r="Z62" i="24"/>
  <c r="AA52" i="24"/>
  <c r="AC39" i="24"/>
  <c r="AF39" i="24"/>
  <c r="I49" i="24"/>
  <c r="J49" i="24" s="1"/>
  <c r="R49" i="24" s="1"/>
  <c r="Z98" i="24"/>
  <c r="AC91" i="24"/>
  <c r="AD88" i="24"/>
  <c r="AF88" i="24"/>
  <c r="Z85" i="24"/>
  <c r="AA82" i="24"/>
  <c r="AC75" i="24"/>
  <c r="AD72" i="24"/>
  <c r="Z69" i="24"/>
  <c r="AA66" i="24"/>
  <c r="AC59" i="24"/>
  <c r="AD56" i="24"/>
  <c r="AA53" i="24"/>
  <c r="AC40" i="24"/>
  <c r="AF40" i="24"/>
  <c r="AA37" i="24"/>
  <c r="AD19" i="24"/>
  <c r="I25" i="24"/>
  <c r="J25" i="24" s="1"/>
  <c r="R25" i="24" s="1"/>
  <c r="I66" i="24"/>
  <c r="J66" i="24" s="1"/>
  <c r="R66" i="24" s="1"/>
  <c r="Z106" i="24"/>
  <c r="I102" i="24"/>
  <c r="J102" i="24" s="1"/>
  <c r="R102" i="24" s="1"/>
  <c r="AD102" i="24"/>
  <c r="Z105" i="24"/>
  <c r="I107" i="24"/>
  <c r="J107" i="24" s="1"/>
  <c r="R107" i="24" s="1"/>
  <c r="AD112" i="24"/>
  <c r="AD115" i="24"/>
  <c r="AC116" i="24"/>
  <c r="AC117" i="24"/>
  <c r="I119" i="24"/>
  <c r="J119" i="24" s="1"/>
  <c r="R119" i="24" s="1"/>
  <c r="Z121" i="24"/>
  <c r="AA125" i="24"/>
  <c r="AD126" i="24"/>
  <c r="AA127" i="24"/>
  <c r="Z130" i="24"/>
  <c r="AA131" i="24"/>
  <c r="Z134" i="24"/>
  <c r="Z135" i="24"/>
  <c r="I70" i="24"/>
  <c r="J70" i="24" s="1"/>
  <c r="R70" i="24" s="1"/>
  <c r="I81" i="24"/>
  <c r="J81" i="24" s="1"/>
  <c r="R81" i="24" s="1"/>
  <c r="I74" i="24"/>
  <c r="J74" i="24" s="1"/>
  <c r="R74" i="24" s="1"/>
  <c r="I93" i="24"/>
  <c r="J93" i="24" s="1"/>
  <c r="R93" i="24" s="1"/>
  <c r="I82" i="24"/>
  <c r="J82" i="24" s="1"/>
  <c r="R82" i="24" s="1"/>
  <c r="I72" i="24"/>
  <c r="J72" i="24" s="1"/>
  <c r="R72" i="24" s="1"/>
  <c r="I62" i="24"/>
  <c r="J62" i="24" s="1"/>
  <c r="R62" i="24" s="1"/>
  <c r="I54" i="24"/>
  <c r="J54" i="24" s="1"/>
  <c r="R54" i="24" s="1"/>
  <c r="I48" i="24"/>
  <c r="J48" i="24" s="1"/>
  <c r="R48" i="24" s="1"/>
  <c r="I44" i="24"/>
  <c r="J44" i="24" s="1"/>
  <c r="R44" i="24" s="1"/>
  <c r="I40" i="24"/>
  <c r="J40" i="24" s="1"/>
  <c r="R40" i="24" s="1"/>
  <c r="I36" i="24"/>
  <c r="J36" i="24" s="1"/>
  <c r="R36" i="24" s="1"/>
  <c r="I32" i="24"/>
  <c r="J32" i="24" s="1"/>
  <c r="R32" i="24" s="1"/>
  <c r="I28" i="24"/>
  <c r="J28" i="24" s="1"/>
  <c r="R28" i="24" s="1"/>
  <c r="I24" i="24"/>
  <c r="J24" i="24" s="1"/>
  <c r="R24" i="24"/>
  <c r="I20" i="24"/>
  <c r="J20" i="24" s="1"/>
  <c r="AC19" i="24"/>
  <c r="Z20" i="24"/>
  <c r="AC21" i="24"/>
  <c r="AA22" i="24"/>
  <c r="AD23" i="24"/>
  <c r="AA24" i="24"/>
  <c r="AC25" i="24"/>
  <c r="Z26" i="24"/>
  <c r="AD26" i="24"/>
  <c r="AC27" i="24"/>
  <c r="Z28" i="24"/>
  <c r="AC29" i="24"/>
  <c r="AF29" i="24"/>
  <c r="Z30" i="24"/>
  <c r="AD31" i="24"/>
  <c r="AA32" i="24"/>
  <c r="AD33" i="24"/>
  <c r="AF33" i="24"/>
  <c r="AA34" i="24"/>
  <c r="Z35" i="24"/>
  <c r="AC36" i="24"/>
  <c r="Z37" i="24"/>
  <c r="AC38" i="24"/>
  <c r="AA39" i="24"/>
  <c r="AD40" i="24"/>
  <c r="AA41" i="24"/>
  <c r="AD42" i="24"/>
  <c r="AC43" i="24"/>
  <c r="Z44" i="24"/>
  <c r="AC45" i="24"/>
  <c r="Z46" i="24"/>
  <c r="AD47" i="24"/>
  <c r="AA48" i="24"/>
  <c r="AD49" i="24"/>
  <c r="AA50" i="24"/>
  <c r="Z51" i="24"/>
  <c r="AC52" i="24"/>
  <c r="AF52" i="24"/>
  <c r="Z53" i="24"/>
  <c r="AC54" i="24"/>
  <c r="AA101" i="24"/>
  <c r="Z104" i="24"/>
  <c r="AA105" i="24"/>
  <c r="AA107" i="24"/>
  <c r="Z109" i="24"/>
  <c r="Z111" i="24"/>
  <c r="AC114" i="24"/>
  <c r="AD116" i="24"/>
  <c r="AF116" i="24"/>
  <c r="AD119" i="24"/>
  <c r="I122" i="24"/>
  <c r="J122" i="24" s="1"/>
  <c r="R122" i="24" s="1"/>
  <c r="AA123" i="24"/>
  <c r="AD125" i="24"/>
  <c r="AA129" i="24"/>
  <c r="AA130" i="24"/>
  <c r="AA133" i="24"/>
  <c r="AA134" i="24"/>
  <c r="I90" i="24"/>
  <c r="J90" i="24" s="1"/>
  <c r="R90" i="24" s="1"/>
  <c r="AD101" i="24"/>
  <c r="AA103" i="24"/>
  <c r="AC104" i="24"/>
  <c r="I110" i="24"/>
  <c r="J110" i="24" s="1"/>
  <c r="R110" i="24" s="1"/>
  <c r="I112" i="24"/>
  <c r="J112" i="24" s="1"/>
  <c r="R112" i="24" s="1"/>
  <c r="AC113" i="24"/>
  <c r="AD114" i="24"/>
  <c r="Z118" i="24"/>
  <c r="I120" i="24"/>
  <c r="J120" i="24" s="1"/>
  <c r="R120" i="24" s="1"/>
  <c r="Z120" i="24"/>
  <c r="AD123" i="24"/>
  <c r="AD124" i="24"/>
  <c r="Z128" i="24"/>
  <c r="AC129" i="24"/>
  <c r="Z132" i="24"/>
  <c r="AC133" i="24"/>
  <c r="I95" i="24"/>
  <c r="J95" i="24" s="1"/>
  <c r="R95" i="24" s="1"/>
  <c r="I84" i="24"/>
  <c r="J84" i="24" s="1"/>
  <c r="R84" i="24" s="1"/>
  <c r="I88" i="24"/>
  <c r="J88" i="24" s="1"/>
  <c r="R88" i="24" s="1"/>
  <c r="I76" i="24"/>
  <c r="J76" i="24" s="1"/>
  <c r="R76" i="24" s="1"/>
  <c r="I67" i="24"/>
  <c r="J67" i="24" s="1"/>
  <c r="R67" i="24" s="1"/>
  <c r="I58" i="24"/>
  <c r="J58" i="24" s="1"/>
  <c r="R58" i="24" s="1"/>
  <c r="I51" i="24"/>
  <c r="J51" i="24" s="1"/>
  <c r="R51" i="24" s="1"/>
  <c r="I46" i="24"/>
  <c r="J46" i="24" s="1"/>
  <c r="R46" i="24" s="1"/>
  <c r="I42" i="24"/>
  <c r="J42" i="24" s="1"/>
  <c r="R42" i="24" s="1"/>
  <c r="I38" i="24"/>
  <c r="J38" i="24" s="1"/>
  <c r="R38" i="24" s="1"/>
  <c r="I34" i="24"/>
  <c r="J34" i="24" s="1"/>
  <c r="R34" i="24" s="1"/>
  <c r="I30" i="24"/>
  <c r="J30" i="24" s="1"/>
  <c r="R30" i="24" s="1"/>
  <c r="I26" i="24"/>
  <c r="J26" i="24" s="1"/>
  <c r="R26" i="24" s="1"/>
  <c r="I22" i="24"/>
  <c r="J22" i="24" s="1"/>
  <c r="I18" i="24"/>
  <c r="J18" i="24" s="1"/>
  <c r="R18" i="24"/>
  <c r="T18" i="24"/>
  <c r="X18" i="24"/>
  <c r="Z19" i="24"/>
  <c r="AC20" i="24"/>
  <c r="AF20" i="24"/>
  <c r="Z21" i="24"/>
  <c r="AD22" i="24"/>
  <c r="AA23" i="24"/>
  <c r="AD24" i="24"/>
  <c r="Z25" i="24"/>
  <c r="AC26" i="24"/>
  <c r="AF26" i="24"/>
  <c r="Z27" i="24"/>
  <c r="AC28" i="24"/>
  <c r="Z29" i="24"/>
  <c r="AC30" i="24"/>
  <c r="AA31" i="24"/>
  <c r="AD32" i="24"/>
  <c r="AA33" i="24"/>
  <c r="AD34" i="24"/>
  <c r="AC35" i="24"/>
  <c r="Z36" i="24"/>
  <c r="AC37" i="24"/>
  <c r="Z38" i="24"/>
  <c r="AD39" i="24"/>
  <c r="AA40" i="24"/>
  <c r="AD41" i="24"/>
  <c r="AA42" i="24"/>
  <c r="Z43" i="24"/>
  <c r="AC44" i="24"/>
  <c r="Z45" i="24"/>
  <c r="AC46" i="24"/>
  <c r="AA47" i="24"/>
  <c r="AD48" i="24"/>
  <c r="AA49" i="24"/>
  <c r="AD50" i="24"/>
  <c r="AC51" i="24"/>
  <c r="Z52" i="24"/>
  <c r="AC53" i="24"/>
  <c r="Z54" i="24"/>
  <c r="Z127" i="24"/>
  <c r="AC132" i="24"/>
  <c r="I78" i="24"/>
  <c r="J78" i="24" s="1"/>
  <c r="R78" i="24" s="1"/>
  <c r="I61" i="24"/>
  <c r="J61" i="24" s="1"/>
  <c r="R61" i="24" s="1"/>
  <c r="I47" i="24"/>
  <c r="J47" i="24" s="1"/>
  <c r="R47" i="24" s="1"/>
  <c r="I39" i="24"/>
  <c r="J39" i="24" s="1"/>
  <c r="R39" i="24" s="1"/>
  <c r="I31" i="24"/>
  <c r="J31" i="24" s="1"/>
  <c r="R31" i="24" s="1"/>
  <c r="I23" i="24"/>
  <c r="J23" i="24" s="1"/>
  <c r="Z31" i="24"/>
  <c r="Z32" i="24"/>
  <c r="Z33" i="24"/>
  <c r="Z34" i="24"/>
  <c r="AD35" i="24"/>
  <c r="AD36" i="24"/>
  <c r="AD37" i="24"/>
  <c r="AD38" i="24"/>
  <c r="Z47" i="24"/>
  <c r="Z48" i="24"/>
  <c r="Z49" i="24"/>
  <c r="Z50" i="24"/>
  <c r="AD51" i="24"/>
  <c r="AF51" i="24"/>
  <c r="AD52" i="24"/>
  <c r="AD53" i="24"/>
  <c r="AD54" i="24"/>
  <c r="AC55" i="24"/>
  <c r="Z56" i="24"/>
  <c r="AC57" i="24"/>
  <c r="AF57" i="24"/>
  <c r="Z58" i="24"/>
  <c r="AD59" i="24"/>
  <c r="AF59" i="24"/>
  <c r="AA60" i="24"/>
  <c r="AD61" i="24"/>
  <c r="AA62" i="24"/>
  <c r="Z63" i="24"/>
  <c r="AC64" i="24"/>
  <c r="Z65" i="24"/>
  <c r="AC66" i="24"/>
  <c r="AA67" i="24"/>
  <c r="AD68" i="24"/>
  <c r="AA69" i="24"/>
  <c r="AD70" i="24"/>
  <c r="AC71" i="24"/>
  <c r="Z72" i="24"/>
  <c r="AC73" i="24"/>
  <c r="Z74" i="24"/>
  <c r="AD75" i="24"/>
  <c r="AF75" i="24"/>
  <c r="AA76" i="24"/>
  <c r="AD77" i="24"/>
  <c r="AA78" i="24"/>
  <c r="Z79" i="24"/>
  <c r="AC80" i="24"/>
  <c r="Z81" i="24"/>
  <c r="AC82" i="24"/>
  <c r="AF82" i="24"/>
  <c r="AA83" i="24"/>
  <c r="AD84" i="24"/>
  <c r="AF84" i="24"/>
  <c r="AA85" i="24"/>
  <c r="AD86" i="24"/>
  <c r="AC87" i="24"/>
  <c r="Z88" i="24"/>
  <c r="AC89" i="24"/>
  <c r="Z90" i="24"/>
  <c r="AD91" i="24"/>
  <c r="AF91" i="24"/>
  <c r="AA92" i="24"/>
  <c r="AD93" i="24"/>
  <c r="AA94" i="24"/>
  <c r="Z95" i="24"/>
  <c r="AC96" i="24"/>
  <c r="AF96" i="24"/>
  <c r="Z97" i="24"/>
  <c r="AD97" i="24"/>
  <c r="AA98" i="24"/>
  <c r="Z99" i="24"/>
  <c r="AD99" i="24"/>
  <c r="AA100" i="24"/>
  <c r="Z136" i="24"/>
  <c r="AC137" i="24"/>
  <c r="AC102" i="24"/>
  <c r="AF102" i="24"/>
  <c r="Z108" i="24"/>
  <c r="AC115" i="24"/>
  <c r="AC126" i="24"/>
  <c r="AF126" i="24"/>
  <c r="I99" i="24"/>
  <c r="J99" i="24" s="1"/>
  <c r="R99" i="24" s="1"/>
  <c r="I97" i="24"/>
  <c r="J97" i="24" s="1"/>
  <c r="R97" i="24" s="1"/>
  <c r="I73" i="24"/>
  <c r="J73" i="24" s="1"/>
  <c r="R73" i="24" s="1"/>
  <c r="I56" i="24"/>
  <c r="J56" i="24" s="1"/>
  <c r="R56" i="24" s="1"/>
  <c r="I45" i="24"/>
  <c r="J45" i="24" s="1"/>
  <c r="R45" i="24" s="1"/>
  <c r="I37" i="24"/>
  <c r="J37" i="24" s="1"/>
  <c r="R37" i="24" s="1"/>
  <c r="I29" i="24"/>
  <c r="J29" i="24" s="1"/>
  <c r="R29" i="24" s="1"/>
  <c r="I21" i="24"/>
  <c r="J21" i="24" s="1"/>
  <c r="R21" i="24"/>
  <c r="Z22" i="24"/>
  <c r="Z23" i="24"/>
  <c r="Z24" i="24"/>
  <c r="AA27" i="24"/>
  <c r="AA28" i="24"/>
  <c r="AA29" i="24"/>
  <c r="AA30" i="24"/>
  <c r="AC31" i="24"/>
  <c r="AC32" i="24"/>
  <c r="AF32" i="24"/>
  <c r="AC33" i="24"/>
  <c r="AC34" i="24"/>
  <c r="AA43" i="24"/>
  <c r="AA44" i="24"/>
  <c r="AA45" i="24"/>
  <c r="AA46" i="24"/>
  <c r="AC47" i="24"/>
  <c r="AF47" i="24"/>
  <c r="AC48" i="24"/>
  <c r="AC49" i="24"/>
  <c r="AF49" i="24"/>
  <c r="AC50" i="24"/>
  <c r="AF50" i="24"/>
  <c r="AD55" i="24"/>
  <c r="AA56" i="24"/>
  <c r="AD57" i="24"/>
  <c r="AA58" i="24"/>
  <c r="Z59" i="24"/>
  <c r="AC60" i="24"/>
  <c r="Z61" i="24"/>
  <c r="AC62" i="24"/>
  <c r="AA63" i="24"/>
  <c r="AD64" i="24"/>
  <c r="AA65" i="24"/>
  <c r="AD66" i="24"/>
  <c r="AC67" i="24"/>
  <c r="Z68" i="24"/>
  <c r="AC69" i="24"/>
  <c r="Z70" i="24"/>
  <c r="AD71" i="24"/>
  <c r="AA72" i="24"/>
  <c r="AD73" i="24"/>
  <c r="AF73" i="24"/>
  <c r="AA74" i="24"/>
  <c r="Z75" i="24"/>
  <c r="AC76" i="24"/>
  <c r="Z77" i="24"/>
  <c r="AC78" i="24"/>
  <c r="AA79" i="24"/>
  <c r="AD80" i="24"/>
  <c r="AA81" i="24"/>
  <c r="AD82" i="24"/>
  <c r="AC83" i="24"/>
  <c r="AF83" i="24"/>
  <c r="Z84" i="24"/>
  <c r="AC85" i="24"/>
  <c r="Z86" i="24"/>
  <c r="AD87" i="24"/>
  <c r="AF87" i="24"/>
  <c r="AA88" i="24"/>
  <c r="AD89" i="24"/>
  <c r="AF89" i="24"/>
  <c r="AA90" i="24"/>
  <c r="Z91" i="24"/>
  <c r="AC92" i="24"/>
  <c r="Z93" i="24"/>
  <c r="AC94" i="24"/>
  <c r="AA95" i="24"/>
  <c r="AD96" i="24"/>
  <c r="AA97" i="24"/>
  <c r="AC98" i="24"/>
  <c r="AA99" i="24"/>
  <c r="AC100" i="24"/>
  <c r="AA136" i="24"/>
  <c r="AD137" i="24"/>
  <c r="AA117" i="24"/>
  <c r="AD122" i="24"/>
  <c r="AC128" i="24"/>
  <c r="Z131" i="24"/>
  <c r="I79" i="24"/>
  <c r="J79" i="24" s="1"/>
  <c r="R79" i="24" s="1"/>
  <c r="I91" i="24"/>
  <c r="J91" i="24" s="1"/>
  <c r="R91" i="24" s="1"/>
  <c r="I68" i="24"/>
  <c r="J68" i="24" s="1"/>
  <c r="R68" i="24" s="1"/>
  <c r="I53" i="24"/>
  <c r="J53" i="24" s="1"/>
  <c r="R53" i="24" s="1"/>
  <c r="I43" i="24"/>
  <c r="J43" i="24" s="1"/>
  <c r="R43" i="24" s="1"/>
  <c r="I35" i="24"/>
  <c r="J35" i="24" s="1"/>
  <c r="R35" i="24" s="1"/>
  <c r="I27" i="24"/>
  <c r="J27" i="24" s="1"/>
  <c r="R27" i="24" s="1"/>
  <c r="I19" i="24"/>
  <c r="J19" i="24" s="1"/>
  <c r="AA19" i="24"/>
  <c r="AA20" i="24"/>
  <c r="AA21" i="24"/>
  <c r="AC22" i="24"/>
  <c r="AC23" i="24"/>
  <c r="AF23" i="24"/>
  <c r="AC24" i="24"/>
  <c r="AA25" i="24"/>
  <c r="AA26" i="24"/>
  <c r="AD27" i="24"/>
  <c r="AD28" i="24"/>
  <c r="AD29" i="24"/>
  <c r="AD30" i="24"/>
  <c r="Z39" i="24"/>
  <c r="Z40" i="24"/>
  <c r="Z41" i="24"/>
  <c r="Z42" i="24"/>
  <c r="AD43" i="24"/>
  <c r="AD44" i="24"/>
  <c r="AD45" i="24"/>
  <c r="AF45" i="24"/>
  <c r="AD46" i="24"/>
  <c r="AF46" i="24"/>
  <c r="Z55" i="24"/>
  <c r="AC56" i="24"/>
  <c r="Z57" i="24"/>
  <c r="AC58" i="24"/>
  <c r="AA59" i="24"/>
  <c r="AD60" i="24"/>
  <c r="AF60" i="24"/>
  <c r="AA61" i="24"/>
  <c r="AD62" i="24"/>
  <c r="AC63" i="24"/>
  <c r="Z64" i="24"/>
  <c r="AC65" i="24"/>
  <c r="AF65" i="24"/>
  <c r="Z66" i="24"/>
  <c r="AD67" i="24"/>
  <c r="AA68" i="24"/>
  <c r="AD69" i="24"/>
  <c r="AA70" i="24"/>
  <c r="Z71" i="24"/>
  <c r="AC72" i="24"/>
  <c r="Z73" i="24"/>
  <c r="AC74" i="24"/>
  <c r="AA75" i="24"/>
  <c r="AD76" i="24"/>
  <c r="AA77" i="24"/>
  <c r="AD78" i="24"/>
  <c r="AC79" i="24"/>
  <c r="Z80" i="24"/>
  <c r="AC81" i="24"/>
  <c r="AF81" i="24"/>
  <c r="Z82" i="24"/>
  <c r="AD83" i="24"/>
  <c r="AA84" i="24"/>
  <c r="AD85" i="24"/>
  <c r="AF85" i="24"/>
  <c r="AA86" i="24"/>
  <c r="Z87" i="24"/>
  <c r="AC88" i="24"/>
  <c r="Z89" i="24"/>
  <c r="AC90" i="24"/>
  <c r="AA91" i="24"/>
  <c r="AD92" i="24"/>
  <c r="AA93" i="24"/>
  <c r="AD94" i="24"/>
  <c r="AC95" i="24"/>
  <c r="AF95" i="24"/>
  <c r="Z96" i="24"/>
  <c r="AC97" i="24"/>
  <c r="AD98" i="24"/>
  <c r="AF98" i="24"/>
  <c r="AC99" i="24"/>
  <c r="AF99" i="24"/>
  <c r="AD100" i="24"/>
  <c r="AF100" i="24"/>
  <c r="AC136" i="24"/>
  <c r="Z137" i="24"/>
  <c r="AD136" i="24"/>
  <c r="AD95" i="24"/>
  <c r="Z92" i="24"/>
  <c r="AA89" i="24"/>
  <c r="AC86" i="24"/>
  <c r="AD79" i="24"/>
  <c r="Z76" i="24"/>
  <c r="AA73" i="24"/>
  <c r="AC70" i="24"/>
  <c r="AD63" i="24"/>
  <c r="Z60" i="24"/>
  <c r="AA57" i="24"/>
  <c r="AA54" i="24"/>
  <c r="AC41" i="24"/>
  <c r="AF41" i="24"/>
  <c r="AA38" i="24"/>
  <c r="AD25" i="24"/>
  <c r="AD20" i="24"/>
  <c r="I33" i="24"/>
  <c r="J33" i="24" s="1"/>
  <c r="R33" i="24" s="1"/>
  <c r="I83" i="24"/>
  <c r="J83" i="24" s="1"/>
  <c r="R83" i="24" s="1"/>
  <c r="I60" i="24"/>
  <c r="J60" i="24" s="1"/>
  <c r="R60" i="24" s="1"/>
  <c r="I114" i="24"/>
  <c r="J114" i="24" s="1"/>
  <c r="R114" i="24" s="1"/>
  <c r="Z110" i="24"/>
  <c r="AA137" i="24"/>
  <c r="AA96" i="24"/>
  <c r="AC93" i="24"/>
  <c r="AF93" i="24"/>
  <c r="AD90" i="24"/>
  <c r="Z83" i="24"/>
  <c r="AA80" i="24"/>
  <c r="AC77" i="24"/>
  <c r="AF77" i="24"/>
  <c r="AD74" i="24"/>
  <c r="Z67" i="24"/>
  <c r="AA64" i="24"/>
  <c r="AC61" i="24"/>
  <c r="AD58" i="24"/>
  <c r="AA51" i="24"/>
  <c r="AC42" i="24"/>
  <c r="AF42" i="24"/>
  <c r="AA35" i="24"/>
  <c r="AD21" i="24"/>
  <c r="I41" i="24"/>
  <c r="J41" i="24" s="1"/>
  <c r="R41" i="24" s="1"/>
  <c r="AF82" i="31"/>
  <c r="AF74" i="31"/>
  <c r="AF120" i="33"/>
  <c r="AF118" i="33"/>
  <c r="AF57" i="33"/>
  <c r="AF47" i="33"/>
  <c r="AD24" i="33"/>
  <c r="AF24" i="33"/>
  <c r="Z23" i="33"/>
  <c r="AD22" i="33"/>
  <c r="AA21" i="33"/>
  <c r="I21" i="33"/>
  <c r="J21" i="33" s="1"/>
  <c r="R21" i="33"/>
  <c r="Z20" i="33"/>
  <c r="Z19" i="33"/>
  <c r="AF38" i="33"/>
  <c r="AF32" i="33"/>
  <c r="AC27" i="33"/>
  <c r="AF27" i="33"/>
  <c r="I27" i="33"/>
  <c r="J27" i="33" s="1"/>
  <c r="R27" i="33" s="1"/>
  <c r="AD26" i="33"/>
  <c r="AA25" i="33"/>
  <c r="I25" i="33"/>
  <c r="J25" i="33" s="1"/>
  <c r="R25" i="33"/>
  <c r="AC24" i="33"/>
  <c r="AD23" i="33"/>
  <c r="I23" i="33"/>
  <c r="J23" i="33" s="1"/>
  <c r="AC22" i="33"/>
  <c r="AF22" i="33"/>
  <c r="Z21" i="33"/>
  <c r="AF88" i="33"/>
  <c r="AF135" i="31"/>
  <c r="AF119" i="31"/>
  <c r="AF42" i="31"/>
  <c r="AF132" i="31"/>
  <c r="AF21" i="31"/>
  <c r="AF61" i="24"/>
  <c r="I80" i="24"/>
  <c r="J80" i="24" s="1"/>
  <c r="R80" i="24" s="1"/>
  <c r="I55" i="24"/>
  <c r="J55" i="24" s="1"/>
  <c r="R55" i="24" s="1"/>
  <c r="AD135" i="24"/>
  <c r="AA126" i="24"/>
  <c r="Z125" i="24"/>
  <c r="AC124" i="24"/>
  <c r="AF124" i="24"/>
  <c r="Z123" i="24"/>
  <c r="AC122" i="24"/>
  <c r="AF122" i="24"/>
  <c r="AC121" i="24"/>
  <c r="AD120" i="24"/>
  <c r="AA119" i="24"/>
  <c r="AD118" i="24"/>
  <c r="I118" i="24"/>
  <c r="J118" i="24" s="1"/>
  <c r="R118" i="24" s="1"/>
  <c r="I117" i="24"/>
  <c r="J117" i="24" s="1"/>
  <c r="R117" i="24" s="1"/>
  <c r="AA116" i="24"/>
  <c r="AA115" i="24"/>
  <c r="Z114" i="24"/>
  <c r="AA113" i="24"/>
  <c r="AC112" i="24"/>
  <c r="AC111" i="24"/>
  <c r="AF111" i="24"/>
  <c r="AD110" i="24"/>
  <c r="AC109" i="24"/>
  <c r="AF109" i="24"/>
  <c r="AD108" i="24"/>
  <c r="AD107" i="24"/>
  <c r="AF107" i="24"/>
  <c r="AD106" i="24"/>
  <c r="I106" i="24"/>
  <c r="J106" i="24" s="1"/>
  <c r="R106" i="24" s="1"/>
  <c r="Z103" i="24"/>
  <c r="Z102" i="24"/>
  <c r="Z101" i="24"/>
  <c r="AF127" i="33"/>
  <c r="AF123" i="33"/>
  <c r="AF109" i="33"/>
  <c r="AF105" i="33"/>
  <c r="AF97" i="33"/>
  <c r="AF29" i="33"/>
  <c r="AD20" i="33"/>
  <c r="AF76" i="31"/>
  <c r="AF88" i="31"/>
  <c r="AF72" i="31"/>
  <c r="I52" i="24"/>
  <c r="J52" i="24" s="1"/>
  <c r="R52" i="24" s="1"/>
  <c r="I57" i="24"/>
  <c r="J57" i="24" s="1"/>
  <c r="R57" i="24" s="1"/>
  <c r="I63" i="24"/>
  <c r="J63" i="24" s="1"/>
  <c r="R63" i="24" s="1"/>
  <c r="I71" i="24"/>
  <c r="J71" i="24" s="1"/>
  <c r="R71" i="24" s="1"/>
  <c r="I77" i="24"/>
  <c r="J77" i="24" s="1"/>
  <c r="R77" i="24" s="1"/>
  <c r="I87" i="24"/>
  <c r="J87" i="24" s="1"/>
  <c r="R87" i="24" s="1"/>
  <c r="I96" i="24"/>
  <c r="J96" i="24" s="1"/>
  <c r="R96" i="24" s="1"/>
  <c r="I64" i="24"/>
  <c r="J64" i="24" s="1"/>
  <c r="R64" i="24" s="1"/>
  <c r="I94" i="24"/>
  <c r="J94" i="24" s="1"/>
  <c r="R94" i="24" s="1"/>
  <c r="I100" i="24"/>
  <c r="J100" i="24" s="1"/>
  <c r="R100" i="24" s="1"/>
  <c r="I75" i="24"/>
  <c r="J75" i="24" s="1"/>
  <c r="R75" i="24" s="1"/>
  <c r="I50" i="24"/>
  <c r="J50" i="24" s="1"/>
  <c r="R50" i="24" s="1"/>
  <c r="AC135" i="24"/>
  <c r="AC134" i="24"/>
  <c r="AF134" i="24"/>
  <c r="AD133" i="24"/>
  <c r="AF133" i="24"/>
  <c r="AD132" i="24"/>
  <c r="AD131" i="24"/>
  <c r="AC130" i="24"/>
  <c r="AF130" i="24"/>
  <c r="AD129" i="24"/>
  <c r="AD128" i="24"/>
  <c r="AD127" i="24"/>
  <c r="I125" i="24"/>
  <c r="J125" i="24" s="1"/>
  <c r="R125" i="24" s="1"/>
  <c r="Z124" i="24"/>
  <c r="I124" i="24"/>
  <c r="J124" i="24" s="1"/>
  <c r="R124" i="24" s="1"/>
  <c r="I123" i="24"/>
  <c r="J123" i="24" s="1"/>
  <c r="R123" i="24" s="1"/>
  <c r="Z122" i="24"/>
  <c r="AA121" i="24"/>
  <c r="AA120" i="24"/>
  <c r="Z119" i="24"/>
  <c r="AC118" i="24"/>
  <c r="AF118" i="24"/>
  <c r="AD117" i="24"/>
  <c r="AF117" i="24"/>
  <c r="Z116" i="24"/>
  <c r="I116" i="24"/>
  <c r="J116" i="24" s="1"/>
  <c r="R116" i="24" s="1"/>
  <c r="I115" i="24"/>
  <c r="J115" i="24" s="1"/>
  <c r="R115" i="24" s="1"/>
  <c r="Z113" i="24"/>
  <c r="Z112" i="24"/>
  <c r="AA111" i="24"/>
  <c r="AC110" i="24"/>
  <c r="AF110" i="24"/>
  <c r="AA109" i="24"/>
  <c r="AA108" i="24"/>
  <c r="AC107" i="24"/>
  <c r="AC106" i="24"/>
  <c r="AF106" i="24"/>
  <c r="AC105" i="24"/>
  <c r="AD104" i="24"/>
  <c r="I104" i="24"/>
  <c r="J104" i="24" s="1"/>
  <c r="R104" i="24" s="1"/>
  <c r="AF124" i="33"/>
  <c r="AF114" i="33"/>
  <c r="AF108" i="33"/>
  <c r="AF89" i="33"/>
  <c r="AF46" i="33"/>
  <c r="AF82" i="33"/>
  <c r="AF78" i="33"/>
  <c r="AF74" i="33"/>
  <c r="AF50" i="33"/>
  <c r="AF43" i="33"/>
  <c r="AF34" i="31"/>
  <c r="AF72" i="24"/>
  <c r="AF79" i="31"/>
  <c r="AF71" i="31"/>
  <c r="AF64" i="24"/>
  <c r="AF115" i="24"/>
  <c r="AF116" i="31"/>
  <c r="AF70" i="31"/>
  <c r="AF134" i="31"/>
  <c r="AF130" i="31"/>
  <c r="AF28" i="31"/>
  <c r="AF53" i="24"/>
  <c r="AF38" i="24"/>
  <c r="AF25" i="24"/>
  <c r="I101" i="24"/>
  <c r="J101" i="24" s="1"/>
  <c r="R101" i="24" s="1"/>
  <c r="T7" i="24"/>
  <c r="T6" i="24"/>
  <c r="AC101" i="24"/>
  <c r="AA102" i="24"/>
  <c r="I103" i="24"/>
  <c r="J103" i="24" s="1"/>
  <c r="R103" i="24" s="1"/>
  <c r="AD103" i="24"/>
  <c r="AA104" i="24"/>
  <c r="I105" i="24"/>
  <c r="J105" i="24" s="1"/>
  <c r="R105" i="24" s="1"/>
  <c r="AD105" i="24"/>
  <c r="AF105" i="24"/>
  <c r="AA106" i="24"/>
  <c r="Z107" i="24"/>
  <c r="I108" i="24"/>
  <c r="J108" i="24" s="1"/>
  <c r="R108" i="24" s="1"/>
  <c r="AC108" i="24"/>
  <c r="AF108" i="24"/>
  <c r="I109" i="24"/>
  <c r="J109" i="24" s="1"/>
  <c r="R109" i="24" s="1"/>
  <c r="AD109" i="24"/>
  <c r="AA110" i="24"/>
  <c r="I111" i="24"/>
  <c r="J111" i="24" s="1"/>
  <c r="R111" i="24" s="1"/>
  <c r="AD111" i="24"/>
  <c r="AA112" i="24"/>
  <c r="I113" i="24"/>
  <c r="J113" i="24" s="1"/>
  <c r="R113" i="24" s="1"/>
  <c r="AD113" i="24"/>
  <c r="AF113" i="24"/>
  <c r="AA114" i="24"/>
  <c r="Z115" i="24"/>
  <c r="Z117" i="24"/>
  <c r="AA118" i="24"/>
  <c r="AC119" i="24"/>
  <c r="AF119" i="24"/>
  <c r="AC120" i="24"/>
  <c r="I121" i="24"/>
  <c r="J121" i="24" s="1"/>
  <c r="R121" i="24" s="1"/>
  <c r="AD121" i="24"/>
  <c r="AA122" i="24"/>
  <c r="AC123" i="24"/>
  <c r="AF123" i="24"/>
  <c r="AA124" i="24"/>
  <c r="AC125" i="24"/>
  <c r="AF125" i="24"/>
  <c r="Z126" i="24"/>
  <c r="AC127" i="24"/>
  <c r="AF127" i="24"/>
  <c r="AA128" i="24"/>
  <c r="Z129" i="24"/>
  <c r="AD130" i="24"/>
  <c r="AC131" i="24"/>
  <c r="AF131" i="24"/>
  <c r="AA132" i="24"/>
  <c r="Z133" i="24"/>
  <c r="AD134" i="24"/>
  <c r="AA135" i="24"/>
  <c r="I65" i="24"/>
  <c r="J65" i="24" s="1"/>
  <c r="R65" i="24" s="1"/>
  <c r="I85" i="24"/>
  <c r="J85" i="24" s="1"/>
  <c r="R85" i="24" s="1"/>
  <c r="I89" i="24"/>
  <c r="J89" i="24" s="1"/>
  <c r="R89" i="24" s="1"/>
  <c r="I69" i="24"/>
  <c r="J69" i="24" s="1"/>
  <c r="R69" i="24" s="1"/>
  <c r="I98" i="24"/>
  <c r="J98" i="24" s="1"/>
  <c r="R98" i="24" s="1"/>
  <c r="I92" i="24"/>
  <c r="J92" i="24" s="1"/>
  <c r="R92" i="24" s="1"/>
  <c r="I86" i="24"/>
  <c r="J86" i="24" s="1"/>
  <c r="R86" i="24" s="1"/>
  <c r="Z137" i="31"/>
  <c r="Z127" i="31"/>
  <c r="Z125" i="31"/>
  <c r="AA118" i="31"/>
  <c r="AD106" i="31"/>
  <c r="AA74" i="31"/>
  <c r="AC73" i="31"/>
  <c r="AF106" i="33"/>
  <c r="AF101" i="33"/>
  <c r="AF99" i="33"/>
  <c r="AF77" i="33"/>
  <c r="AF69" i="33"/>
  <c r="AF23" i="33"/>
  <c r="AF25" i="33"/>
  <c r="AF112" i="33"/>
  <c r="AF102" i="33"/>
  <c r="AF93" i="33"/>
  <c r="AF91" i="33"/>
  <c r="AF86" i="33"/>
  <c r="AF84" i="33"/>
  <c r="AF80" i="33"/>
  <c r="AF76" i="33"/>
  <c r="AF70" i="33"/>
  <c r="AF68" i="33"/>
  <c r="AF66" i="33"/>
  <c r="AF64" i="33"/>
  <c r="AF62" i="33"/>
  <c r="AF60" i="33"/>
  <c r="AF40" i="33"/>
  <c r="AF35" i="33"/>
  <c r="AF92" i="31"/>
  <c r="AF118" i="31"/>
  <c r="AF133" i="33"/>
  <c r="AF129" i="24"/>
  <c r="AF134" i="33"/>
  <c r="AF41" i="33"/>
  <c r="AF128" i="33"/>
  <c r="AC19" i="33"/>
  <c r="AF19" i="33"/>
  <c r="AF94" i="24"/>
  <c r="AF78" i="24"/>
  <c r="AF86" i="24"/>
  <c r="AF80" i="24"/>
  <c r="AF135" i="24"/>
  <c r="AF30" i="24"/>
  <c r="AF137" i="24"/>
  <c r="AF28" i="24"/>
  <c r="AF21" i="24"/>
  <c r="AF113" i="33"/>
  <c r="AF112" i="24"/>
  <c r="AF99" i="31"/>
  <c r="AF83" i="31"/>
  <c r="AF67" i="31"/>
  <c r="AF51" i="31"/>
  <c r="AF128" i="24"/>
  <c r="AF69" i="24"/>
  <c r="AF55" i="24"/>
  <c r="AF35" i="24"/>
  <c r="AF43" i="24"/>
  <c r="AF101" i="24"/>
  <c r="AF121" i="24"/>
  <c r="AF58" i="24"/>
  <c r="AF70" i="24"/>
  <c r="AF136" i="24"/>
  <c r="AF90" i="24"/>
  <c r="AF79" i="24"/>
  <c r="AF22" i="24"/>
  <c r="AF66" i="24"/>
  <c r="AF62" i="24"/>
  <c r="AF31" i="24"/>
  <c r="AF54" i="24"/>
  <c r="AF34" i="24"/>
  <c r="AF36" i="24"/>
  <c r="AF100" i="31"/>
  <c r="AF84" i="31"/>
  <c r="AF23" i="31"/>
  <c r="AF137" i="31"/>
  <c r="AF114" i="31"/>
  <c r="AF74" i="24"/>
  <c r="AF37" i="24"/>
  <c r="AF104" i="24"/>
  <c r="AF27" i="24"/>
  <c r="AF54" i="33"/>
  <c r="AF52" i="33"/>
  <c r="AF97" i="24"/>
  <c r="AF67" i="24"/>
  <c r="AF56" i="24"/>
  <c r="AF103" i="24"/>
  <c r="AF20" i="33"/>
  <c r="AF120" i="24"/>
  <c r="AF63" i="24"/>
  <c r="AF24" i="24"/>
  <c r="AF92" i="24"/>
  <c r="AF76" i="24"/>
  <c r="AF71" i="24"/>
  <c r="AF132" i="24"/>
  <c r="AF48" i="24"/>
  <c r="AF44" i="24"/>
  <c r="AF114" i="24"/>
  <c r="AF19" i="24"/>
  <c r="AF68" i="24"/>
  <c r="AF103" i="31"/>
  <c r="AF105" i="31"/>
  <c r="AF127" i="31"/>
  <c r="AF123" i="31"/>
  <c r="AF108" i="31"/>
  <c r="AF96" i="31"/>
  <c r="AF90" i="31"/>
  <c r="AF86" i="31"/>
  <c r="AF61" i="31"/>
  <c r="AF41" i="31"/>
  <c r="AF128" i="31"/>
  <c r="AF107" i="33"/>
  <c r="AF103" i="33"/>
  <c r="S137" i="33"/>
  <c r="V134" i="33"/>
  <c r="S132" i="33"/>
  <c r="V130" i="33"/>
  <c r="S128" i="33"/>
  <c r="V126" i="33"/>
  <c r="S124" i="33"/>
  <c r="Q60" i="33"/>
  <c r="Q54" i="33"/>
  <c r="Q48" i="33"/>
  <c r="Q46" i="33"/>
  <c r="Q44" i="33"/>
  <c r="Q42" i="33"/>
  <c r="Q40" i="33"/>
  <c r="Q38" i="33"/>
  <c r="Q36" i="33"/>
  <c r="Q34" i="33"/>
  <c r="Q32" i="33"/>
  <c r="Q20" i="33"/>
  <c r="R20" i="33"/>
  <c r="X137" i="33"/>
  <c r="R137" i="33"/>
  <c r="T134" i="33"/>
  <c r="X132" i="33"/>
  <c r="R132" i="33"/>
  <c r="T130" i="33"/>
  <c r="X128" i="33"/>
  <c r="R128" i="33"/>
  <c r="T126" i="33"/>
  <c r="X124" i="33"/>
  <c r="R124" i="33"/>
  <c r="V136" i="31"/>
  <c r="T19" i="31"/>
  <c r="X19" i="31"/>
  <c r="AI19" i="31"/>
  <c r="V19" i="31"/>
  <c r="S19" i="31"/>
  <c r="S137" i="24"/>
  <c r="X126" i="24"/>
  <c r="AI126" i="24"/>
  <c r="V126" i="24"/>
  <c r="S135" i="24"/>
  <c r="T126" i="24"/>
  <c r="V23" i="31"/>
  <c r="V22" i="31"/>
  <c r="S23" i="31"/>
  <c r="R23" i="31"/>
  <c r="X136" i="31"/>
  <c r="AI136" i="31"/>
  <c r="V136" i="24"/>
  <c r="S130" i="24"/>
  <c r="X127" i="24"/>
  <c r="AI127" i="24"/>
  <c r="R127" i="24"/>
  <c r="S136" i="31"/>
  <c r="R23" i="33"/>
  <c r="R19" i="24"/>
  <c r="X22" i="31"/>
  <c r="AI22" i="31"/>
  <c r="X20" i="31"/>
  <c r="AI20" i="31"/>
  <c r="T22" i="31"/>
  <c r="V20" i="31"/>
  <c r="S136" i="33"/>
  <c r="R137" i="24"/>
  <c r="T136" i="24"/>
  <c r="X136" i="24"/>
  <c r="AI136" i="24"/>
  <c r="T135" i="24"/>
  <c r="X130" i="24"/>
  <c r="AI130" i="24"/>
  <c r="R130" i="24"/>
  <c r="V127" i="24"/>
  <c r="T136" i="31"/>
  <c r="Q112" i="31"/>
  <c r="Q104" i="31"/>
  <c r="Q84" i="31"/>
  <c r="V136" i="33"/>
  <c r="R136" i="33"/>
  <c r="Q122" i="33"/>
  <c r="Q114" i="33"/>
  <c r="Q106" i="33"/>
  <c r="Q98" i="33"/>
  <c r="Q90" i="33"/>
  <c r="Q82" i="33"/>
  <c r="Q74" i="33"/>
  <c r="Q66" i="33"/>
  <c r="Q58" i="33"/>
  <c r="R18" i="33"/>
  <c r="T18" i="33"/>
  <c r="X18" i="33"/>
  <c r="X23" i="31"/>
  <c r="AI23" i="31"/>
  <c r="S20" i="31"/>
  <c r="X136" i="33"/>
  <c r="T137" i="24"/>
  <c r="X135" i="24"/>
  <c r="AI135" i="24"/>
  <c r="R23" i="24"/>
  <c r="R22" i="24"/>
  <c r="R20" i="24"/>
  <c r="AF29" i="31"/>
  <c r="AF40" i="31"/>
  <c r="R40" i="31"/>
  <c r="Z29" i="31"/>
  <c r="AC81" i="31"/>
  <c r="AF81" i="31"/>
  <c r="AA82" i="31"/>
  <c r="AC129" i="31"/>
  <c r="AC131" i="31"/>
  <c r="AF131" i="31"/>
  <c r="AC136" i="31"/>
  <c r="AF136" i="31"/>
  <c r="AA124" i="31"/>
  <c r="AD122" i="31"/>
  <c r="AF122" i="31"/>
  <c r="Z61" i="31"/>
  <c r="AC35" i="31"/>
  <c r="I29" i="31"/>
  <c r="J29" i="31" s="1"/>
  <c r="R29" i="31" s="1"/>
  <c r="I45" i="31"/>
  <c r="J45" i="31" s="1"/>
  <c r="R45" i="31" s="1"/>
  <c r="I61" i="31"/>
  <c r="J61" i="31" s="1"/>
  <c r="R61" i="31" s="1"/>
  <c r="I78" i="31"/>
  <c r="J78" i="31" s="1"/>
  <c r="R78" i="31" s="1"/>
  <c r="I86" i="31"/>
  <c r="J86" i="31" s="1"/>
  <c r="R86" i="31" s="1"/>
  <c r="I94" i="31"/>
  <c r="J94" i="31" s="1"/>
  <c r="R94" i="31" s="1"/>
  <c r="I102" i="31"/>
  <c r="J102" i="31" s="1"/>
  <c r="R102" i="31" s="1"/>
  <c r="I110" i="31"/>
  <c r="J110" i="31" s="1"/>
  <c r="R110" i="31" s="1"/>
  <c r="I118" i="31"/>
  <c r="J118" i="31" s="1"/>
  <c r="R118" i="31" s="1"/>
  <c r="I126" i="31"/>
  <c r="J126" i="31" s="1"/>
  <c r="R126" i="31" s="1"/>
  <c r="I38" i="31"/>
  <c r="J38" i="31" s="1"/>
  <c r="R38" i="31" s="1"/>
  <c r="I54" i="31"/>
  <c r="J54" i="31" s="1"/>
  <c r="R54" i="31" s="1"/>
  <c r="I70" i="31"/>
  <c r="J70" i="31" s="1"/>
  <c r="R70" i="31" s="1"/>
  <c r="I32" i="31"/>
  <c r="J32" i="31" s="1"/>
  <c r="R32" i="31" s="1"/>
  <c r="I48" i="31"/>
  <c r="J48" i="31" s="1"/>
  <c r="R48" i="31" s="1"/>
  <c r="I64" i="31"/>
  <c r="J64" i="31" s="1"/>
  <c r="R64" i="31" s="1"/>
  <c r="I77" i="31"/>
  <c r="J77" i="31" s="1"/>
  <c r="R77" i="31" s="1"/>
  <c r="I85" i="31"/>
  <c r="J85" i="31" s="1"/>
  <c r="R85" i="31" s="1"/>
  <c r="I93" i="31"/>
  <c r="J93" i="31" s="1"/>
  <c r="R93" i="31" s="1"/>
  <c r="I101" i="31"/>
  <c r="J101" i="31" s="1"/>
  <c r="R101" i="31" s="1"/>
  <c r="I109" i="31"/>
  <c r="J109" i="31" s="1"/>
  <c r="R109" i="31" s="1"/>
  <c r="I117" i="31"/>
  <c r="J117" i="31" s="1"/>
  <c r="R117" i="31" s="1"/>
  <c r="I125" i="31"/>
  <c r="J125" i="31" s="1"/>
  <c r="R125" i="31" s="1"/>
  <c r="I133" i="31"/>
  <c r="J133" i="31" s="1"/>
  <c r="R133" i="31" s="1"/>
  <c r="AA20" i="31"/>
  <c r="AC24" i="31"/>
  <c r="AD27" i="31"/>
  <c r="AF27" i="31"/>
  <c r="AD31" i="31"/>
  <c r="AF31" i="31"/>
  <c r="AD35" i="31"/>
  <c r="Z38" i="31"/>
  <c r="AA41" i="31"/>
  <c r="AA45" i="31"/>
  <c r="AC52" i="31"/>
  <c r="AF52" i="31"/>
  <c r="AC56" i="31"/>
  <c r="AF56" i="31"/>
  <c r="AD59" i="31"/>
  <c r="AF59" i="31"/>
  <c r="AD63" i="31"/>
  <c r="AF63" i="31"/>
  <c r="I132" i="31"/>
  <c r="J132" i="31" s="1"/>
  <c r="R132" i="31" s="1"/>
  <c r="AC19" i="31"/>
  <c r="AF19" i="31"/>
  <c r="AC25" i="31"/>
  <c r="AF25" i="31"/>
  <c r="AC33" i="31"/>
  <c r="AF33" i="31"/>
  <c r="AD38" i="31"/>
  <c r="AF38" i="31"/>
  <c r="Z44" i="31"/>
  <c r="AC49" i="31"/>
  <c r="AD54" i="31"/>
  <c r="AF54" i="31"/>
  <c r="Z60" i="31"/>
  <c r="AD65" i="31"/>
  <c r="AF65" i="31"/>
  <c r="AD69" i="31"/>
  <c r="AF69" i="31"/>
  <c r="AD73" i="31"/>
  <c r="AF73" i="31"/>
  <c r="AC97" i="31"/>
  <c r="AF97" i="31"/>
  <c r="AA98" i="31"/>
  <c r="Z109" i="31"/>
  <c r="Z111" i="31"/>
  <c r="AC113" i="31"/>
  <c r="AF113" i="31"/>
  <c r="AC115" i="31"/>
  <c r="AF115" i="31"/>
  <c r="AA134" i="31"/>
  <c r="AC62" i="31"/>
  <c r="AF62" i="31"/>
  <c r="AC30" i="31"/>
  <c r="AF30" i="31"/>
  <c r="I37" i="31"/>
  <c r="J37" i="31" s="1"/>
  <c r="R37" i="31" s="1"/>
  <c r="I60" i="31"/>
  <c r="J60" i="31" s="1"/>
  <c r="R60" i="31" s="1"/>
  <c r="I80" i="31"/>
  <c r="J80" i="31" s="1"/>
  <c r="R80" i="31" s="1"/>
  <c r="I90" i="31"/>
  <c r="J90" i="31" s="1"/>
  <c r="R90" i="31" s="1"/>
  <c r="I100" i="31"/>
  <c r="J100" i="31" s="1"/>
  <c r="R100" i="31" s="1"/>
  <c r="I112" i="31"/>
  <c r="J112" i="31" s="1"/>
  <c r="R112" i="31" s="1"/>
  <c r="I122" i="31"/>
  <c r="J122" i="31" s="1"/>
  <c r="R122" i="31" s="1"/>
  <c r="I31" i="31"/>
  <c r="J31" i="31" s="1"/>
  <c r="R31" i="31" s="1"/>
  <c r="I55" i="31"/>
  <c r="J55" i="31" s="1"/>
  <c r="R55" i="31" s="1"/>
  <c r="I24" i="31"/>
  <c r="J24" i="31" s="1"/>
  <c r="I41" i="31"/>
  <c r="J41" i="31" s="1"/>
  <c r="R41" i="31" s="1"/>
  <c r="I65" i="31"/>
  <c r="J65" i="31" s="1"/>
  <c r="R65" i="31" s="1"/>
  <c r="I81" i="31"/>
  <c r="J81" i="31" s="1"/>
  <c r="R81" i="31" s="1"/>
  <c r="I91" i="31"/>
  <c r="J91" i="31" s="1"/>
  <c r="R91" i="31" s="1"/>
  <c r="I103" i="31"/>
  <c r="J103" i="31" s="1"/>
  <c r="R103" i="31" s="1"/>
  <c r="I113" i="31"/>
  <c r="J113" i="31" s="1"/>
  <c r="R113" i="31" s="1"/>
  <c r="I123" i="31"/>
  <c r="J123" i="31" s="1"/>
  <c r="R123" i="31" s="1"/>
  <c r="I135" i="31"/>
  <c r="J135" i="31" s="1"/>
  <c r="R135" i="31" s="1"/>
  <c r="Z22" i="31"/>
  <c r="Z26" i="31"/>
  <c r="AC32" i="31"/>
  <c r="AF32" i="31"/>
  <c r="AC36" i="31"/>
  <c r="AF36" i="31"/>
  <c r="Z46" i="31"/>
  <c r="Z50" i="31"/>
  <c r="AD55" i="31"/>
  <c r="AF55" i="31"/>
  <c r="AC60" i="31"/>
  <c r="AF60" i="31"/>
  <c r="I50" i="31"/>
  <c r="J50" i="31" s="1"/>
  <c r="R50" i="31" s="1"/>
  <c r="AD26" i="31"/>
  <c r="AF26" i="31"/>
  <c r="AC37" i="31"/>
  <c r="AF37" i="31"/>
  <c r="AC45" i="31"/>
  <c r="AF45" i="31"/>
  <c r="Z52" i="31"/>
  <c r="AD58" i="31"/>
  <c r="AF58" i="31"/>
  <c r="AC66" i="31"/>
  <c r="AF66" i="31"/>
  <c r="AA71" i="31"/>
  <c r="Z76" i="31"/>
  <c r="Z80" i="31"/>
  <c r="Z84" i="31"/>
  <c r="Z88" i="31"/>
  <c r="AA91" i="31"/>
  <c r="AA95" i="31"/>
  <c r="AC98" i="31"/>
  <c r="AF98" i="31"/>
  <c r="AC102" i="31"/>
  <c r="AF102" i="31"/>
  <c r="AC106" i="31"/>
  <c r="AF106" i="31"/>
  <c r="AC110" i="31"/>
  <c r="AF110" i="31"/>
  <c r="AD117" i="31"/>
  <c r="AF117" i="31"/>
  <c r="AD121" i="31"/>
  <c r="AF121" i="31"/>
  <c r="AD125" i="31"/>
  <c r="AF125" i="31"/>
  <c r="AD129" i="31"/>
  <c r="AD133" i="31"/>
  <c r="AF133" i="31"/>
  <c r="AA137" i="31"/>
  <c r="I134" i="31"/>
  <c r="J134" i="31" s="1"/>
  <c r="R134" i="31" s="1"/>
  <c r="Z23" i="31"/>
  <c r="AA28" i="31"/>
  <c r="AD33" i="31"/>
  <c r="Z39" i="31"/>
  <c r="AA44" i="31"/>
  <c r="AD49" i="31"/>
  <c r="Z55" i="31"/>
  <c r="AA60" i="31"/>
  <c r="Z65" i="31"/>
  <c r="Z69" i="31"/>
  <c r="Z73" i="31"/>
  <c r="Z77" i="31"/>
  <c r="Z81" i="31"/>
  <c r="Z85" i="31"/>
  <c r="Z89" i="31"/>
  <c r="Z93" i="31"/>
  <c r="Z97" i="31"/>
  <c r="I22" i="31"/>
  <c r="J22" i="31" s="1"/>
  <c r="I74" i="31"/>
  <c r="J74" i="31" s="1"/>
  <c r="R74" i="31" s="1"/>
  <c r="AD24" i="31"/>
  <c r="AF132" i="33"/>
  <c r="R77" i="33"/>
  <c r="R26" i="33"/>
  <c r="AF122" i="33"/>
  <c r="R101" i="33"/>
  <c r="R41" i="33"/>
  <c r="R33" i="33"/>
  <c r="R78" i="33"/>
  <c r="R62" i="33"/>
  <c r="R22" i="33"/>
  <c r="R19" i="33"/>
  <c r="R102" i="33"/>
  <c r="R34" i="33"/>
  <c r="R24" i="33"/>
  <c r="M41" i="33"/>
  <c r="S22" i="24"/>
  <c r="T22" i="24"/>
  <c r="M34" i="33"/>
  <c r="M96" i="31"/>
  <c r="M70" i="33"/>
  <c r="M47" i="33"/>
  <c r="V22" i="24"/>
  <c r="V19" i="24"/>
  <c r="S19" i="24"/>
  <c r="T19" i="24"/>
  <c r="V20" i="24"/>
  <c r="S21" i="24"/>
  <c r="T21" i="24"/>
  <c r="V21" i="24"/>
  <c r="M67" i="24"/>
  <c r="AF35" i="31"/>
  <c r="AF49" i="31"/>
  <c r="AF24" i="31"/>
  <c r="AF129" i="31"/>
  <c r="S20" i="24"/>
  <c r="T20" i="24"/>
  <c r="X20" i="24"/>
  <c r="AI20" i="24"/>
  <c r="V25" i="24"/>
  <c r="V23" i="24"/>
  <c r="S24" i="24"/>
  <c r="T24" i="24"/>
  <c r="V24" i="24"/>
  <c r="X19" i="24"/>
  <c r="AI19" i="24"/>
  <c r="S25" i="24"/>
  <c r="S23" i="24"/>
  <c r="T23" i="24"/>
  <c r="X22" i="24"/>
  <c r="AI22" i="24"/>
  <c r="V19" i="33"/>
  <c r="V21" i="33"/>
  <c r="V23" i="33"/>
  <c r="V26" i="33"/>
  <c r="S25" i="33"/>
  <c r="T25" i="33"/>
  <c r="V25" i="33"/>
  <c r="V22" i="33"/>
  <c r="S21" i="33"/>
  <c r="T21" i="33"/>
  <c r="X21" i="33"/>
  <c r="V27" i="33"/>
  <c r="S27" i="33"/>
  <c r="S22" i="33"/>
  <c r="T22" i="33"/>
  <c r="S23" i="33"/>
  <c r="T23" i="33"/>
  <c r="X23" i="33"/>
  <c r="S19" i="33"/>
  <c r="T19" i="33"/>
  <c r="S24" i="33"/>
  <c r="T24" i="33"/>
  <c r="V20" i="33"/>
  <c r="V24" i="33"/>
  <c r="S26" i="33"/>
  <c r="T26" i="33"/>
  <c r="X26" i="33"/>
  <c r="S20" i="33"/>
  <c r="T20" i="33"/>
  <c r="X20" i="33"/>
  <c r="X21" i="24"/>
  <c r="AI21" i="24"/>
  <c r="X24" i="24"/>
  <c r="AI24" i="24"/>
  <c r="X23" i="24"/>
  <c r="AI23" i="24"/>
  <c r="X22" i="33"/>
  <c r="X19" i="33"/>
  <c r="X24" i="33"/>
  <c r="X25" i="33"/>
  <c r="P13" i="10"/>
  <c r="Q13" i="10"/>
  <c r="R13" i="10"/>
  <c r="S13" i="10"/>
  <c r="T13" i="10"/>
  <c r="P12" i="10"/>
  <c r="Q12" i="10"/>
  <c r="R12" i="10"/>
  <c r="S12" i="10"/>
  <c r="T12" i="10"/>
  <c r="T11" i="10"/>
  <c r="S11" i="10"/>
  <c r="T10" i="10"/>
  <c r="Q10" i="10"/>
  <c r="R10" i="10"/>
  <c r="S10" i="10"/>
  <c r="T9" i="10"/>
  <c r="S8" i="10"/>
  <c r="Q8" i="10"/>
  <c r="S9" i="10"/>
  <c r="T8" i="10"/>
  <c r="R8" i="10"/>
  <c r="P10" i="10"/>
  <c r="M99" i="31" l="1"/>
  <c r="M128" i="31"/>
  <c r="M84" i="33"/>
  <c r="M80" i="31"/>
  <c r="M104" i="24"/>
  <c r="M77" i="31"/>
  <c r="M87" i="33"/>
  <c r="M95" i="31"/>
  <c r="M42" i="33"/>
  <c r="M66" i="24"/>
  <c r="M60" i="24"/>
  <c r="M31" i="24"/>
  <c r="M82" i="24"/>
  <c r="M71" i="31"/>
  <c r="M50" i="24"/>
  <c r="M74" i="24"/>
  <c r="M47" i="24"/>
  <c r="M113" i="24"/>
  <c r="M59" i="24"/>
  <c r="M26" i="33"/>
  <c r="M66" i="31"/>
  <c r="M108" i="31"/>
  <c r="M25" i="31"/>
  <c r="M44" i="31"/>
  <c r="T25" i="24"/>
  <c r="X25" i="24" s="1"/>
  <c r="AI25" i="24" s="1"/>
  <c r="M65" i="31"/>
  <c r="M32" i="33"/>
  <c r="T27" i="33"/>
  <c r="X27" i="33" s="1"/>
  <c r="AI27" i="33" s="1"/>
  <c r="M55" i="24"/>
  <c r="M117" i="24"/>
  <c r="M94" i="31"/>
  <c r="M134" i="31"/>
  <c r="M125" i="31"/>
  <c r="M31" i="31"/>
  <c r="M114" i="31"/>
  <c r="M82" i="31"/>
  <c r="M42" i="31"/>
  <c r="M50" i="31"/>
  <c r="M124" i="31"/>
  <c r="M106" i="33"/>
  <c r="M123" i="31"/>
  <c r="M119" i="31"/>
  <c r="M49" i="24"/>
  <c r="M72" i="31"/>
  <c r="M88" i="33"/>
  <c r="M80" i="33"/>
  <c r="M60" i="31"/>
  <c r="M102" i="31"/>
  <c r="M68" i="33"/>
  <c r="M83" i="33"/>
  <c r="M49" i="31"/>
  <c r="M91" i="31"/>
  <c r="M85" i="33"/>
  <c r="M62" i="33"/>
  <c r="M103" i="33"/>
  <c r="M113" i="31"/>
  <c r="M112" i="31"/>
  <c r="M66" i="33"/>
  <c r="M73" i="33"/>
  <c r="M41" i="24"/>
  <c r="M115" i="33"/>
  <c r="M83" i="24"/>
  <c r="M19" i="24"/>
  <c r="M103" i="31"/>
  <c r="M109" i="24"/>
  <c r="M86" i="33"/>
  <c r="M78" i="33"/>
  <c r="M33" i="33"/>
  <c r="M92" i="31"/>
  <c r="M45" i="31"/>
  <c r="M120" i="24"/>
  <c r="M112" i="33"/>
  <c r="M35" i="33"/>
  <c r="M26" i="31"/>
  <c r="M79" i="31"/>
  <c r="M78" i="31"/>
  <c r="M62" i="24"/>
  <c r="M104" i="33"/>
  <c r="M50" i="33"/>
  <c r="M20" i="24"/>
  <c r="M77" i="24"/>
  <c r="M60" i="33"/>
  <c r="M76" i="24"/>
  <c r="M84" i="24"/>
  <c r="M90" i="24"/>
  <c r="M24" i="31"/>
  <c r="M89" i="24"/>
  <c r="M94" i="24"/>
  <c r="M76" i="31"/>
  <c r="M79" i="33"/>
  <c r="M40" i="33"/>
  <c r="T25" i="31"/>
  <c r="X25" i="31" s="1"/>
  <c r="AI25" i="31" s="1"/>
  <c r="M131" i="31"/>
  <c r="M101" i="31"/>
  <c r="M114" i="24"/>
  <c r="M81" i="33"/>
  <c r="M39" i="33"/>
  <c r="M39" i="31"/>
  <c r="M48" i="31"/>
  <c r="M61" i="24"/>
  <c r="M121" i="24"/>
  <c r="M56" i="31"/>
  <c r="M58" i="33"/>
  <c r="M27" i="33"/>
  <c r="M64" i="31"/>
  <c r="M63" i="31"/>
  <c r="M52" i="33"/>
  <c r="M51" i="33"/>
  <c r="M29" i="33"/>
  <c r="M23" i="24"/>
  <c r="M57" i="31"/>
  <c r="M58" i="31"/>
  <c r="M64" i="33"/>
  <c r="M65" i="33"/>
  <c r="M19" i="31"/>
  <c r="M20" i="31"/>
  <c r="M57" i="33"/>
  <c r="M49" i="33"/>
  <c r="M48" i="33"/>
  <c r="M86" i="31"/>
  <c r="M24" i="24"/>
  <c r="M127" i="31"/>
  <c r="M105" i="33"/>
  <c r="M103" i="24"/>
  <c r="M69" i="24"/>
  <c r="M82" i="33"/>
  <c r="M45" i="33"/>
  <c r="M39" i="24"/>
  <c r="M97" i="24"/>
  <c r="M57" i="24"/>
  <c r="M40" i="24"/>
  <c r="M59" i="33"/>
  <c r="M108" i="24"/>
  <c r="M29" i="31"/>
  <c r="M37" i="31"/>
  <c r="M70" i="31"/>
  <c r="M117" i="31"/>
  <c r="M28" i="24"/>
  <c r="M23" i="31"/>
  <c r="M22" i="33"/>
  <c r="M132" i="31"/>
  <c r="M53" i="31"/>
  <c r="M43" i="24"/>
  <c r="M67" i="31"/>
  <c r="M59" i="31"/>
  <c r="M52" i="31"/>
  <c r="M109" i="33"/>
  <c r="M61" i="33"/>
  <c r="M44" i="24"/>
  <c r="M99" i="24"/>
  <c r="M94" i="33"/>
  <c r="M83" i="31"/>
  <c r="M110" i="24"/>
  <c r="M75" i="31"/>
  <c r="M73" i="31"/>
  <c r="M114" i="33"/>
  <c r="M107" i="24"/>
  <c r="M22" i="31"/>
  <c r="M33" i="31"/>
  <c r="M54" i="24"/>
  <c r="M36" i="24"/>
  <c r="M26" i="24"/>
  <c r="M135" i="31"/>
  <c r="M46" i="31"/>
  <c r="M67" i="33"/>
  <c r="M25" i="33"/>
  <c r="M118" i="24"/>
  <c r="M119" i="24"/>
  <c r="M124" i="24"/>
  <c r="M123" i="24"/>
  <c r="M107" i="33"/>
  <c r="M55" i="33"/>
  <c r="M56" i="33"/>
  <c r="M104" i="31"/>
  <c r="M105" i="31"/>
  <c r="M112" i="24"/>
  <c r="M111" i="24"/>
  <c r="M122" i="33"/>
  <c r="M121" i="33"/>
  <c r="M108" i="33"/>
  <c r="M130" i="31"/>
  <c r="M129" i="31"/>
  <c r="M86" i="24"/>
  <c r="M87" i="24"/>
  <c r="M110" i="33"/>
  <c r="M111" i="33"/>
  <c r="M100" i="33"/>
  <c r="M79" i="24"/>
  <c r="M78" i="24"/>
  <c r="M23" i="33"/>
  <c r="M24" i="33"/>
  <c r="M32" i="24"/>
  <c r="M33" i="24"/>
  <c r="M113" i="33"/>
  <c r="M89" i="33"/>
  <c r="M68" i="31"/>
  <c r="M69" i="31"/>
  <c r="M70" i="24"/>
  <c r="M100" i="24"/>
  <c r="M101" i="24"/>
  <c r="M90" i="33"/>
  <c r="M91" i="33"/>
  <c r="M117" i="33"/>
  <c r="M118" i="33"/>
  <c r="M47" i="31"/>
  <c r="M93" i="31"/>
  <c r="M71" i="24"/>
  <c r="M46" i="24"/>
  <c r="M121" i="31"/>
  <c r="M74" i="31"/>
  <c r="M73" i="24"/>
  <c r="M88" i="24"/>
  <c r="M133" i="31"/>
  <c r="M101" i="33"/>
  <c r="M99" i="33"/>
  <c r="M53" i="24"/>
  <c r="M118" i="31"/>
  <c r="M40" i="31"/>
  <c r="M111" i="31"/>
  <c r="M48" i="24"/>
  <c r="M85" i="24"/>
  <c r="M38" i="24"/>
  <c r="M19" i="33"/>
  <c r="M32" i="31"/>
  <c r="M58" i="24"/>
  <c r="M43" i="31"/>
  <c r="M80" i="24"/>
  <c r="M102" i="33"/>
  <c r="M38" i="31"/>
  <c r="M42" i="24"/>
  <c r="M25" i="24"/>
  <c r="M88" i="31"/>
  <c r="M37" i="24"/>
  <c r="M28" i="33"/>
  <c r="M51" i="31"/>
  <c r="M36" i="31"/>
  <c r="M93" i="24"/>
  <c r="M65" i="24"/>
  <c r="M69" i="33"/>
  <c r="M45" i="24"/>
  <c r="M30" i="31"/>
  <c r="M102" i="24"/>
  <c r="M116" i="33"/>
  <c r="M63" i="33"/>
  <c r="M125" i="24"/>
  <c r="M106" i="24"/>
  <c r="M105" i="24"/>
  <c r="M56" i="24"/>
  <c r="T17" i="10"/>
  <c r="S17" i="10"/>
  <c r="M74" i="33"/>
  <c r="M75" i="33"/>
  <c r="M71" i="33"/>
  <c r="M72" i="33"/>
  <c r="M43" i="33"/>
  <c r="M44" i="33"/>
  <c r="M36" i="33"/>
  <c r="M37" i="33"/>
  <c r="M106" i="31"/>
  <c r="M107" i="31"/>
  <c r="M89" i="31"/>
  <c r="M90" i="31"/>
  <c r="M35" i="24"/>
  <c r="M34" i="24"/>
  <c r="M52" i="24"/>
  <c r="M51" i="24"/>
  <c r="M92" i="24"/>
  <c r="M91" i="24"/>
  <c r="M30" i="24"/>
  <c r="M29" i="24"/>
  <c r="M115" i="31"/>
  <c r="M116" i="31"/>
  <c r="M96" i="24"/>
  <c r="M95" i="24"/>
  <c r="M84" i="31"/>
  <c r="M85" i="31"/>
  <c r="M97" i="33"/>
  <c r="M98" i="33"/>
  <c r="M95" i="33"/>
  <c r="M96" i="33"/>
  <c r="M93" i="33"/>
  <c r="M92" i="33"/>
  <c r="M76" i="33"/>
  <c r="M77" i="33"/>
  <c r="M30" i="33"/>
  <c r="M31" i="33"/>
  <c r="M21" i="33"/>
  <c r="M20" i="33"/>
  <c r="M27" i="31"/>
  <c r="M28" i="31"/>
  <c r="M35" i="31"/>
  <c r="M34" i="31"/>
  <c r="M62" i="31"/>
  <c r="M61" i="31"/>
  <c r="M110" i="31"/>
  <c r="M109" i="31"/>
  <c r="M116" i="24"/>
  <c r="M115" i="24"/>
  <c r="M81" i="31"/>
  <c r="M21" i="24"/>
  <c r="M22" i="24"/>
  <c r="M98" i="24"/>
  <c r="M54" i="31"/>
  <c r="M41" i="31"/>
  <c r="M75" i="24"/>
  <c r="M46" i="33"/>
  <c r="M27" i="24"/>
  <c r="M100" i="31"/>
  <c r="M55" i="31"/>
  <c r="M126" i="31"/>
  <c r="M97" i="31"/>
  <c r="M87" i="31"/>
  <c r="M120" i="33"/>
  <c r="M119" i="33"/>
  <c r="M54" i="33"/>
  <c r="M53" i="33"/>
  <c r="V27" i="31" l="1"/>
  <c r="V33" i="31"/>
  <c r="S34" i="31"/>
  <c r="T34" i="31" s="1"/>
  <c r="S36" i="33"/>
  <c r="T36" i="33" s="1"/>
  <c r="S31" i="33"/>
  <c r="T31" i="33" s="1"/>
  <c r="S55" i="33"/>
  <c r="T55" i="33" s="1"/>
  <c r="S26" i="31"/>
  <c r="T26" i="31" s="1"/>
  <c r="V26" i="31"/>
  <c r="S87" i="24"/>
  <c r="T87" i="24" s="1"/>
  <c r="S48" i="24"/>
  <c r="T48" i="24" s="1"/>
  <c r="V28" i="31"/>
  <c r="S44" i="33"/>
  <c r="T44" i="33" s="1"/>
  <c r="S28" i="31"/>
  <c r="T28" i="31" s="1"/>
  <c r="V40" i="33"/>
  <c r="S30" i="31"/>
  <c r="T30" i="31" s="1"/>
  <c r="S39" i="33"/>
  <c r="T39" i="33" s="1"/>
  <c r="V51" i="31"/>
  <c r="S57" i="24"/>
  <c r="T57" i="24" s="1"/>
  <c r="V31" i="33"/>
  <c r="S49" i="24"/>
  <c r="T49" i="24" s="1"/>
  <c r="V74" i="33"/>
  <c r="V30" i="31"/>
  <c r="V34" i="31"/>
  <c r="V28" i="33"/>
  <c r="V45" i="33"/>
  <c r="V32" i="24"/>
  <c r="S35" i="31"/>
  <c r="T35" i="31" s="1"/>
  <c r="V29" i="24"/>
  <c r="V32" i="31"/>
  <c r="V124" i="31"/>
  <c r="S101" i="33"/>
  <c r="T101" i="33" s="1"/>
  <c r="V100" i="24"/>
  <c r="V92" i="31"/>
  <c r="S33" i="31"/>
  <c r="T33" i="31" s="1"/>
  <c r="S37" i="31"/>
  <c r="T37" i="31" s="1"/>
  <c r="S66" i="31"/>
  <c r="T66" i="31" s="1"/>
  <c r="V110" i="33"/>
  <c r="V36" i="31"/>
  <c r="V36" i="33"/>
  <c r="S58" i="24"/>
  <c r="T58" i="24" s="1"/>
  <c r="V46" i="31"/>
  <c r="S51" i="31"/>
  <c r="T51" i="31" s="1"/>
  <c r="V95" i="33"/>
  <c r="V106" i="33"/>
  <c r="S101" i="24"/>
  <c r="T101" i="24" s="1"/>
  <c r="V118" i="24"/>
  <c r="V87" i="24"/>
  <c r="V114" i="24"/>
  <c r="V54" i="24"/>
  <c r="S73" i="24"/>
  <c r="T73" i="24" s="1"/>
  <c r="S61" i="31"/>
  <c r="T61" i="31" s="1"/>
  <c r="S110" i="31"/>
  <c r="T110" i="31" s="1"/>
  <c r="S77" i="31"/>
  <c r="T77" i="31" s="1"/>
  <c r="V49" i="31"/>
  <c r="V75" i="31"/>
  <c r="V91" i="31"/>
  <c r="S100" i="31"/>
  <c r="T100" i="31" s="1"/>
  <c r="S127" i="31"/>
  <c r="T127" i="31" s="1"/>
  <c r="V57" i="31"/>
  <c r="S130" i="31"/>
  <c r="T130" i="31" s="1"/>
  <c r="V104" i="31"/>
  <c r="V118" i="31"/>
  <c r="V103" i="33"/>
  <c r="S76" i="33"/>
  <c r="T76" i="33" s="1"/>
  <c r="S79" i="33"/>
  <c r="T79" i="33" s="1"/>
  <c r="S92" i="33"/>
  <c r="T92" i="33" s="1"/>
  <c r="S118" i="33"/>
  <c r="T118" i="33" s="1"/>
  <c r="S63" i="33"/>
  <c r="T63" i="33" s="1"/>
  <c r="V97" i="33"/>
  <c r="S74" i="33"/>
  <c r="T74" i="33" s="1"/>
  <c r="S119" i="33"/>
  <c r="T119" i="33" s="1"/>
  <c r="S82" i="33"/>
  <c r="T82" i="33" s="1"/>
  <c r="S47" i="33"/>
  <c r="T47" i="33" s="1"/>
  <c r="S74" i="24"/>
  <c r="T74" i="24" s="1"/>
  <c r="V41" i="31"/>
  <c r="V65" i="31"/>
  <c r="V103" i="31"/>
  <c r="V70" i="31"/>
  <c r="S47" i="24"/>
  <c r="T47" i="24" s="1"/>
  <c r="S44" i="24"/>
  <c r="T44" i="24" s="1"/>
  <c r="V68" i="24"/>
  <c r="V117" i="24"/>
  <c r="S75" i="24"/>
  <c r="T75" i="24" s="1"/>
  <c r="V115" i="24"/>
  <c r="V41" i="24"/>
  <c r="S67" i="24"/>
  <c r="T67" i="24" s="1"/>
  <c r="S94" i="24"/>
  <c r="T94" i="24" s="1"/>
  <c r="S83" i="24"/>
  <c r="T83" i="24" s="1"/>
  <c r="V105" i="24"/>
  <c r="V116" i="24"/>
  <c r="V103" i="24"/>
  <c r="V30" i="24"/>
  <c r="S108" i="24"/>
  <c r="T108" i="24" s="1"/>
  <c r="V100" i="31"/>
  <c r="S99" i="31"/>
  <c r="T99" i="31" s="1"/>
  <c r="V79" i="24"/>
  <c r="S108" i="31"/>
  <c r="T108" i="31" s="1"/>
  <c r="S49" i="31"/>
  <c r="T49" i="31" s="1"/>
  <c r="S96" i="31"/>
  <c r="T96" i="31" s="1"/>
  <c r="S90" i="31"/>
  <c r="T90" i="31" s="1"/>
  <c r="V87" i="31"/>
  <c r="S49" i="33"/>
  <c r="T49" i="33" s="1"/>
  <c r="S122" i="33"/>
  <c r="T122" i="33" s="1"/>
  <c r="S116" i="33"/>
  <c r="T116" i="33" s="1"/>
  <c r="S86" i="33"/>
  <c r="T86" i="33" s="1"/>
  <c r="V94" i="33"/>
  <c r="S65" i="33"/>
  <c r="T65" i="33" s="1"/>
  <c r="S54" i="33"/>
  <c r="T54" i="33" s="1"/>
  <c r="V43" i="33"/>
  <c r="S124" i="24"/>
  <c r="T124" i="24" s="1"/>
  <c r="S129" i="31"/>
  <c r="T129" i="31" s="1"/>
  <c r="S124" i="31"/>
  <c r="T124" i="31" s="1"/>
  <c r="X124" i="31" s="1"/>
  <c r="AI124" i="31" s="1"/>
  <c r="S122" i="31"/>
  <c r="T122" i="31" s="1"/>
  <c r="S65" i="31"/>
  <c r="T65" i="31" s="1"/>
  <c r="V108" i="24"/>
  <c r="V90" i="24"/>
  <c r="V69" i="24"/>
  <c r="V77" i="24"/>
  <c r="V50" i="24"/>
  <c r="S63" i="24"/>
  <c r="T63" i="24" s="1"/>
  <c r="S99" i="24"/>
  <c r="T99" i="24" s="1"/>
  <c r="S30" i="24"/>
  <c r="T30" i="24" s="1"/>
  <c r="V37" i="24"/>
  <c r="S60" i="24"/>
  <c r="T60" i="24" s="1"/>
  <c r="S55" i="24"/>
  <c r="T55" i="24" s="1"/>
  <c r="S117" i="24"/>
  <c r="T117" i="24" s="1"/>
  <c r="S89" i="24"/>
  <c r="T89" i="24" s="1"/>
  <c r="V36" i="24"/>
  <c r="V85" i="24"/>
  <c r="S132" i="31"/>
  <c r="T132" i="31" s="1"/>
  <c r="V98" i="33"/>
  <c r="V118" i="33"/>
  <c r="V48" i="31"/>
  <c r="S53" i="33"/>
  <c r="T53" i="33" s="1"/>
  <c r="V93" i="31"/>
  <c r="S80" i="31"/>
  <c r="T80" i="31" s="1"/>
  <c r="V88" i="31"/>
  <c r="V90" i="31"/>
  <c r="S82" i="31"/>
  <c r="T82" i="31" s="1"/>
  <c r="S114" i="31"/>
  <c r="T114" i="31" s="1"/>
  <c r="V117" i="31"/>
  <c r="V116" i="31"/>
  <c r="S91" i="31"/>
  <c r="T91" i="31" s="1"/>
  <c r="S43" i="31"/>
  <c r="T43" i="31" s="1"/>
  <c r="S44" i="31"/>
  <c r="T44" i="31" s="1"/>
  <c r="V81" i="31"/>
  <c r="V89" i="33"/>
  <c r="S43" i="33"/>
  <c r="T43" i="33" s="1"/>
  <c r="V96" i="33"/>
  <c r="S66" i="33"/>
  <c r="T66" i="33" s="1"/>
  <c r="V69" i="33"/>
  <c r="S57" i="33"/>
  <c r="T57" i="33" s="1"/>
  <c r="V112" i="33"/>
  <c r="S50" i="33"/>
  <c r="T50" i="33" s="1"/>
  <c r="V55" i="33"/>
  <c r="X55" i="33" s="1"/>
  <c r="AI55" i="33" s="1"/>
  <c r="S110" i="33"/>
  <c r="T110" i="33" s="1"/>
  <c r="V58" i="33"/>
  <c r="S111" i="24"/>
  <c r="T111" i="24" s="1"/>
  <c r="V53" i="31"/>
  <c r="S86" i="31"/>
  <c r="T86" i="31" s="1"/>
  <c r="S72" i="31"/>
  <c r="T72" i="31" s="1"/>
  <c r="V126" i="31"/>
  <c r="S120" i="24"/>
  <c r="T120" i="24" s="1"/>
  <c r="S92" i="24"/>
  <c r="T92" i="24" s="1"/>
  <c r="S100" i="24"/>
  <c r="T100" i="24" s="1"/>
  <c r="V38" i="24"/>
  <c r="V80" i="24"/>
  <c r="V82" i="24"/>
  <c r="V56" i="24"/>
  <c r="V66" i="24"/>
  <c r="S39" i="24"/>
  <c r="T39" i="24" s="1"/>
  <c r="V31" i="24"/>
  <c r="V111" i="24"/>
  <c r="S38" i="24"/>
  <c r="T38" i="24" s="1"/>
  <c r="V43" i="24"/>
  <c r="S114" i="24"/>
  <c r="T114" i="24" s="1"/>
  <c r="S78" i="24"/>
  <c r="T78" i="24" s="1"/>
  <c r="V88" i="33"/>
  <c r="S56" i="31"/>
  <c r="T56" i="31" s="1"/>
  <c r="V109" i="31"/>
  <c r="S65" i="24"/>
  <c r="T65" i="24" s="1"/>
  <c r="S60" i="31"/>
  <c r="T60" i="31" s="1"/>
  <c r="S71" i="31"/>
  <c r="T71" i="31" s="1"/>
  <c r="S121" i="31"/>
  <c r="T121" i="31" s="1"/>
  <c r="V74" i="31"/>
  <c r="V96" i="31"/>
  <c r="V54" i="33"/>
  <c r="V63" i="24"/>
  <c r="S62" i="24"/>
  <c r="T62" i="24" s="1"/>
  <c r="V96" i="24"/>
  <c r="V119" i="24"/>
  <c r="S61" i="24"/>
  <c r="T61" i="24" s="1"/>
  <c r="S102" i="24"/>
  <c r="T102" i="24" s="1"/>
  <c r="V95" i="24"/>
  <c r="S41" i="24"/>
  <c r="T41" i="24" s="1"/>
  <c r="V70" i="24"/>
  <c r="V67" i="24"/>
  <c r="S56" i="24"/>
  <c r="T56" i="24" s="1"/>
  <c r="S93" i="24"/>
  <c r="T93" i="24" s="1"/>
  <c r="V134" i="31"/>
  <c r="S55" i="31"/>
  <c r="T55" i="31" s="1"/>
  <c r="V79" i="31"/>
  <c r="S75" i="31"/>
  <c r="T75" i="31" s="1"/>
  <c r="S105" i="31"/>
  <c r="T105" i="31" s="1"/>
  <c r="S109" i="31"/>
  <c r="T109" i="31" s="1"/>
  <c r="V132" i="31"/>
  <c r="S47" i="31"/>
  <c r="T47" i="31" s="1"/>
  <c r="V115" i="31"/>
  <c r="V56" i="31"/>
  <c r="S52" i="31"/>
  <c r="T52" i="31" s="1"/>
  <c r="S79" i="31"/>
  <c r="T79" i="31" s="1"/>
  <c r="V59" i="33"/>
  <c r="S73" i="33"/>
  <c r="T73" i="33" s="1"/>
  <c r="V84" i="33"/>
  <c r="V61" i="33"/>
  <c r="S77" i="33"/>
  <c r="T77" i="33" s="1"/>
  <c r="V116" i="33"/>
  <c r="S71" i="33"/>
  <c r="T71" i="33" s="1"/>
  <c r="V41" i="33"/>
  <c r="V56" i="33"/>
  <c r="V81" i="33"/>
  <c r="S31" i="31"/>
  <c r="T31" i="31" s="1"/>
  <c r="V102" i="31"/>
  <c r="V135" i="31"/>
  <c r="S95" i="31"/>
  <c r="T95" i="31" s="1"/>
  <c r="V93" i="24"/>
  <c r="S54" i="24"/>
  <c r="T54" i="24" s="1"/>
  <c r="S91" i="24"/>
  <c r="T91" i="24" s="1"/>
  <c r="S53" i="24"/>
  <c r="T53" i="24" s="1"/>
  <c r="S116" i="24"/>
  <c r="T116" i="24" s="1"/>
  <c r="V61" i="24"/>
  <c r="V73" i="24"/>
  <c r="V97" i="24"/>
  <c r="V34" i="24"/>
  <c r="V52" i="24"/>
  <c r="V28" i="24"/>
  <c r="S82" i="24"/>
  <c r="T82" i="24" s="1"/>
  <c r="V42" i="24"/>
  <c r="S64" i="24"/>
  <c r="T64" i="24" s="1"/>
  <c r="V33" i="24"/>
  <c r="V101" i="31"/>
  <c r="V54" i="31"/>
  <c r="V93" i="33"/>
  <c r="S89" i="31"/>
  <c r="T89" i="31" s="1"/>
  <c r="S73" i="31"/>
  <c r="T73" i="31" s="1"/>
  <c r="S54" i="31"/>
  <c r="T54" i="31" s="1"/>
  <c r="S98" i="31"/>
  <c r="T98" i="31" s="1"/>
  <c r="V68" i="33"/>
  <c r="V52" i="33"/>
  <c r="S38" i="33"/>
  <c r="T38" i="33" s="1"/>
  <c r="V99" i="33"/>
  <c r="S75" i="33"/>
  <c r="T75" i="33" s="1"/>
  <c r="S61" i="33"/>
  <c r="T61" i="33" s="1"/>
  <c r="V35" i="33"/>
  <c r="V47" i="33"/>
  <c r="S78" i="33"/>
  <c r="T78" i="33" s="1"/>
  <c r="V44" i="33"/>
  <c r="S112" i="33"/>
  <c r="T112" i="33" s="1"/>
  <c r="S59" i="33"/>
  <c r="T59" i="33" s="1"/>
  <c r="S81" i="33"/>
  <c r="T81" i="33" s="1"/>
  <c r="V80" i="33"/>
  <c r="V67" i="33"/>
  <c r="S67" i="33"/>
  <c r="T67" i="33" s="1"/>
  <c r="S32" i="33"/>
  <c r="T32" i="33" s="1"/>
  <c r="V117" i="33"/>
  <c r="V33" i="33"/>
  <c r="S98" i="33"/>
  <c r="T98" i="33" s="1"/>
  <c r="V65" i="33"/>
  <c r="V48" i="33"/>
  <c r="S37" i="33"/>
  <c r="T37" i="33" s="1"/>
  <c r="V71" i="33"/>
  <c r="V37" i="33"/>
  <c r="V114" i="33"/>
  <c r="S89" i="33"/>
  <c r="T89" i="33" s="1"/>
  <c r="X89" i="33" s="1"/>
  <c r="AI89" i="33" s="1"/>
  <c r="S45" i="33"/>
  <c r="T45" i="33" s="1"/>
  <c r="V57" i="33"/>
  <c r="S29" i="33"/>
  <c r="T29" i="33" s="1"/>
  <c r="V63" i="33"/>
  <c r="S113" i="33"/>
  <c r="T113" i="33" s="1"/>
  <c r="V75" i="33"/>
  <c r="V90" i="33"/>
  <c r="S102" i="33"/>
  <c r="T102" i="33" s="1"/>
  <c r="S84" i="33"/>
  <c r="T84" i="33" s="1"/>
  <c r="V86" i="33"/>
  <c r="V111" i="33"/>
  <c r="V120" i="33"/>
  <c r="S106" i="33"/>
  <c r="T106" i="33" s="1"/>
  <c r="X106" i="33" s="1"/>
  <c r="AI106" i="33" s="1"/>
  <c r="V60" i="33"/>
  <c r="S114" i="33"/>
  <c r="T114" i="33" s="1"/>
  <c r="V64" i="33"/>
  <c r="V113" i="33"/>
  <c r="V83" i="33"/>
  <c r="V79" i="33"/>
  <c r="S80" i="33"/>
  <c r="T80" i="33" s="1"/>
  <c r="V38" i="33"/>
  <c r="V50" i="33"/>
  <c r="S34" i="33"/>
  <c r="T34" i="33" s="1"/>
  <c r="S46" i="33"/>
  <c r="T46" i="33" s="1"/>
  <c r="S64" i="33"/>
  <c r="T64" i="33" s="1"/>
  <c r="S28" i="33"/>
  <c r="T28" i="33" s="1"/>
  <c r="S48" i="33"/>
  <c r="T48" i="33" s="1"/>
  <c r="V39" i="33"/>
  <c r="V119" i="33"/>
  <c r="V85" i="33"/>
  <c r="V76" i="33"/>
  <c r="V105" i="33"/>
  <c r="V51" i="33"/>
  <c r="S42" i="33"/>
  <c r="T42" i="33" s="1"/>
  <c r="S70" i="33"/>
  <c r="T70" i="33" s="1"/>
  <c r="V72" i="33"/>
  <c r="S115" i="33"/>
  <c r="T115" i="33" s="1"/>
  <c r="S90" i="33"/>
  <c r="T90" i="33" s="1"/>
  <c r="S94" i="33"/>
  <c r="T94" i="33" s="1"/>
  <c r="S72" i="33"/>
  <c r="T72" i="33" s="1"/>
  <c r="S120" i="33"/>
  <c r="T120" i="33" s="1"/>
  <c r="S88" i="33"/>
  <c r="T88" i="33" s="1"/>
  <c r="S38" i="31"/>
  <c r="T38" i="31" s="1"/>
  <c r="S104" i="31"/>
  <c r="T104" i="31" s="1"/>
  <c r="S29" i="31"/>
  <c r="T29" i="31" s="1"/>
  <c r="V113" i="31"/>
  <c r="S50" i="31"/>
  <c r="T50" i="31" s="1"/>
  <c r="S123" i="24"/>
  <c r="T123" i="24" s="1"/>
  <c r="S71" i="24"/>
  <c r="T71" i="24" s="1"/>
  <c r="V81" i="24"/>
  <c r="S70" i="24"/>
  <c r="T70" i="24" s="1"/>
  <c r="V48" i="24"/>
  <c r="S106" i="24"/>
  <c r="T106" i="24" s="1"/>
  <c r="S90" i="24"/>
  <c r="T90" i="24" s="1"/>
  <c r="S122" i="24"/>
  <c r="T122" i="24" s="1"/>
  <c r="S32" i="24"/>
  <c r="T32" i="24" s="1"/>
  <c r="X32" i="24" s="1"/>
  <c r="AI32" i="24" s="1"/>
  <c r="S109" i="24"/>
  <c r="T109" i="24" s="1"/>
  <c r="V35" i="24"/>
  <c r="V45" i="24"/>
  <c r="S28" i="24"/>
  <c r="T28" i="24" s="1"/>
  <c r="S107" i="24"/>
  <c r="T107" i="24" s="1"/>
  <c r="S26" i="24"/>
  <c r="T26" i="24" s="1"/>
  <c r="S83" i="31"/>
  <c r="T83" i="31" s="1"/>
  <c r="S118" i="24"/>
  <c r="T118" i="24" s="1"/>
  <c r="S63" i="31"/>
  <c r="T63" i="31" s="1"/>
  <c r="V58" i="31"/>
  <c r="S81" i="31"/>
  <c r="T81" i="31" s="1"/>
  <c r="V78" i="31"/>
  <c r="S101" i="31"/>
  <c r="T101" i="31" s="1"/>
  <c r="S46" i="31"/>
  <c r="T46" i="31" s="1"/>
  <c r="X46" i="31" s="1"/>
  <c r="AI46" i="31" s="1"/>
  <c r="V55" i="31"/>
  <c r="V42" i="31"/>
  <c r="V85" i="31"/>
  <c r="V120" i="31"/>
  <c r="V106" i="31"/>
  <c r="S112" i="31"/>
  <c r="T112" i="31" s="1"/>
  <c r="S113" i="31"/>
  <c r="T113" i="31" s="1"/>
  <c r="V37" i="31"/>
  <c r="S57" i="31"/>
  <c r="T57" i="31" s="1"/>
  <c r="S111" i="31"/>
  <c r="T111" i="31" s="1"/>
  <c r="V87" i="33"/>
  <c r="S95" i="33"/>
  <c r="T95" i="33" s="1"/>
  <c r="X95" i="33" s="1"/>
  <c r="AI95" i="33" s="1"/>
  <c r="S100" i="33"/>
  <c r="T100" i="33" s="1"/>
  <c r="V100" i="33"/>
  <c r="S109" i="33"/>
  <c r="T109" i="33" s="1"/>
  <c r="V62" i="33"/>
  <c r="S111" i="33"/>
  <c r="T111" i="33" s="1"/>
  <c r="V66" i="33"/>
  <c r="S108" i="33"/>
  <c r="T108" i="33" s="1"/>
  <c r="V77" i="33"/>
  <c r="V110" i="31"/>
  <c r="V38" i="31"/>
  <c r="V80" i="31"/>
  <c r="S93" i="31"/>
  <c r="T93" i="31" s="1"/>
  <c r="X93" i="31" s="1"/>
  <c r="AI93" i="31" s="1"/>
  <c r="V39" i="31"/>
  <c r="V47" i="24"/>
  <c r="V99" i="24"/>
  <c r="V101" i="24"/>
  <c r="S77" i="24"/>
  <c r="T77" i="24" s="1"/>
  <c r="S97" i="24"/>
  <c r="T97" i="24" s="1"/>
  <c r="X97" i="24" s="1"/>
  <c r="AI97" i="24" s="1"/>
  <c r="V110" i="24"/>
  <c r="V98" i="24"/>
  <c r="V49" i="24"/>
  <c r="X49" i="24" s="1"/>
  <c r="AI49" i="24" s="1"/>
  <c r="S69" i="24"/>
  <c r="T69" i="24" s="1"/>
  <c r="V92" i="24"/>
  <c r="S88" i="24"/>
  <c r="T88" i="24" s="1"/>
  <c r="S46" i="24"/>
  <c r="T46" i="24" s="1"/>
  <c r="V44" i="24"/>
  <c r="V59" i="24"/>
  <c r="S36" i="24"/>
  <c r="T36" i="24" s="1"/>
  <c r="X36" i="24" s="1"/>
  <c r="AI36" i="24" s="1"/>
  <c r="S45" i="31"/>
  <c r="T45" i="31" s="1"/>
  <c r="S86" i="24"/>
  <c r="T86" i="24" s="1"/>
  <c r="V128" i="31"/>
  <c r="V47" i="31"/>
  <c r="V94" i="31"/>
  <c r="V89" i="31"/>
  <c r="S62" i="31"/>
  <c r="T62" i="31" s="1"/>
  <c r="V108" i="31"/>
  <c r="S40" i="31"/>
  <c r="T40" i="31" s="1"/>
  <c r="S120" i="31"/>
  <c r="T120" i="31" s="1"/>
  <c r="S103" i="31"/>
  <c r="T103" i="31" s="1"/>
  <c r="X103" i="31" s="1"/>
  <c r="AI103" i="31" s="1"/>
  <c r="S97" i="31"/>
  <c r="T97" i="31" s="1"/>
  <c r="V83" i="31"/>
  <c r="S119" i="31"/>
  <c r="T119" i="31" s="1"/>
  <c r="V127" i="31"/>
  <c r="V82" i="31"/>
  <c r="V62" i="31"/>
  <c r="V45" i="31"/>
  <c r="V104" i="33"/>
  <c r="V102" i="33"/>
  <c r="S41" i="33"/>
  <c r="T41" i="33" s="1"/>
  <c r="V42" i="33"/>
  <c r="S56" i="33"/>
  <c r="T56" i="33" s="1"/>
  <c r="S99" i="33"/>
  <c r="T99" i="33" s="1"/>
  <c r="S93" i="33"/>
  <c r="T93" i="33" s="1"/>
  <c r="X93" i="33" s="1"/>
  <c r="AI93" i="33" s="1"/>
  <c r="V70" i="33"/>
  <c r="S83" i="33"/>
  <c r="T83" i="33" s="1"/>
  <c r="S52" i="33"/>
  <c r="T52" i="33" s="1"/>
  <c r="V32" i="33"/>
  <c r="S48" i="31"/>
  <c r="T48" i="31" s="1"/>
  <c r="V29" i="31"/>
  <c r="V72" i="31"/>
  <c r="V64" i="31"/>
  <c r="V114" i="31"/>
  <c r="S113" i="24"/>
  <c r="T113" i="24" s="1"/>
  <c r="V57" i="24"/>
  <c r="X57" i="24" s="1"/>
  <c r="AI57" i="24" s="1"/>
  <c r="V112" i="24"/>
  <c r="V78" i="24"/>
  <c r="V62" i="24"/>
  <c r="S115" i="24"/>
  <c r="T115" i="24" s="1"/>
  <c r="V106" i="24"/>
  <c r="V91" i="24"/>
  <c r="V46" i="24"/>
  <c r="V26" i="24"/>
  <c r="S104" i="24"/>
  <c r="T104" i="24" s="1"/>
  <c r="S31" i="24"/>
  <c r="T31" i="24" s="1"/>
  <c r="X31" i="24" s="1"/>
  <c r="AI31" i="24" s="1"/>
  <c r="S33" i="24"/>
  <c r="T33" i="24" s="1"/>
  <c r="S59" i="24"/>
  <c r="T59" i="24" s="1"/>
  <c r="V60" i="31"/>
  <c r="V73" i="31"/>
  <c r="V53" i="33"/>
  <c r="S85" i="31"/>
  <c r="T85" i="31" s="1"/>
  <c r="V119" i="31"/>
  <c r="S70" i="31"/>
  <c r="T70" i="31" s="1"/>
  <c r="V131" i="31"/>
  <c r="V101" i="33"/>
  <c r="X101" i="33" s="1"/>
  <c r="AI101" i="33" s="1"/>
  <c r="S97" i="33"/>
  <c r="T97" i="33" s="1"/>
  <c r="V121" i="33"/>
  <c r="S69" i="33"/>
  <c r="T69" i="33" s="1"/>
  <c r="X69" i="33" s="1"/>
  <c r="AI69" i="33" s="1"/>
  <c r="V107" i="33"/>
  <c r="X39" i="33"/>
  <c r="AI39" i="33" s="1"/>
  <c r="S107" i="33"/>
  <c r="T107" i="33" s="1"/>
  <c r="V49" i="33"/>
  <c r="V52" i="31"/>
  <c r="V40" i="31"/>
  <c r="S116" i="31"/>
  <c r="T116" i="31" s="1"/>
  <c r="V86" i="24"/>
  <c r="V53" i="24"/>
  <c r="V124" i="24"/>
  <c r="V58" i="24"/>
  <c r="X58" i="24" s="1"/>
  <c r="AI58" i="24" s="1"/>
  <c r="V122" i="24"/>
  <c r="S27" i="24"/>
  <c r="T27" i="24" s="1"/>
  <c r="V102" i="24"/>
  <c r="S96" i="24"/>
  <c r="T96" i="24" s="1"/>
  <c r="S66" i="24"/>
  <c r="T66" i="24" s="1"/>
  <c r="S105" i="24"/>
  <c r="T105" i="24" s="1"/>
  <c r="S29" i="24"/>
  <c r="T29" i="24" s="1"/>
  <c r="V76" i="24"/>
  <c r="V71" i="24"/>
  <c r="S68" i="24"/>
  <c r="T68" i="24" s="1"/>
  <c r="V74" i="24"/>
  <c r="S23" i="10"/>
  <c r="S21" i="10"/>
  <c r="S20" i="10"/>
  <c r="S22" i="10"/>
  <c r="S18" i="10"/>
  <c r="S25" i="10" s="1"/>
  <c r="S26" i="10"/>
  <c r="S24" i="10"/>
  <c r="S19" i="10"/>
  <c r="X36" i="33"/>
  <c r="AI36" i="33" s="1"/>
  <c r="V67" i="31"/>
  <c r="S53" i="31"/>
  <c r="T53" i="31" s="1"/>
  <c r="X53" i="31" s="1"/>
  <c r="AI53" i="31" s="1"/>
  <c r="V86" i="31"/>
  <c r="V130" i="31"/>
  <c r="V122" i="31"/>
  <c r="V76" i="31"/>
  <c r="S118" i="31"/>
  <c r="T118" i="31" s="1"/>
  <c r="X118" i="31" s="1"/>
  <c r="AI118" i="31" s="1"/>
  <c r="V59" i="31"/>
  <c r="S74" i="31"/>
  <c r="T74" i="31" s="1"/>
  <c r="X74" i="31" s="1"/>
  <c r="AI74" i="31" s="1"/>
  <c r="S42" i="31"/>
  <c r="T42" i="31" s="1"/>
  <c r="S41" i="31"/>
  <c r="T41" i="31" s="1"/>
  <c r="X41" i="31" s="1"/>
  <c r="AI41" i="31" s="1"/>
  <c r="S94" i="31"/>
  <c r="T94" i="31" s="1"/>
  <c r="S59" i="31"/>
  <c r="T59" i="31" s="1"/>
  <c r="S134" i="31"/>
  <c r="T134" i="31" s="1"/>
  <c r="X134" i="31" s="1"/>
  <c r="AI134" i="31" s="1"/>
  <c r="V77" i="31"/>
  <c r="V78" i="33"/>
  <c r="S87" i="33"/>
  <c r="T87" i="33" s="1"/>
  <c r="S62" i="33"/>
  <c r="T62" i="33" s="1"/>
  <c r="S58" i="33"/>
  <c r="T58" i="33" s="1"/>
  <c r="S33" i="33"/>
  <c r="T33" i="33" s="1"/>
  <c r="S117" i="33"/>
  <c r="T117" i="33" s="1"/>
  <c r="S121" i="33"/>
  <c r="T121" i="33" s="1"/>
  <c r="V109" i="33"/>
  <c r="V122" i="33"/>
  <c r="S85" i="33"/>
  <c r="T85" i="33" s="1"/>
  <c r="S60" i="33"/>
  <c r="T60" i="33" s="1"/>
  <c r="S69" i="31"/>
  <c r="T69" i="31" s="1"/>
  <c r="V61" i="31"/>
  <c r="S27" i="31"/>
  <c r="T27" i="31" s="1"/>
  <c r="X27" i="31" s="1"/>
  <c r="AI27" i="31" s="1"/>
  <c r="S43" i="24"/>
  <c r="T43" i="24" s="1"/>
  <c r="X43" i="24" s="1"/>
  <c r="AI43" i="24" s="1"/>
  <c r="V113" i="24"/>
  <c r="S81" i="24"/>
  <c r="T81" i="24" s="1"/>
  <c r="S72" i="24"/>
  <c r="T72" i="24" s="1"/>
  <c r="V123" i="24"/>
  <c r="V40" i="24"/>
  <c r="V55" i="24"/>
  <c r="S112" i="24"/>
  <c r="T112" i="24" s="1"/>
  <c r="V27" i="24"/>
  <c r="S80" i="24"/>
  <c r="T80" i="24" s="1"/>
  <c r="V72" i="24"/>
  <c r="S95" i="24"/>
  <c r="T95" i="24" s="1"/>
  <c r="S40" i="24"/>
  <c r="T40" i="24" s="1"/>
  <c r="V75" i="24"/>
  <c r="S110" i="24"/>
  <c r="T110" i="24" s="1"/>
  <c r="S87" i="31"/>
  <c r="T87" i="31" s="1"/>
  <c r="X87" i="31" s="1"/>
  <c r="AI87" i="31" s="1"/>
  <c r="S126" i="31"/>
  <c r="T126" i="31" s="1"/>
  <c r="X126" i="31" s="1"/>
  <c r="AI126" i="31" s="1"/>
  <c r="S91" i="33"/>
  <c r="T91" i="33" s="1"/>
  <c r="S64" i="31"/>
  <c r="T64" i="31" s="1"/>
  <c r="V97" i="31"/>
  <c r="V107" i="31"/>
  <c r="S92" i="31"/>
  <c r="T92" i="31" s="1"/>
  <c r="X92" i="31" s="1"/>
  <c r="AI92" i="31" s="1"/>
  <c r="S131" i="31"/>
  <c r="T131" i="31" s="1"/>
  <c r="S102" i="31"/>
  <c r="T102" i="31" s="1"/>
  <c r="X102" i="31" s="1"/>
  <c r="AI102" i="31" s="1"/>
  <c r="S125" i="31"/>
  <c r="T125" i="31" s="1"/>
  <c r="V123" i="31"/>
  <c r="X26" i="31"/>
  <c r="AI26" i="31" s="1"/>
  <c r="V111" i="31"/>
  <c r="S115" i="31"/>
  <c r="T115" i="31" s="1"/>
  <c r="S128" i="31"/>
  <c r="T128" i="31" s="1"/>
  <c r="X128" i="31" s="1"/>
  <c r="AI128" i="31" s="1"/>
  <c r="S135" i="31"/>
  <c r="T135" i="31" s="1"/>
  <c r="V112" i="31"/>
  <c r="S117" i="31"/>
  <c r="T117" i="31" s="1"/>
  <c r="S67" i="31"/>
  <c r="T67" i="31" s="1"/>
  <c r="V133" i="31"/>
  <c r="V44" i="31"/>
  <c r="V68" i="31"/>
  <c r="V71" i="31"/>
  <c r="S133" i="31"/>
  <c r="T133" i="31" s="1"/>
  <c r="S123" i="31"/>
  <c r="T123" i="31" s="1"/>
  <c r="V66" i="31"/>
  <c r="V84" i="31"/>
  <c r="S106" i="31"/>
  <c r="T106" i="31" s="1"/>
  <c r="X106" i="31" s="1"/>
  <c r="AI106" i="31" s="1"/>
  <c r="S32" i="31"/>
  <c r="T32" i="31" s="1"/>
  <c r="X32" i="31" s="1"/>
  <c r="AI32" i="31" s="1"/>
  <c r="S84" i="31"/>
  <c r="T84" i="31" s="1"/>
  <c r="S36" i="31"/>
  <c r="T36" i="31" s="1"/>
  <c r="S107" i="31"/>
  <c r="T107" i="31" s="1"/>
  <c r="V43" i="31"/>
  <c r="S104" i="33"/>
  <c r="T104" i="33" s="1"/>
  <c r="X104" i="33" s="1"/>
  <c r="AI104" i="33" s="1"/>
  <c r="S35" i="33"/>
  <c r="T35" i="33" s="1"/>
  <c r="X35" i="33" s="1"/>
  <c r="AI35" i="33" s="1"/>
  <c r="S105" i="33"/>
  <c r="T105" i="33" s="1"/>
  <c r="X105" i="33" s="1"/>
  <c r="AI105" i="33" s="1"/>
  <c r="V82" i="33"/>
  <c r="S30" i="33"/>
  <c r="T30" i="33" s="1"/>
  <c r="S103" i="33"/>
  <c r="T103" i="33" s="1"/>
  <c r="X103" i="33" s="1"/>
  <c r="AI103" i="33" s="1"/>
  <c r="V73" i="33"/>
  <c r="S40" i="33"/>
  <c r="T40" i="33" s="1"/>
  <c r="X40" i="33" s="1"/>
  <c r="AI40" i="33" s="1"/>
  <c r="S51" i="33"/>
  <c r="T51" i="33" s="1"/>
  <c r="X51" i="33" s="1"/>
  <c r="AI51" i="33" s="1"/>
  <c r="V29" i="33"/>
  <c r="V91" i="33"/>
  <c r="V60" i="24"/>
  <c r="S39" i="31"/>
  <c r="T39" i="31" s="1"/>
  <c r="V98" i="31"/>
  <c r="V125" i="31"/>
  <c r="V31" i="31"/>
  <c r="V89" i="24"/>
  <c r="V88" i="24"/>
  <c r="S98" i="24"/>
  <c r="T98" i="24" s="1"/>
  <c r="X98" i="24" s="1"/>
  <c r="AI98" i="24" s="1"/>
  <c r="S51" i="24"/>
  <c r="T51" i="24" s="1"/>
  <c r="S45" i="24"/>
  <c r="T45" i="24" s="1"/>
  <c r="S103" i="24"/>
  <c r="T103" i="24" s="1"/>
  <c r="X103" i="24" s="1"/>
  <c r="AI103" i="24" s="1"/>
  <c r="V94" i="24"/>
  <c r="S34" i="24"/>
  <c r="T34" i="24" s="1"/>
  <c r="X34" i="24" s="1"/>
  <c r="AI34" i="24" s="1"/>
  <c r="V51" i="24"/>
  <c r="V121" i="24"/>
  <c r="V107" i="24"/>
  <c r="V65" i="24"/>
  <c r="S125" i="24"/>
  <c r="T125" i="24" s="1"/>
  <c r="S37" i="24"/>
  <c r="T37" i="24" s="1"/>
  <c r="X37" i="24" s="1"/>
  <c r="AI37" i="24" s="1"/>
  <c r="S85" i="24"/>
  <c r="T85" i="24" s="1"/>
  <c r="V109" i="24"/>
  <c r="T18" i="10"/>
  <c r="T25" i="10" s="1"/>
  <c r="T26" i="10"/>
  <c r="T23" i="10"/>
  <c r="T22" i="10"/>
  <c r="T24" i="10"/>
  <c r="T21" i="10"/>
  <c r="T19" i="10"/>
  <c r="T20" i="10"/>
  <c r="V121" i="31"/>
  <c r="S68" i="31"/>
  <c r="T68" i="31" s="1"/>
  <c r="V95" i="31"/>
  <c r="V50" i="31"/>
  <c r="V99" i="31"/>
  <c r="V129" i="31"/>
  <c r="S78" i="31"/>
  <c r="T78" i="31" s="1"/>
  <c r="X78" i="31" s="1"/>
  <c r="AI78" i="31" s="1"/>
  <c r="V35" i="31"/>
  <c r="V105" i="31"/>
  <c r="V63" i="31"/>
  <c r="S96" i="33"/>
  <c r="T96" i="33" s="1"/>
  <c r="X96" i="33" s="1"/>
  <c r="AI96" i="33" s="1"/>
  <c r="V108" i="33"/>
  <c r="X31" i="33"/>
  <c r="AI31" i="33" s="1"/>
  <c r="V115" i="33"/>
  <c r="V30" i="33"/>
  <c r="V34" i="33"/>
  <c r="V46" i="33"/>
  <c r="V92" i="33"/>
  <c r="S68" i="33"/>
  <c r="T68" i="33" s="1"/>
  <c r="X68" i="33" s="1"/>
  <c r="AI68" i="33" s="1"/>
  <c r="S76" i="24"/>
  <c r="T76" i="24" s="1"/>
  <c r="V69" i="31"/>
  <c r="S58" i="31"/>
  <c r="T58" i="31" s="1"/>
  <c r="X58" i="31" s="1"/>
  <c r="AI58" i="31" s="1"/>
  <c r="S88" i="31"/>
  <c r="T88" i="31" s="1"/>
  <c r="X88" i="31" s="1"/>
  <c r="AI88" i="31" s="1"/>
  <c r="S76" i="31"/>
  <c r="T76" i="31" s="1"/>
  <c r="S79" i="24"/>
  <c r="T79" i="24" s="1"/>
  <c r="S50" i="24"/>
  <c r="T50" i="24" s="1"/>
  <c r="S52" i="24"/>
  <c r="T52" i="24" s="1"/>
  <c r="X52" i="24" s="1"/>
  <c r="AI52" i="24" s="1"/>
  <c r="V125" i="24"/>
  <c r="V120" i="24"/>
  <c r="V83" i="24"/>
  <c r="S35" i="24"/>
  <c r="T35" i="24" s="1"/>
  <c r="X35" i="24" s="1"/>
  <c r="AI35" i="24" s="1"/>
  <c r="V64" i="24"/>
  <c r="S84" i="24"/>
  <c r="T84" i="24" s="1"/>
  <c r="V84" i="24"/>
  <c r="S121" i="24"/>
  <c r="T121" i="24" s="1"/>
  <c r="V39" i="24"/>
  <c r="V104" i="24"/>
  <c r="S42" i="24"/>
  <c r="T42" i="24" s="1"/>
  <c r="S119" i="24"/>
  <c r="T119" i="24" s="1"/>
  <c r="G13" i="10"/>
  <c r="F13" i="10"/>
  <c r="V13" i="10"/>
  <c r="H13" i="10"/>
  <c r="C13" i="10"/>
  <c r="E13" i="10"/>
  <c r="L13" i="10"/>
  <c r="N13" i="10"/>
  <c r="D13" i="10"/>
  <c r="J13" i="10"/>
  <c r="I13" i="10"/>
  <c r="M13" i="10"/>
  <c r="K13" i="10"/>
  <c r="O13" i="10"/>
  <c r="B13" i="10"/>
  <c r="L12" i="10"/>
  <c r="E12" i="10"/>
  <c r="N12" i="10"/>
  <c r="I12" i="10"/>
  <c r="M12" i="10"/>
  <c r="K12" i="10"/>
  <c r="O12" i="10"/>
  <c r="B12" i="10"/>
  <c r="J12" i="10"/>
  <c r="D12" i="10"/>
  <c r="G12" i="10"/>
  <c r="V12" i="10"/>
  <c r="F12" i="10"/>
  <c r="H12" i="10"/>
  <c r="C12" i="10"/>
  <c r="O11" i="10"/>
  <c r="F11" i="10"/>
  <c r="V11" i="10"/>
  <c r="Q11" i="10"/>
  <c r="L11" i="10"/>
  <c r="P11" i="10"/>
  <c r="C11" i="10"/>
  <c r="M11" i="10"/>
  <c r="I11" i="10"/>
  <c r="G11" i="10"/>
  <c r="H11" i="10"/>
  <c r="J11" i="10"/>
  <c r="N11" i="10"/>
  <c r="K11" i="10"/>
  <c r="B11" i="10"/>
  <c r="D11" i="10"/>
  <c r="E11" i="10"/>
  <c r="R11" i="10"/>
  <c r="Q9" i="10"/>
  <c r="G10" i="10"/>
  <c r="L9" i="10"/>
  <c r="V10" i="10"/>
  <c r="F10" i="10"/>
  <c r="D10" i="10"/>
  <c r="O9" i="10"/>
  <c r="J10" i="10"/>
  <c r="D8" i="10"/>
  <c r="G8" i="10"/>
  <c r="C9" i="10"/>
  <c r="E8" i="10"/>
  <c r="E10" i="10"/>
  <c r="H10" i="10"/>
  <c r="J8" i="10"/>
  <c r="M9" i="10"/>
  <c r="I9" i="10"/>
  <c r="C8" i="10"/>
  <c r="G9" i="10"/>
  <c r="C10" i="10"/>
  <c r="B8" i="10"/>
  <c r="I8" i="10"/>
  <c r="L10" i="10"/>
  <c r="P9" i="10"/>
  <c r="I10" i="10"/>
  <c r="D9" i="10"/>
  <c r="N8" i="10"/>
  <c r="H9" i="10"/>
  <c r="M8" i="10"/>
  <c r="O10" i="10"/>
  <c r="O8" i="10"/>
  <c r="M10" i="10"/>
  <c r="K10" i="10"/>
  <c r="L8" i="10"/>
  <c r="N10" i="10"/>
  <c r="H8" i="10"/>
  <c r="B10" i="10"/>
  <c r="E9" i="10"/>
  <c r="R9" i="10"/>
  <c r="K9" i="10"/>
  <c r="K8" i="10"/>
  <c r="B9" i="10"/>
  <c r="J9" i="10"/>
  <c r="N9" i="10"/>
  <c r="P8" i="10"/>
  <c r="F8" i="10"/>
  <c r="V8" i="10"/>
  <c r="V9" i="10"/>
  <c r="F9" i="10"/>
  <c r="X101" i="31" l="1"/>
  <c r="AI101" i="31" s="1"/>
  <c r="X45" i="24"/>
  <c r="AI45" i="24" s="1"/>
  <c r="X117" i="31"/>
  <c r="AI117" i="31" s="1"/>
  <c r="X68" i="24"/>
  <c r="AI68" i="24" s="1"/>
  <c r="X94" i="31"/>
  <c r="AI94" i="31" s="1"/>
  <c r="X48" i="33"/>
  <c r="AI48" i="33" s="1"/>
  <c r="X91" i="31"/>
  <c r="AI91" i="31" s="1"/>
  <c r="X28" i="24"/>
  <c r="AI28" i="24" s="1"/>
  <c r="X68" i="31"/>
  <c r="AI68" i="31" s="1"/>
  <c r="X44" i="33"/>
  <c r="AI44" i="33" s="1"/>
  <c r="X30" i="31"/>
  <c r="AI30" i="31" s="1"/>
  <c r="X48" i="24"/>
  <c r="AI48" i="24" s="1"/>
  <c r="X28" i="31"/>
  <c r="AI28" i="31" s="1"/>
  <c r="X90" i="33"/>
  <c r="AI90" i="33" s="1"/>
  <c r="X45" i="33"/>
  <c r="AI45" i="33" s="1"/>
  <c r="X87" i="24"/>
  <c r="AI87" i="24" s="1"/>
  <c r="X33" i="31"/>
  <c r="AI33" i="31" s="1"/>
  <c r="X59" i="33"/>
  <c r="AI59" i="33" s="1"/>
  <c r="X42" i="24"/>
  <c r="AI42" i="24" s="1"/>
  <c r="X37" i="31"/>
  <c r="AI37" i="31" s="1"/>
  <c r="X79" i="24"/>
  <c r="AI79" i="24" s="1"/>
  <c r="X81" i="24"/>
  <c r="AI81" i="24" s="1"/>
  <c r="X113" i="31"/>
  <c r="AI113" i="31" s="1"/>
  <c r="X30" i="24"/>
  <c r="AI30" i="24" s="1"/>
  <c r="X34" i="31"/>
  <c r="AI34" i="31" s="1"/>
  <c r="X116" i="31"/>
  <c r="AI116" i="31" s="1"/>
  <c r="X84" i="33"/>
  <c r="AI84" i="33" s="1"/>
  <c r="X119" i="24"/>
  <c r="AI119" i="24" s="1"/>
  <c r="X50" i="24"/>
  <c r="AI50" i="24" s="1"/>
  <c r="X117" i="24"/>
  <c r="AI117" i="24" s="1"/>
  <c r="X66" i="31"/>
  <c r="AI66" i="31" s="1"/>
  <c r="X121" i="33"/>
  <c r="AI121" i="33" s="1"/>
  <c r="X42" i="31"/>
  <c r="AI42" i="31" s="1"/>
  <c r="X57" i="31"/>
  <c r="AI57" i="31" s="1"/>
  <c r="X88" i="33"/>
  <c r="AI88" i="33" s="1"/>
  <c r="X96" i="24"/>
  <c r="AI96" i="24" s="1"/>
  <c r="X98" i="33"/>
  <c r="AI98" i="33" s="1"/>
  <c r="X118" i="24"/>
  <c r="AI118" i="24" s="1"/>
  <c r="X77" i="24"/>
  <c r="AI77" i="24" s="1"/>
  <c r="X94" i="33"/>
  <c r="AI94" i="33" s="1"/>
  <c r="X59" i="24"/>
  <c r="AI59" i="24" s="1"/>
  <c r="X99" i="33"/>
  <c r="AI99" i="33" s="1"/>
  <c r="X28" i="33"/>
  <c r="AI28" i="33" s="1"/>
  <c r="X45" i="31"/>
  <c r="AI45" i="31" s="1"/>
  <c r="X64" i="33"/>
  <c r="AI64" i="33" s="1"/>
  <c r="X36" i="31"/>
  <c r="AI36" i="31" s="1"/>
  <c r="X62" i="31"/>
  <c r="AI62" i="31" s="1"/>
  <c r="X79" i="31"/>
  <c r="AI79" i="31" s="1"/>
  <c r="X81" i="31"/>
  <c r="AI81" i="31" s="1"/>
  <c r="X123" i="31"/>
  <c r="AI123" i="31" s="1"/>
  <c r="X66" i="24"/>
  <c r="AI66" i="24" s="1"/>
  <c r="X121" i="24"/>
  <c r="AI121" i="24" s="1"/>
  <c r="X33" i="33"/>
  <c r="AI33" i="33" s="1"/>
  <c r="X64" i="31"/>
  <c r="AI64" i="31" s="1"/>
  <c r="X69" i="24"/>
  <c r="AI69" i="24" s="1"/>
  <c r="X80" i="33"/>
  <c r="AI80" i="33" s="1"/>
  <c r="X54" i="31"/>
  <c r="AI54" i="31" s="1"/>
  <c r="X38" i="24"/>
  <c r="AI38" i="24" s="1"/>
  <c r="X51" i="31"/>
  <c r="AI51" i="31" s="1"/>
  <c r="X72" i="24"/>
  <c r="AI72" i="24" s="1"/>
  <c r="X52" i="33"/>
  <c r="AI52" i="33" s="1"/>
  <c r="X39" i="31"/>
  <c r="AI39" i="31" s="1"/>
  <c r="X111" i="33"/>
  <c r="AI111" i="33" s="1"/>
  <c r="X114" i="33"/>
  <c r="AI114" i="33" s="1"/>
  <c r="X107" i="31"/>
  <c r="AI107" i="31" s="1"/>
  <c r="X76" i="31"/>
  <c r="AI76" i="31" s="1"/>
  <c r="X29" i="24"/>
  <c r="AI29" i="24" s="1"/>
  <c r="X48" i="31"/>
  <c r="AI48" i="31" s="1"/>
  <c r="X30" i="33"/>
  <c r="AI30" i="33" s="1"/>
  <c r="X43" i="33"/>
  <c r="AI43" i="33" s="1"/>
  <c r="X83" i="33"/>
  <c r="AI83" i="33" s="1"/>
  <c r="X41" i="24"/>
  <c r="AI41" i="24" s="1"/>
  <c r="X84" i="24"/>
  <c r="AI84" i="24" s="1"/>
  <c r="X76" i="24"/>
  <c r="AI76" i="24" s="1"/>
  <c r="X35" i="31"/>
  <c r="AI35" i="31" s="1"/>
  <c r="X58" i="33"/>
  <c r="AI58" i="33" s="1"/>
  <c r="X116" i="24"/>
  <c r="AI116" i="24" s="1"/>
  <c r="X49" i="31"/>
  <c r="AI49" i="31" s="1"/>
  <c r="X131" i="31"/>
  <c r="AI131" i="31" s="1"/>
  <c r="X33" i="24"/>
  <c r="AI33" i="24" s="1"/>
  <c r="X56" i="33"/>
  <c r="AI56" i="33" s="1"/>
  <c r="X54" i="24"/>
  <c r="AI54" i="24" s="1"/>
  <c r="X56" i="31"/>
  <c r="AI56" i="31" s="1"/>
  <c r="X38" i="33"/>
  <c r="AI38" i="33" s="1"/>
  <c r="X74" i="33"/>
  <c r="AI74" i="33" s="1"/>
  <c r="X110" i="33"/>
  <c r="AI110" i="33" s="1"/>
  <c r="X84" i="31"/>
  <c r="AI84" i="31" s="1"/>
  <c r="X60" i="33"/>
  <c r="AI60" i="33" s="1"/>
  <c r="X41" i="33"/>
  <c r="AI41" i="33" s="1"/>
  <c r="X40" i="31"/>
  <c r="AI40" i="31" s="1"/>
  <c r="X46" i="24"/>
  <c r="AI46" i="24" s="1"/>
  <c r="X100" i="33"/>
  <c r="AI100" i="33" s="1"/>
  <c r="X82" i="24"/>
  <c r="AI82" i="24" s="1"/>
  <c r="X112" i="24"/>
  <c r="AI112" i="24" s="1"/>
  <c r="X85" i="33"/>
  <c r="AI85" i="33" s="1"/>
  <c r="X59" i="31"/>
  <c r="AI59" i="31" s="1"/>
  <c r="X81" i="33"/>
  <c r="AI81" i="33" s="1"/>
  <c r="X114" i="24"/>
  <c r="AI114" i="24" s="1"/>
  <c r="X104" i="31"/>
  <c r="AI104" i="31" s="1"/>
  <c r="X56" i="24"/>
  <c r="AI56" i="24" s="1"/>
  <c r="V17" i="10"/>
  <c r="F17" i="10"/>
  <c r="P17" i="10"/>
  <c r="K17" i="10"/>
  <c r="R17" i="10"/>
  <c r="H17" i="10"/>
  <c r="L17" i="10"/>
  <c r="O17" i="10"/>
  <c r="M17" i="10"/>
  <c r="N17" i="10"/>
  <c r="I17" i="10"/>
  <c r="B17" i="10"/>
  <c r="C17" i="10"/>
  <c r="J17" i="10"/>
  <c r="E17" i="10"/>
  <c r="G17" i="10"/>
  <c r="D17" i="10"/>
  <c r="Q17" i="10"/>
  <c r="X104" i="24"/>
  <c r="AI104" i="24" s="1"/>
  <c r="X123" i="24"/>
  <c r="AI123" i="24" s="1"/>
  <c r="X46" i="33"/>
  <c r="AI46" i="33" s="1"/>
  <c r="X64" i="24"/>
  <c r="AI64" i="24" s="1"/>
  <c r="X75" i="31"/>
  <c r="AI75" i="31" s="1"/>
  <c r="X65" i="33"/>
  <c r="AI65" i="33" s="1"/>
  <c r="X99" i="31"/>
  <c r="AI99" i="31" s="1"/>
  <c r="X75" i="24"/>
  <c r="AI75" i="24" s="1"/>
  <c r="X119" i="33"/>
  <c r="AI119" i="33" s="1"/>
  <c r="X88" i="24"/>
  <c r="AI88" i="24" s="1"/>
  <c r="X50" i="31"/>
  <c r="AI50" i="31" s="1"/>
  <c r="X70" i="33"/>
  <c r="AI70" i="33" s="1"/>
  <c r="X34" i="33"/>
  <c r="AI34" i="33" s="1"/>
  <c r="X50" i="33"/>
  <c r="AI50" i="33" s="1"/>
  <c r="X132" i="31"/>
  <c r="AI132" i="31" s="1"/>
  <c r="X127" i="31"/>
  <c r="AI127" i="31" s="1"/>
  <c r="X125" i="24"/>
  <c r="AI125" i="24" s="1"/>
  <c r="X115" i="31"/>
  <c r="AI115" i="31" s="1"/>
  <c r="X91" i="33"/>
  <c r="AI91" i="33" s="1"/>
  <c r="X42" i="33"/>
  <c r="AI42" i="33" s="1"/>
  <c r="X95" i="31"/>
  <c r="AI95" i="31" s="1"/>
  <c r="X73" i="33"/>
  <c r="AI73" i="33" s="1"/>
  <c r="X55" i="31"/>
  <c r="AI55" i="31" s="1"/>
  <c r="X62" i="24"/>
  <c r="AI62" i="24" s="1"/>
  <c r="X78" i="24"/>
  <c r="AI78" i="24" s="1"/>
  <c r="X100" i="24"/>
  <c r="AI100" i="24" s="1"/>
  <c r="X86" i="33"/>
  <c r="AI86" i="33" s="1"/>
  <c r="X108" i="24"/>
  <c r="AI108" i="24" s="1"/>
  <c r="X100" i="31"/>
  <c r="AI100" i="31" s="1"/>
  <c r="X101" i="24"/>
  <c r="AI101" i="24" s="1"/>
  <c r="X135" i="31"/>
  <c r="AI135" i="31" s="1"/>
  <c r="X70" i="31"/>
  <c r="AI70" i="31" s="1"/>
  <c r="X111" i="31"/>
  <c r="AI111" i="31" s="1"/>
  <c r="X109" i="24"/>
  <c r="AI109" i="24" s="1"/>
  <c r="X29" i="31"/>
  <c r="AI29" i="31" s="1"/>
  <c r="X98" i="31"/>
  <c r="AI98" i="31" s="1"/>
  <c r="X92" i="24"/>
  <c r="AI92" i="24" s="1"/>
  <c r="X57" i="33"/>
  <c r="AI57" i="33" s="1"/>
  <c r="X114" i="31"/>
  <c r="AI114" i="31" s="1"/>
  <c r="X116" i="33"/>
  <c r="AI116" i="33" s="1"/>
  <c r="X44" i="24"/>
  <c r="AI44" i="24" s="1"/>
  <c r="X63" i="33"/>
  <c r="AI63" i="33" s="1"/>
  <c r="X85" i="24"/>
  <c r="AI85" i="24" s="1"/>
  <c r="X133" i="31"/>
  <c r="AI133" i="31" s="1"/>
  <c r="X117" i="33"/>
  <c r="AI117" i="33" s="1"/>
  <c r="X105" i="24"/>
  <c r="AI105" i="24" s="1"/>
  <c r="X102" i="33"/>
  <c r="AI102" i="33" s="1"/>
  <c r="X37" i="33"/>
  <c r="AI37" i="33" s="1"/>
  <c r="X112" i="33"/>
  <c r="AI112" i="33" s="1"/>
  <c r="X93" i="24"/>
  <c r="AI93" i="24" s="1"/>
  <c r="X120" i="24"/>
  <c r="AI120" i="24" s="1"/>
  <c r="X82" i="31"/>
  <c r="AI82" i="31" s="1"/>
  <c r="X89" i="24"/>
  <c r="AI89" i="24" s="1"/>
  <c r="X122" i="33"/>
  <c r="AI122" i="33" s="1"/>
  <c r="X47" i="24"/>
  <c r="AI47" i="24" s="1"/>
  <c r="X118" i="33"/>
  <c r="AI118" i="33" s="1"/>
  <c r="X110" i="24"/>
  <c r="AI110" i="24" s="1"/>
  <c r="X85" i="31"/>
  <c r="AI85" i="31" s="1"/>
  <c r="X115" i="24"/>
  <c r="AI115" i="24" s="1"/>
  <c r="X122" i="24"/>
  <c r="AI122" i="24" s="1"/>
  <c r="X38" i="31"/>
  <c r="AI38" i="31" s="1"/>
  <c r="X73" i="31"/>
  <c r="AI73" i="31" s="1"/>
  <c r="X31" i="31"/>
  <c r="AI31" i="31" s="1"/>
  <c r="X52" i="31"/>
  <c r="AI52" i="31" s="1"/>
  <c r="X66" i="33"/>
  <c r="AI66" i="33" s="1"/>
  <c r="X65" i="31"/>
  <c r="AI65" i="31" s="1"/>
  <c r="X49" i="33"/>
  <c r="AI49" i="33" s="1"/>
  <c r="X92" i="33"/>
  <c r="AI92" i="33" s="1"/>
  <c r="X125" i="31"/>
  <c r="AI125" i="31" s="1"/>
  <c r="X107" i="33"/>
  <c r="AI107" i="33" s="1"/>
  <c r="X108" i="33"/>
  <c r="AI108" i="33" s="1"/>
  <c r="X63" i="31"/>
  <c r="AI63" i="31" s="1"/>
  <c r="X90" i="24"/>
  <c r="AI90" i="24" s="1"/>
  <c r="X78" i="33"/>
  <c r="AI78" i="33" s="1"/>
  <c r="X89" i="31"/>
  <c r="AI89" i="31" s="1"/>
  <c r="X72" i="31"/>
  <c r="AI72" i="31" s="1"/>
  <c r="X55" i="24"/>
  <c r="AI55" i="24" s="1"/>
  <c r="X122" i="31"/>
  <c r="AI122" i="31" s="1"/>
  <c r="X79" i="33"/>
  <c r="AI79" i="33" s="1"/>
  <c r="X77" i="31"/>
  <c r="AI77" i="31" s="1"/>
  <c r="X40" i="24"/>
  <c r="AI40" i="24" s="1"/>
  <c r="X62" i="33"/>
  <c r="AI62" i="33" s="1"/>
  <c r="X119" i="31"/>
  <c r="AI119" i="31" s="1"/>
  <c r="X86" i="24"/>
  <c r="AI86" i="24" s="1"/>
  <c r="X112" i="31"/>
  <c r="AI112" i="31" s="1"/>
  <c r="X106" i="24"/>
  <c r="AI106" i="24" s="1"/>
  <c r="X120" i="33"/>
  <c r="AI120" i="33" s="1"/>
  <c r="X113" i="33"/>
  <c r="AI113" i="33" s="1"/>
  <c r="X121" i="31"/>
  <c r="AI121" i="31" s="1"/>
  <c r="X86" i="31"/>
  <c r="AI86" i="31" s="1"/>
  <c r="X80" i="31"/>
  <c r="AI80" i="31" s="1"/>
  <c r="X60" i="24"/>
  <c r="AI60" i="24" s="1"/>
  <c r="X90" i="31"/>
  <c r="AI90" i="31" s="1"/>
  <c r="X83" i="24"/>
  <c r="AI83" i="24" s="1"/>
  <c r="X76" i="33"/>
  <c r="AI76" i="33" s="1"/>
  <c r="X110" i="31"/>
  <c r="AI110" i="31" s="1"/>
  <c r="X95" i="24"/>
  <c r="AI95" i="24" s="1"/>
  <c r="X87" i="33"/>
  <c r="AI87" i="33" s="1"/>
  <c r="X27" i="24"/>
  <c r="AI27" i="24" s="1"/>
  <c r="X83" i="31"/>
  <c r="AI83" i="31" s="1"/>
  <c r="X72" i="33"/>
  <c r="AI72" i="33" s="1"/>
  <c r="X47" i="31"/>
  <c r="AI47" i="31" s="1"/>
  <c r="X71" i="31"/>
  <c r="AI71" i="31" s="1"/>
  <c r="X39" i="24"/>
  <c r="AI39" i="24" s="1"/>
  <c r="X129" i="31"/>
  <c r="AI129" i="31" s="1"/>
  <c r="X96" i="31"/>
  <c r="AI96" i="31" s="1"/>
  <c r="X94" i="24"/>
  <c r="AI94" i="24" s="1"/>
  <c r="X61" i="31"/>
  <c r="AI61" i="31" s="1"/>
  <c r="X67" i="31"/>
  <c r="AI67" i="31" s="1"/>
  <c r="X97" i="31"/>
  <c r="AI97" i="31" s="1"/>
  <c r="X70" i="24"/>
  <c r="AI70" i="24" s="1"/>
  <c r="X29" i="33"/>
  <c r="AI29" i="33" s="1"/>
  <c r="X61" i="33"/>
  <c r="AI61" i="33" s="1"/>
  <c r="X71" i="33"/>
  <c r="AI71" i="33" s="1"/>
  <c r="X60" i="31"/>
  <c r="AI60" i="31" s="1"/>
  <c r="X111" i="24"/>
  <c r="AI111" i="24" s="1"/>
  <c r="X53" i="33"/>
  <c r="AI53" i="33" s="1"/>
  <c r="X124" i="24"/>
  <c r="AI124" i="24" s="1"/>
  <c r="X67" i="24"/>
  <c r="AI67" i="24" s="1"/>
  <c r="X74" i="24"/>
  <c r="AI74" i="24" s="1"/>
  <c r="X73" i="24"/>
  <c r="AI73" i="24" s="1"/>
  <c r="X80" i="24"/>
  <c r="AI80" i="24" s="1"/>
  <c r="X69" i="31"/>
  <c r="AI69" i="31" s="1"/>
  <c r="X113" i="24"/>
  <c r="AI113" i="24" s="1"/>
  <c r="X109" i="33"/>
  <c r="AI109" i="33" s="1"/>
  <c r="X26" i="24"/>
  <c r="AI26" i="24" s="1"/>
  <c r="X32" i="33"/>
  <c r="AI32" i="33" s="1"/>
  <c r="X75" i="33"/>
  <c r="AI75" i="33" s="1"/>
  <c r="X53" i="24"/>
  <c r="AI53" i="24" s="1"/>
  <c r="X109" i="31"/>
  <c r="AI109" i="31" s="1"/>
  <c r="X102" i="24"/>
  <c r="AI102" i="24" s="1"/>
  <c r="X65" i="24"/>
  <c r="AI65" i="24" s="1"/>
  <c r="X44" i="31"/>
  <c r="AI44" i="31" s="1"/>
  <c r="X99" i="24"/>
  <c r="AI99" i="24" s="1"/>
  <c r="X108" i="31"/>
  <c r="AI108" i="31" s="1"/>
  <c r="X47" i="33"/>
  <c r="AI47" i="33" s="1"/>
  <c r="X51" i="24"/>
  <c r="AI51" i="24" s="1"/>
  <c r="X97" i="33"/>
  <c r="AI97" i="33" s="1"/>
  <c r="X120" i="31"/>
  <c r="AI120" i="31" s="1"/>
  <c r="X107" i="24"/>
  <c r="AI107" i="24" s="1"/>
  <c r="X71" i="24"/>
  <c r="AI71" i="24" s="1"/>
  <c r="X115" i="33"/>
  <c r="AI115" i="33" s="1"/>
  <c r="X67" i="33"/>
  <c r="AI67" i="33" s="1"/>
  <c r="X91" i="24"/>
  <c r="AI91" i="24" s="1"/>
  <c r="X77" i="33"/>
  <c r="AI77" i="33" s="1"/>
  <c r="X105" i="31"/>
  <c r="AI105" i="31" s="1"/>
  <c r="X61" i="24"/>
  <c r="AI61" i="24" s="1"/>
  <c r="X43" i="31"/>
  <c r="AI43" i="31" s="1"/>
  <c r="X63" i="24"/>
  <c r="AI63" i="24" s="1"/>
  <c r="X54" i="33"/>
  <c r="AI54" i="33" s="1"/>
  <c r="X82" i="33"/>
  <c r="AI82" i="33" s="1"/>
  <c r="X130" i="31"/>
  <c r="AI130" i="31" s="1"/>
  <c r="H23" i="10" l="1"/>
  <c r="B21" i="10"/>
  <c r="B18" i="10"/>
  <c r="B20" i="10"/>
  <c r="B19" i="10"/>
  <c r="B23" i="10"/>
  <c r="I19" i="10"/>
  <c r="I18" i="10"/>
  <c r="I20" i="10"/>
  <c r="I21" i="10"/>
  <c r="I23" i="10"/>
  <c r="N23" i="10"/>
  <c r="N19" i="10"/>
  <c r="N18" i="10"/>
  <c r="N21" i="10"/>
  <c r="N20" i="10"/>
  <c r="M20" i="10"/>
  <c r="M19" i="10"/>
  <c r="M21" i="10"/>
  <c r="M23" i="10"/>
  <c r="M18" i="10"/>
  <c r="V21" i="10"/>
  <c r="V20" i="10"/>
  <c r="V19" i="10"/>
  <c r="V23" i="10"/>
  <c r="V18" i="10"/>
  <c r="O20" i="10"/>
  <c r="O18" i="10"/>
  <c r="O23" i="10"/>
  <c r="O19" i="10"/>
  <c r="O21" i="10"/>
  <c r="C19" i="10"/>
  <c r="C18" i="10"/>
  <c r="C20" i="10"/>
  <c r="C21" i="10"/>
  <c r="C23" i="10"/>
  <c r="L23" i="10"/>
  <c r="L18" i="10"/>
  <c r="L19" i="10"/>
  <c r="L20" i="10"/>
  <c r="L21" i="10"/>
  <c r="Q22" i="10"/>
  <c r="Q19" i="10"/>
  <c r="Q24" i="10"/>
  <c r="Q20" i="10"/>
  <c r="Q21" i="10"/>
  <c r="Q23" i="10"/>
  <c r="Q18" i="10"/>
  <c r="Q25" i="10" s="1"/>
  <c r="Q26" i="10" s="1"/>
  <c r="H20" i="10"/>
  <c r="H21" i="10"/>
  <c r="H19" i="10"/>
  <c r="H18" i="10"/>
  <c r="D19" i="10"/>
  <c r="D18" i="10"/>
  <c r="D21" i="10"/>
  <c r="D20" i="10"/>
  <c r="D23" i="10"/>
  <c r="R23" i="10"/>
  <c r="R24" i="10"/>
  <c r="R22" i="10"/>
  <c r="R19" i="10"/>
  <c r="R20" i="10"/>
  <c r="R21" i="10"/>
  <c r="R18" i="10"/>
  <c r="R25" i="10" s="1"/>
  <c r="R26" i="10" s="1"/>
  <c r="G21" i="10"/>
  <c r="G20" i="10"/>
  <c r="G18" i="10"/>
  <c r="G23" i="10"/>
  <c r="G19" i="10"/>
  <c r="K19" i="10"/>
  <c r="K23" i="10"/>
  <c r="K20" i="10"/>
  <c r="K18" i="10"/>
  <c r="K21" i="10"/>
  <c r="E23" i="10"/>
  <c r="E19" i="10"/>
  <c r="E20" i="10"/>
  <c r="E21" i="10"/>
  <c r="E18" i="10"/>
  <c r="P23" i="10"/>
  <c r="P21" i="10"/>
  <c r="P20" i="10"/>
  <c r="P18" i="10"/>
  <c r="P25" i="10" s="1"/>
  <c r="P26" i="10" s="1"/>
  <c r="P24" i="10"/>
  <c r="P22" i="10"/>
  <c r="P19" i="10"/>
  <c r="J21" i="10"/>
  <c r="J19" i="10"/>
  <c r="J23" i="10"/>
  <c r="J20" i="10"/>
  <c r="J18" i="10"/>
  <c r="F19" i="10"/>
  <c r="F23" i="10"/>
  <c r="F18" i="10"/>
  <c r="F20" i="10"/>
  <c r="F21" i="10"/>
  <c r="B22" i="10" l="1"/>
  <c r="B24" i="10" s="1"/>
  <c r="B25" i="10" s="1"/>
  <c r="B26" i="10" s="1"/>
  <c r="N22" i="10"/>
  <c r="N24" i="10" s="1"/>
  <c r="N25" i="10" s="1"/>
  <c r="N26" i="10" s="1"/>
  <c r="F22" i="10"/>
  <c r="F24" i="10" s="1"/>
  <c r="F25" i="10" s="1"/>
  <c r="F26" i="10" s="1"/>
  <c r="K22" i="10"/>
  <c r="K24" i="10" s="1"/>
  <c r="K25" i="10" s="1"/>
  <c r="K26" i="10" s="1"/>
  <c r="J22" i="10"/>
  <c r="J24" i="10" s="1"/>
  <c r="J25" i="10" s="1"/>
  <c r="J26" i="10" s="1"/>
  <c r="E22" i="10"/>
  <c r="E24" i="10" s="1"/>
  <c r="E25" i="10" s="1"/>
  <c r="E26" i="10" s="1"/>
  <c r="C22" i="10"/>
  <c r="C24" i="10" s="1"/>
  <c r="C25" i="10" s="1"/>
  <c r="C26" i="10" s="1"/>
  <c r="D22" i="10"/>
  <c r="D24" i="10" s="1"/>
  <c r="D25" i="10" s="1"/>
  <c r="D26" i="10" s="1"/>
  <c r="I22" i="10"/>
  <c r="I24" i="10" s="1"/>
  <c r="I25" i="10" s="1"/>
  <c r="I26" i="10" s="1"/>
  <c r="G22" i="10"/>
  <c r="G24" i="10" s="1"/>
  <c r="G25" i="10" s="1"/>
  <c r="G26" i="10" s="1"/>
  <c r="V22" i="10"/>
  <c r="V24" i="10" s="1"/>
  <c r="V25" i="10" s="1"/>
  <c r="V26" i="10" s="1"/>
  <c r="L22" i="10"/>
  <c r="L24" i="10" s="1"/>
  <c r="L25" i="10" s="1"/>
  <c r="L26" i="10" s="1"/>
  <c r="O22" i="10"/>
  <c r="O24" i="10" s="1"/>
  <c r="O25" i="10" s="1"/>
  <c r="O26" i="10" s="1"/>
  <c r="M22" i="10"/>
  <c r="M24" i="10" s="1"/>
  <c r="M25" i="10" s="1"/>
  <c r="M26" i="10" s="1"/>
  <c r="H22" i="10"/>
  <c r="H24" i="10" s="1"/>
  <c r="H25" i="10" s="1"/>
  <c r="H26" i="10" s="1"/>
</calcChain>
</file>

<file path=xl/sharedStrings.xml><?xml version="1.0" encoding="utf-8"?>
<sst xmlns="http://schemas.openxmlformats.org/spreadsheetml/2006/main" count="169" uniqueCount="67">
  <si>
    <t xml:space="preserve">Отметка, м </t>
  </si>
  <si>
    <t>Глубина, м</t>
  </si>
  <si>
    <t>верх</t>
  </si>
  <si>
    <t>низ</t>
  </si>
  <si>
    <t>ИГЭ-1</t>
  </si>
  <si>
    <t>ИГЭ-2</t>
  </si>
  <si>
    <t>ИГЭ-5</t>
  </si>
  <si>
    <t>№ п/п</t>
  </si>
  <si>
    <t>Слой</t>
  </si>
  <si>
    <t>Кровля</t>
  </si>
  <si>
    <t>Расчет частного значения предельного сопротивления забивной сваи в точке зондирования зондом II или III типа в соответствии с п.7.3.10 СП 24.13330.2011</t>
  </si>
  <si>
    <r>
      <t>q</t>
    </r>
    <r>
      <rPr>
        <i/>
        <vertAlign val="subscript"/>
        <sz val="10"/>
        <rFont val="Arial"/>
        <family val="2"/>
        <charset val="204"/>
      </rPr>
      <t>s</t>
    </r>
    <r>
      <rPr>
        <sz val="10"/>
        <rFont val="Arial"/>
        <family val="2"/>
        <charset val="204"/>
      </rPr>
      <t>, МПа</t>
    </r>
  </si>
  <si>
    <r>
      <t>f</t>
    </r>
    <r>
      <rPr>
        <i/>
        <vertAlign val="subscript"/>
        <sz val="10"/>
        <rFont val="Arial"/>
        <family val="2"/>
        <charset val="204"/>
      </rPr>
      <t>s</t>
    </r>
    <r>
      <rPr>
        <sz val="10"/>
        <rFont val="Arial"/>
        <family val="2"/>
        <charset val="204"/>
      </rPr>
      <t>, кПа</t>
    </r>
  </si>
  <si>
    <r>
      <t>q̅</t>
    </r>
    <r>
      <rPr>
        <i/>
        <vertAlign val="subscript"/>
        <sz val="10"/>
        <rFont val="Arial"/>
        <family val="2"/>
        <charset val="204"/>
      </rPr>
      <t>s</t>
    </r>
    <r>
      <rPr>
        <sz val="10"/>
        <rFont val="Arial"/>
        <family val="2"/>
        <charset val="204"/>
      </rPr>
      <t>, кПа</t>
    </r>
  </si>
  <si>
    <r>
      <t>β</t>
    </r>
    <r>
      <rPr>
        <i/>
        <vertAlign val="subscript"/>
        <sz val="10"/>
        <rFont val="Arial"/>
        <family val="2"/>
        <charset val="204"/>
      </rPr>
      <t>1</t>
    </r>
  </si>
  <si>
    <r>
      <t>β</t>
    </r>
    <r>
      <rPr>
        <i/>
        <vertAlign val="subscript"/>
        <sz val="10"/>
        <rFont val="Arial"/>
        <family val="2"/>
        <charset val="204"/>
      </rPr>
      <t>i</t>
    </r>
  </si>
  <si>
    <r>
      <t>β</t>
    </r>
    <r>
      <rPr>
        <i/>
        <vertAlign val="subscript"/>
        <sz val="10"/>
        <rFont val="Arial"/>
        <family val="2"/>
        <charset val="204"/>
      </rPr>
      <t>i</t>
    </r>
    <r>
      <rPr>
        <i/>
        <sz val="10"/>
        <rFont val="Arial"/>
        <family val="2"/>
        <charset val="204"/>
      </rPr>
      <t>·f</t>
    </r>
    <r>
      <rPr>
        <i/>
        <vertAlign val="subscript"/>
        <sz val="10"/>
        <rFont val="Arial"/>
        <family val="2"/>
        <charset val="204"/>
      </rPr>
      <t>si</t>
    </r>
    <r>
      <rPr>
        <i/>
        <sz val="10"/>
        <rFont val="Arial"/>
        <family val="2"/>
        <charset val="204"/>
      </rPr>
      <t>·h</t>
    </r>
    <r>
      <rPr>
        <i/>
        <vertAlign val="subscript"/>
        <sz val="10"/>
        <rFont val="Arial"/>
        <family val="2"/>
        <charset val="204"/>
      </rPr>
      <t>i</t>
    </r>
    <r>
      <rPr>
        <sz val="10"/>
        <rFont val="Arial"/>
        <family val="2"/>
        <charset val="204"/>
      </rPr>
      <t>, кН/м</t>
    </r>
  </si>
  <si>
    <r>
      <t>L</t>
    </r>
    <r>
      <rPr>
        <sz val="10"/>
        <rFont val="Arial"/>
        <family val="2"/>
        <charset val="204"/>
      </rPr>
      <t>, м</t>
    </r>
  </si>
  <si>
    <r>
      <t>β</t>
    </r>
    <r>
      <rPr>
        <i/>
        <vertAlign val="subscript"/>
        <sz val="10"/>
        <rFont val="Arial"/>
        <family val="2"/>
        <charset val="204"/>
      </rPr>
      <t>1</t>
    </r>
    <r>
      <rPr>
        <i/>
        <sz val="10"/>
        <rFont val="Arial"/>
        <family val="2"/>
        <charset val="204"/>
      </rPr>
      <t>·q</t>
    </r>
    <r>
      <rPr>
        <i/>
        <vertAlign val="subscript"/>
        <sz val="10"/>
        <rFont val="Arial"/>
        <family val="2"/>
        <charset val="204"/>
      </rPr>
      <t>s</t>
    </r>
    <r>
      <rPr>
        <i/>
        <sz val="10"/>
        <rFont val="Arial"/>
        <family val="2"/>
        <charset val="204"/>
      </rPr>
      <t>·A</t>
    </r>
    <r>
      <rPr>
        <sz val="10"/>
        <rFont val="Arial"/>
        <family val="2"/>
        <charset val="204"/>
      </rPr>
      <t>, кН</t>
    </r>
  </si>
  <si>
    <r>
      <t>f·h·u</t>
    </r>
    <r>
      <rPr>
        <sz val="10"/>
        <rFont val="Arial"/>
        <family val="2"/>
        <charset val="204"/>
      </rPr>
      <t>, кН</t>
    </r>
  </si>
  <si>
    <r>
      <t>F</t>
    </r>
    <r>
      <rPr>
        <i/>
        <vertAlign val="subscript"/>
        <sz val="10"/>
        <rFont val="Arial"/>
        <family val="2"/>
        <charset val="204"/>
      </rPr>
      <t>u</t>
    </r>
    <r>
      <rPr>
        <sz val="10"/>
        <rFont val="Arial"/>
        <family val="2"/>
        <charset val="204"/>
      </rPr>
      <t>, кН</t>
    </r>
  </si>
  <si>
    <r>
      <t>[N]</t>
    </r>
    <r>
      <rPr>
        <sz val="10"/>
        <rFont val="Arial"/>
        <family val="2"/>
        <charset val="204"/>
      </rPr>
      <t>, т</t>
    </r>
  </si>
  <si>
    <t>слой</t>
  </si>
  <si>
    <t>осредняемые ячейки</t>
  </si>
  <si>
    <t>α</t>
  </si>
  <si>
    <t>Глубина</t>
  </si>
  <si>
    <t>Отметка</t>
  </si>
  <si>
    <t>#</t>
  </si>
  <si>
    <t>n</t>
  </si>
  <si>
    <t>Xmin</t>
  </si>
  <si>
    <t>Xmax</t>
  </si>
  <si>
    <t>S</t>
  </si>
  <si>
    <t>V</t>
  </si>
  <si>
    <t>Fd</t>
  </si>
  <si>
    <t>[N]</t>
  </si>
  <si>
    <t>K=n-1</t>
  </si>
  <si>
    <t>tα при доверит. вероятности</t>
  </si>
  <si>
    <t>в первой строке заголовка- односторонняя вероятность. во второй- двусторонняя.</t>
  </si>
  <si>
    <r>
      <t xml:space="preserve">Сторона сечения сваи </t>
    </r>
    <r>
      <rPr>
        <i/>
        <sz val="10"/>
        <rFont val="Arial"/>
        <family val="2"/>
        <charset val="204"/>
      </rPr>
      <t>d</t>
    </r>
    <r>
      <rPr>
        <sz val="10"/>
        <rFont val="Arial"/>
        <family val="2"/>
        <charset val="204"/>
      </rPr>
      <t>, м</t>
    </r>
  </si>
  <si>
    <r>
      <t xml:space="preserve">Периметр сечения </t>
    </r>
    <r>
      <rPr>
        <i/>
        <sz val="10"/>
        <rFont val="Arial"/>
        <family val="2"/>
        <charset val="204"/>
      </rPr>
      <t>u</t>
    </r>
    <r>
      <rPr>
        <sz val="10"/>
        <rFont val="Arial"/>
        <family val="2"/>
        <charset val="204"/>
      </rPr>
      <t>, м</t>
    </r>
  </si>
  <si>
    <r>
      <t xml:space="preserve">Площадь сечения </t>
    </r>
    <r>
      <rPr>
        <i/>
        <sz val="10"/>
        <rFont val="Arial"/>
        <family val="2"/>
        <charset val="204"/>
      </rPr>
      <t>А</t>
    </r>
    <r>
      <rPr>
        <sz val="10"/>
        <rFont val="Arial"/>
        <family val="2"/>
        <charset val="204"/>
      </rPr>
      <t>, м</t>
    </r>
    <r>
      <rPr>
        <vertAlign val="superscript"/>
        <sz val="10"/>
        <rFont val="Arial"/>
        <family val="2"/>
        <charset val="204"/>
      </rPr>
      <t>2</t>
    </r>
  </si>
  <si>
    <r>
      <t xml:space="preserve">Абс.отметка ростверка </t>
    </r>
    <r>
      <rPr>
        <i/>
        <sz val="10"/>
        <rFont val="Arial"/>
        <family val="2"/>
        <charset val="204"/>
      </rPr>
      <t>FL</t>
    </r>
    <r>
      <rPr>
        <sz val="10"/>
        <rFont val="Arial"/>
        <family val="2"/>
        <charset val="204"/>
      </rPr>
      <t>, м</t>
    </r>
  </si>
  <si>
    <t>Тип грунта</t>
  </si>
  <si>
    <t>пыл.-глинист.</t>
  </si>
  <si>
    <r>
      <t>γ</t>
    </r>
    <r>
      <rPr>
        <vertAlign val="subscript"/>
        <sz val="10"/>
        <rFont val="Arial"/>
        <family val="2"/>
        <charset val="204"/>
      </rPr>
      <t>k</t>
    </r>
  </si>
  <si>
    <t>Xn=X̅</t>
  </si>
  <si>
    <r>
      <t>t</t>
    </r>
    <r>
      <rPr>
        <vertAlign val="subscript"/>
        <sz val="10"/>
        <rFont val="Arial"/>
        <family val="2"/>
        <charset val="204"/>
      </rPr>
      <t>α</t>
    </r>
  </si>
  <si>
    <r>
      <t>γ</t>
    </r>
    <r>
      <rPr>
        <vertAlign val="subscript"/>
        <sz val="10"/>
        <rFont val="Arial"/>
        <family val="2"/>
        <charset val="204"/>
      </rPr>
      <t>g</t>
    </r>
  </si>
  <si>
    <t>FL</t>
  </si>
  <si>
    <t>Сечение</t>
  </si>
  <si>
    <t>ИГЭ-3</t>
  </si>
  <si>
    <t>Просадочность</t>
  </si>
  <si>
    <t>тип II</t>
  </si>
  <si>
    <t>учет</t>
  </si>
  <si>
    <t>Учет отрицательного трения</t>
  </si>
  <si>
    <t>Коэф. условий работы γс</t>
  </si>
  <si>
    <t>Ожидаемая просадка Ssl, см</t>
  </si>
  <si>
    <t>Допустимая осадка Su, см</t>
  </si>
  <si>
    <r>
      <t>γ</t>
    </r>
    <r>
      <rPr>
        <i/>
        <vertAlign val="subscript"/>
        <sz val="10"/>
        <color indexed="8"/>
        <rFont val="Arial"/>
        <family val="2"/>
        <charset val="204"/>
      </rPr>
      <t>с</t>
    </r>
    <r>
      <rPr>
        <i/>
        <sz val="10"/>
        <color indexed="8"/>
        <rFont val="Arial"/>
        <family val="2"/>
        <charset val="204"/>
      </rPr>
      <t>·P</t>
    </r>
    <r>
      <rPr>
        <i/>
        <vertAlign val="subscript"/>
        <sz val="10"/>
        <color indexed="8"/>
        <rFont val="Arial"/>
        <family val="2"/>
        <charset val="204"/>
      </rPr>
      <t>n</t>
    </r>
    <r>
      <rPr>
        <sz val="10"/>
        <color indexed="8"/>
        <rFont val="Arial"/>
        <family val="2"/>
        <charset val="204"/>
      </rPr>
      <t>, кН</t>
    </r>
  </si>
  <si>
    <t>Сз-06927</t>
  </si>
  <si>
    <t>ИГЭ-4</t>
  </si>
  <si>
    <t>Сз-06928</t>
  </si>
  <si>
    <t>Сз-06930</t>
  </si>
  <si>
    <t>т/м2</t>
  </si>
  <si>
    <t>разная</t>
  </si>
  <si>
    <t>на 1м/2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</si>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</sst>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4" formatCode="0.000"/>
    <numFmt numFmtId="175" formatCode="0.0"/>
  </numFmts>
  <fonts count="18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vertAlign val="superscript"/>
      <sz val="10"/>
      <name val="Arial"/>
      <family val="2"/>
      <charset val="204"/>
    </font>
    <font>
      <b/>
      <sz val="15"/>
      <name val="Arial"/>
      <family val="2"/>
      <charset val="204"/>
    </font>
    <font>
      <i/>
      <sz val="10"/>
      <name val="Arial"/>
      <family val="2"/>
      <charset val="204"/>
    </font>
    <font>
      <i/>
      <vertAlign val="subscript"/>
      <sz val="10"/>
      <name val="Arial"/>
      <family val="2"/>
      <charset val="204"/>
    </font>
    <font>
      <sz val="8"/>
      <name val="Arial Cyr"/>
      <charset val="204"/>
    </font>
    <font>
      <sz val="9"/>
      <color indexed="63"/>
      <name val="Arial"/>
      <family val="2"/>
      <charset val="204"/>
    </font>
    <font>
      <b/>
      <sz val="11"/>
      <name val="Arial"/>
      <family val="2"/>
      <charset val="204"/>
    </font>
    <font>
      <vertAlign val="subscript"/>
      <sz val="10"/>
      <name val="Arial"/>
      <family val="2"/>
      <charset val="204"/>
    </font>
    <font>
      <i/>
      <sz val="10"/>
      <color indexed="8"/>
      <name val="Arial"/>
      <family val="2"/>
      <charset val="204"/>
    </font>
    <font>
      <i/>
      <vertAlign val="subscript"/>
      <sz val="10"/>
      <color indexed="8"/>
      <name val="Arial"/>
      <family val="2"/>
      <charset val="204"/>
    </font>
    <font>
      <sz val="11"/>
      <color rgb="FF000000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2">
    <xf numFmtId="0" fontId="0" fillId="0" borderId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" fillId="0" borderId="0"/>
    <xf numFmtId="0" fontId="3" fillId="4" borderId="0" applyNumberFormat="0" applyBorder="0" applyAlignment="0" applyProtection="0"/>
    <xf numFmtId="0" fontId="4" fillId="6" borderId="0" applyNumberFormat="0" applyBorder="0" applyAlignment="0" applyProtection="0"/>
  </cellStyleXfs>
  <cellXfs count="70">
    <xf numFmtId="0" fontId="0" fillId="0" borderId="0" xfId="0"/>
    <xf numFmtId="0" fontId="5" fillId="0" borderId="1" xfId="20" applyFont="1" applyFill="1" applyBorder="1" applyAlignment="1">
      <alignment horizontal="center" vertical="center" wrapText="1"/>
    </xf>
    <xf numFmtId="2" fontId="5" fillId="0" borderId="1" xfId="20" applyNumberFormat="1" applyFont="1" applyFill="1" applyBorder="1" applyAlignment="1">
      <alignment horizontal="center" vertical="center" wrapText="1"/>
    </xf>
    <xf numFmtId="0" fontId="5" fillId="0" borderId="1" xfId="20" applyFont="1" applyFill="1" applyBorder="1" applyAlignment="1">
      <alignment horizontal="center" vertical="center"/>
    </xf>
    <xf numFmtId="0" fontId="5" fillId="0" borderId="1" xfId="19" applyFont="1" applyFill="1" applyBorder="1" applyAlignment="1">
      <alignment horizontal="center" vertical="center"/>
    </xf>
    <xf numFmtId="0" fontId="9" fillId="0" borderId="1" xfId="20" applyFont="1" applyFill="1" applyBorder="1" applyAlignment="1">
      <alignment horizontal="center" vertical="center" wrapText="1"/>
    </xf>
    <xf numFmtId="0" fontId="9" fillId="0" borderId="1" xfId="21" applyFont="1" applyFill="1" applyBorder="1" applyAlignment="1">
      <alignment horizontal="center" vertical="center" wrapText="1"/>
    </xf>
    <xf numFmtId="0" fontId="8" fillId="0" borderId="0" xfId="19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0" fillId="0" borderId="0" xfId="0" applyFill="1"/>
    <xf numFmtId="0" fontId="1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1" fontId="5" fillId="0" borderId="1" xfId="21" applyNumberFormat="1" applyFont="1" applyFill="1" applyBorder="1" applyAlignment="1">
      <alignment horizontal="center" vertical="center"/>
    </xf>
    <xf numFmtId="174" fontId="5" fillId="0" borderId="1" xfId="21" applyNumberFormat="1" applyFont="1" applyFill="1" applyBorder="1" applyAlignment="1">
      <alignment horizontal="center" vertical="center"/>
    </xf>
    <xf numFmtId="0" fontId="6" fillId="0" borderId="0" xfId="19" applyFont="1" applyAlignment="1">
      <alignment horizontal="center" vertical="center"/>
    </xf>
    <xf numFmtId="0" fontId="6" fillId="0" borderId="0" xfId="19" applyFont="1" applyFill="1" applyBorder="1" applyAlignment="1">
      <alignment horizontal="center" vertical="center"/>
    </xf>
    <xf numFmtId="0" fontId="5" fillId="0" borderId="0" xfId="19" applyFont="1" applyFill="1" applyBorder="1" applyAlignment="1">
      <alignment horizontal="center" vertical="center"/>
    </xf>
    <xf numFmtId="0" fontId="6" fillId="0" borderId="0" xfId="19" applyFont="1" applyBorder="1" applyAlignment="1">
      <alignment horizontal="center" vertical="center"/>
    </xf>
    <xf numFmtId="0" fontId="5" fillId="0" borderId="0" xfId="21" applyFont="1" applyFill="1" applyAlignment="1">
      <alignment horizontal="center" vertical="center"/>
    </xf>
    <xf numFmtId="0" fontId="6" fillId="0" borderId="0" xfId="19" applyFont="1" applyFill="1" applyAlignment="1">
      <alignment horizontal="center" vertical="center"/>
    </xf>
    <xf numFmtId="0" fontId="5" fillId="0" borderId="1" xfId="21" applyFont="1" applyFill="1" applyBorder="1" applyAlignment="1">
      <alignment horizontal="center" vertical="center" wrapText="1"/>
    </xf>
    <xf numFmtId="2" fontId="5" fillId="0" borderId="1" xfId="21" applyNumberFormat="1" applyFont="1" applyFill="1" applyBorder="1" applyAlignment="1">
      <alignment horizontal="center" vertical="center"/>
    </xf>
    <xf numFmtId="2" fontId="5" fillId="0" borderId="1" xfId="21" applyNumberFormat="1" applyFont="1" applyFill="1" applyBorder="1" applyAlignment="1">
      <alignment horizontal="center" vertical="center" wrapText="1"/>
    </xf>
    <xf numFmtId="0" fontId="5" fillId="0" borderId="0" xfId="20" applyFont="1" applyFill="1" applyAlignment="1">
      <alignment horizontal="center" vertical="center"/>
    </xf>
    <xf numFmtId="2" fontId="5" fillId="0" borderId="1" xfId="2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20" applyFont="1" applyFill="1" applyBorder="1" applyAlignment="1" applyProtection="1">
      <alignment horizontal="center" vertical="center"/>
      <protection locked="0"/>
    </xf>
    <xf numFmtId="0" fontId="5" fillId="0" borderId="1" xfId="19" applyFont="1" applyFill="1" applyBorder="1" applyAlignment="1" applyProtection="1">
      <alignment horizontal="center" vertical="center"/>
      <protection locked="0"/>
    </xf>
    <xf numFmtId="0" fontId="5" fillId="0" borderId="1" xfId="20" applyFont="1" applyFill="1" applyBorder="1" applyAlignment="1" applyProtection="1">
      <alignment horizontal="center" vertical="center" wrapText="1"/>
      <protection locked="0"/>
    </xf>
    <xf numFmtId="1" fontId="6" fillId="0" borderId="0" xfId="19" applyNumberFormat="1" applyFont="1" applyAlignment="1">
      <alignment horizontal="center" vertical="center"/>
    </xf>
    <xf numFmtId="0" fontId="5" fillId="0" borderId="1" xfId="20" applyFont="1" applyFill="1" applyBorder="1" applyAlignment="1">
      <alignment horizontal="center" vertical="center" shrinkToFit="1"/>
    </xf>
    <xf numFmtId="0" fontId="5" fillId="0" borderId="0" xfId="0" applyFont="1"/>
    <xf numFmtId="174" fontId="5" fillId="0" borderId="0" xfId="0" applyNumberFormat="1" applyFont="1"/>
    <xf numFmtId="0" fontId="5" fillId="0" borderId="0" xfId="0" quotePrefix="1" applyFont="1"/>
    <xf numFmtId="2" fontId="5" fillId="0" borderId="0" xfId="0" applyNumberFormat="1" applyFont="1"/>
    <xf numFmtId="0" fontId="6" fillId="0" borderId="1" xfId="19" applyFont="1" applyFill="1" applyBorder="1" applyAlignment="1">
      <alignment horizontal="center" vertical="center"/>
    </xf>
    <xf numFmtId="0" fontId="6" fillId="0" borderId="1" xfId="19" applyFont="1" applyBorder="1" applyAlignment="1">
      <alignment horizontal="center" vertical="center"/>
    </xf>
    <xf numFmtId="1" fontId="6" fillId="0" borderId="1" xfId="19" applyNumberFormat="1" applyFont="1" applyBorder="1" applyAlignment="1">
      <alignment horizontal="center" vertical="center"/>
    </xf>
    <xf numFmtId="2" fontId="6" fillId="0" borderId="0" xfId="19" applyNumberFormat="1" applyFont="1" applyAlignment="1">
      <alignment horizontal="center" vertical="center"/>
    </xf>
    <xf numFmtId="0" fontId="5" fillId="0" borderId="1" xfId="21" applyFont="1" applyFill="1" applyBorder="1" applyAlignment="1">
      <alignment horizontal="center" vertical="center"/>
    </xf>
    <xf numFmtId="0" fontId="5" fillId="0" borderId="1" xfId="21" applyFont="1" applyFill="1" applyBorder="1" applyAlignment="1" applyProtection="1">
      <alignment horizontal="center" vertical="center"/>
      <protection locked="0"/>
    </xf>
    <xf numFmtId="0" fontId="6" fillId="0" borderId="1" xfId="19" applyFont="1" applyFill="1" applyBorder="1" applyAlignment="1" applyProtection="1">
      <alignment horizontal="center" vertical="center"/>
      <protection locked="0"/>
    </xf>
    <xf numFmtId="0" fontId="5" fillId="0" borderId="1" xfId="0" applyFont="1" applyBorder="1"/>
    <xf numFmtId="0" fontId="5" fillId="0" borderId="0" xfId="0" applyNumberFormat="1" applyFont="1"/>
    <xf numFmtId="175" fontId="5" fillId="0" borderId="0" xfId="0" applyNumberFormat="1" applyFont="1"/>
    <xf numFmtId="175" fontId="5" fillId="16" borderId="0" xfId="0" applyNumberFormat="1" applyFont="1" applyFill="1"/>
    <xf numFmtId="175" fontId="5" fillId="17" borderId="0" xfId="0" applyNumberFormat="1" applyFont="1" applyFill="1"/>
    <xf numFmtId="0" fontId="5" fillId="0" borderId="1" xfId="19" applyFont="1" applyFill="1" applyBorder="1" applyAlignment="1" applyProtection="1">
      <alignment horizontal="center" vertical="center"/>
      <protection locked="0"/>
    </xf>
    <xf numFmtId="0" fontId="6" fillId="0" borderId="6" xfId="19" applyFont="1" applyBorder="1" applyAlignment="1">
      <alignment horizontal="left" vertical="center"/>
    </xf>
    <xf numFmtId="0" fontId="6" fillId="0" borderId="7" xfId="19" applyFont="1" applyBorder="1" applyAlignment="1">
      <alignment horizontal="left" vertical="center"/>
    </xf>
    <xf numFmtId="0" fontId="6" fillId="0" borderId="8" xfId="19" applyFont="1" applyBorder="1" applyAlignment="1">
      <alignment horizontal="left" vertical="center"/>
    </xf>
    <xf numFmtId="0" fontId="6" fillId="0" borderId="0" xfId="19" applyFont="1" applyAlignment="1">
      <alignment horizontal="center" vertical="center"/>
    </xf>
    <xf numFmtId="0" fontId="5" fillId="0" borderId="6" xfId="19" applyFont="1" applyFill="1" applyBorder="1" applyAlignment="1">
      <alignment horizontal="center" vertical="center"/>
    </xf>
    <xf numFmtId="0" fontId="5" fillId="0" borderId="7" xfId="19" applyFont="1" applyFill="1" applyBorder="1" applyAlignment="1">
      <alignment horizontal="center" vertical="center"/>
    </xf>
    <xf numFmtId="0" fontId="5" fillId="0" borderId="8" xfId="19" applyFont="1" applyFill="1" applyBorder="1" applyAlignment="1">
      <alignment horizontal="center" vertical="center"/>
    </xf>
    <xf numFmtId="0" fontId="8" fillId="0" borderId="0" xfId="19" applyFont="1" applyFill="1" applyBorder="1" applyAlignment="1">
      <alignment horizontal="center" vertical="center" wrapText="1"/>
    </xf>
    <xf numFmtId="0" fontId="5" fillId="0" borderId="1" xfId="19" applyFont="1" applyFill="1" applyBorder="1" applyAlignment="1">
      <alignment horizontal="center" vertical="center"/>
    </xf>
    <xf numFmtId="0" fontId="13" fillId="0" borderId="0" xfId="19" applyFont="1" applyFill="1" applyBorder="1" applyAlignment="1">
      <alignment horizontal="left" vertical="center" wrapText="1"/>
    </xf>
    <xf numFmtId="0" fontId="5" fillId="0" borderId="1" xfId="19" applyFont="1" applyFill="1" applyBorder="1" applyAlignment="1">
      <alignment horizontal="left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</cellXfs>
  <cellStyles count="22">
    <cellStyle name="20% - Акцент1" xfId="1"/>
    <cellStyle name="20% - Акцент2" xfId="2"/>
    <cellStyle name="20% - Акцент3" xfId="3"/>
    <cellStyle name="20% - Акцент4" xfId="4"/>
    <cellStyle name="20% - Акцент5" xfId="5"/>
    <cellStyle name="20% - Акцент6" xfId="6"/>
    <cellStyle name="40% - Акцент1" xfId="7"/>
    <cellStyle name="40% - Акцент2" xfId="8"/>
    <cellStyle name="40% - Акцент3" xfId="9"/>
    <cellStyle name="40% - Акцент4" xfId="10"/>
    <cellStyle name="40% - Акцент5" xfId="11"/>
    <cellStyle name="40% - Акцент6" xfId="12"/>
    <cellStyle name="60% - Акцент1" xfId="13"/>
    <cellStyle name="60% - Акцент2" xfId="14"/>
    <cellStyle name="60% - Акцент3" xfId="15"/>
    <cellStyle name="60% - Акцент4" xfId="16"/>
    <cellStyle name="60% - Акцент5" xfId="17"/>
    <cellStyle name="60% - Акцент6" xfId="18"/>
    <cellStyle name="Bad" xfId="20" builtinId="27"/>
    <cellStyle name="Good" xfId="21" builtinId="26"/>
    <cellStyle name="Normal" xfId="0" builtinId="0"/>
    <cellStyle name="Обычный_Расчет несущей способности сваи 01255" xfId="19"/>
  </cellStyles>
  <dxfs count="3">
    <dxf>
      <font>
        <condense val="0"/>
        <extend val="0"/>
        <color indexed="9"/>
      </font>
      <border>
        <left/>
        <right/>
        <top/>
        <bottom/>
      </border>
    </dxf>
    <dxf>
      <font>
        <condense val="0"/>
        <extend val="0"/>
        <color indexed="9"/>
      </font>
      <border>
        <left/>
        <right/>
        <top/>
        <bottom/>
      </border>
    </dxf>
    <dxf>
      <font>
        <condense val="0"/>
        <extend val="0"/>
        <color indexed="9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161925</xdr:colOff>
      <xdr:row>1</xdr:row>
      <xdr:rowOff>0</xdr:rowOff>
    </xdr:to>
    <xdr:sp macro="" textlink="">
      <xdr:nvSpPr>
        <xdr:cNvPr id="2089" name="AutoShape 1" descr="ГОСТ 20522-2012 Грунты. Методы статистической обработки результатов испытаний"/>
        <xdr:cNvSpPr>
          <a:spLocks noChangeAspect="1" noChangeArrowheads="1"/>
        </xdr:cNvSpPr>
      </xdr:nvSpPr>
      <xdr:spPr bwMode="auto">
        <a:xfrm>
          <a:off x="0" y="1619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161925</xdr:colOff>
      <xdr:row>1</xdr:row>
      <xdr:rowOff>0</xdr:rowOff>
    </xdr:to>
    <xdr:sp macro="" textlink="">
      <xdr:nvSpPr>
        <xdr:cNvPr id="2090" name="AutoShape 2" descr="ГОСТ 20522-2012 Грунты. Методы статистической обработки результатов испытаний"/>
        <xdr:cNvSpPr>
          <a:spLocks noChangeAspect="1" noChangeArrowheads="1"/>
        </xdr:cNvSpPr>
      </xdr:nvSpPr>
      <xdr:spPr bwMode="auto">
        <a:xfrm>
          <a:off x="495300" y="1619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142875</xdr:colOff>
      <xdr:row>1</xdr:row>
      <xdr:rowOff>0</xdr:rowOff>
    </xdr:to>
    <xdr:sp macro="" textlink="">
      <xdr:nvSpPr>
        <xdr:cNvPr id="2091" name="AutoShape 3" descr="ГОСТ 20522-2012 Грунты. Методы статистической обработки результатов испытаний"/>
        <xdr:cNvSpPr>
          <a:spLocks noChangeAspect="1" noChangeArrowheads="1"/>
        </xdr:cNvSpPr>
      </xdr:nvSpPr>
      <xdr:spPr bwMode="auto">
        <a:xfrm>
          <a:off x="495300" y="16192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26</xdr:row>
      <xdr:rowOff>0</xdr:rowOff>
    </xdr:from>
    <xdr:to>
      <xdr:col>0</xdr:col>
      <xdr:colOff>142875</xdr:colOff>
      <xdr:row>26</xdr:row>
      <xdr:rowOff>0</xdr:rowOff>
    </xdr:to>
    <xdr:sp macro="" textlink="">
      <xdr:nvSpPr>
        <xdr:cNvPr id="2092" name="AutoShape 4" descr="ГОСТ 20522-2012 Грунты. Методы статистической обработки результатов испытаний"/>
        <xdr:cNvSpPr>
          <a:spLocks noChangeAspect="1" noChangeArrowheads="1"/>
        </xdr:cNvSpPr>
      </xdr:nvSpPr>
      <xdr:spPr bwMode="auto">
        <a:xfrm>
          <a:off x="0" y="423862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37"/>
  <sheetViews>
    <sheetView zoomScale="85" zoomScaleNormal="70" workbookViewId="0">
      <pane ySplit="17" topLeftCell="A88" activePane="bottomLeft" state="frozen"/>
      <selection pane="bottomLeft" activeCell="Q105" sqref="Q105:AI105"/>
    </sheetView>
  </sheetViews>
  <sheetFormatPr defaultRowHeight="12.75" x14ac:dyDescent="0.2"/>
  <cols>
    <col min="1" max="1" width="3.85546875" style="15" customWidth="1"/>
    <col min="2" max="6" width="9" style="24" customWidth="1"/>
    <col min="7" max="7" width="14" style="20" customWidth="1"/>
    <col min="8" max="8" width="2.28515625" style="20" customWidth="1"/>
    <col min="9" max="10" width="9.140625" style="19"/>
    <col min="11" max="11" width="2.28515625" style="20" customWidth="1"/>
    <col min="12" max="13" width="9.140625" style="19"/>
    <col min="14" max="15" width="9.140625" style="15"/>
    <col min="16" max="16" width="2.28515625" style="20" customWidth="1"/>
    <col min="17" max="17" width="9.140625" style="24"/>
    <col min="18" max="20" width="9.140625" style="19"/>
    <col min="21" max="21" width="2.28515625" style="20" customWidth="1"/>
    <col min="22" max="22" width="9.140625" style="15"/>
    <col min="23" max="23" width="2.42578125" style="15" customWidth="1"/>
    <col min="24" max="24" width="9.140625" style="19"/>
    <col min="25" max="25" width="3.7109375" style="15" customWidth="1"/>
    <col min="26" max="27" width="6" style="15" customWidth="1"/>
    <col min="28" max="28" width="4.85546875" style="15" customWidth="1"/>
    <col min="29" max="30" width="5.42578125" style="15" customWidth="1"/>
    <col min="31" max="31" width="1.7109375" style="15" customWidth="1"/>
    <col min="32" max="32" width="5.7109375" style="15" customWidth="1"/>
    <col min="33" max="16384" width="9.140625" style="15"/>
  </cols>
  <sheetData>
    <row r="1" spans="2:25" ht="39.6" customHeight="1" x14ac:dyDescent="0.2">
      <c r="B1" s="55" t="s">
        <v>10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16"/>
      <c r="X1" s="17"/>
      <c r="Y1" s="18"/>
    </row>
    <row r="2" spans="2:25" ht="6" customHeight="1" x14ac:dyDescent="0.2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P2" s="7"/>
      <c r="Q2" s="7"/>
      <c r="R2" s="7"/>
      <c r="S2" s="7"/>
      <c r="T2" s="7"/>
      <c r="U2" s="16"/>
      <c r="X2" s="17"/>
      <c r="Y2" s="18"/>
    </row>
    <row r="3" spans="2:25" ht="14.25" customHeight="1" x14ac:dyDescent="0.2">
      <c r="B3" s="57" t="e">
        <f ca="1">MID(CELL("ИМЯФАЙЛА",B4),SEARCH("]",CELL("ИМЯФАЙЛА",B4))+1,255)</f>
        <v>#VALUE!</v>
      </c>
      <c r="C3" s="57"/>
      <c r="D3" s="57"/>
      <c r="E3" s="57"/>
      <c r="F3" s="57"/>
      <c r="G3" s="7"/>
      <c r="H3" s="7"/>
      <c r="I3" s="7"/>
      <c r="J3" s="7"/>
      <c r="K3" s="7"/>
      <c r="L3" s="7"/>
      <c r="M3" s="7"/>
      <c r="P3" s="7"/>
      <c r="Q3" s="7"/>
      <c r="R3" s="7"/>
      <c r="S3" s="7"/>
      <c r="T3" s="7"/>
      <c r="U3" s="16"/>
      <c r="X3" s="17"/>
      <c r="Y3" s="18"/>
    </row>
    <row r="4" spans="2:25" ht="6" customHeight="1" x14ac:dyDescent="0.2">
      <c r="B4" s="17"/>
      <c r="C4" s="17"/>
      <c r="D4" s="17"/>
      <c r="E4" s="17"/>
      <c r="F4" s="17"/>
      <c r="G4" s="16"/>
      <c r="H4" s="16"/>
      <c r="I4" s="17"/>
      <c r="J4" s="17"/>
      <c r="K4" s="16"/>
      <c r="L4" s="17"/>
      <c r="M4" s="17"/>
      <c r="P4" s="16"/>
      <c r="Q4" s="17"/>
      <c r="R4" s="17"/>
      <c r="S4" s="17"/>
      <c r="T4" s="17"/>
      <c r="U4" s="16"/>
      <c r="X4" s="17"/>
      <c r="Y4" s="18"/>
    </row>
    <row r="5" spans="2:25" ht="14.25" customHeight="1" x14ac:dyDescent="0.2">
      <c r="B5" s="3" t="s">
        <v>7</v>
      </c>
      <c r="C5" s="3" t="s">
        <v>8</v>
      </c>
      <c r="D5" s="4" t="s">
        <v>9</v>
      </c>
      <c r="E5" s="56" t="s">
        <v>42</v>
      </c>
      <c r="F5" s="56"/>
      <c r="G5" s="35" t="s">
        <v>51</v>
      </c>
      <c r="H5" s="16"/>
      <c r="K5" s="16"/>
      <c r="L5" s="15"/>
      <c r="M5" s="15"/>
      <c r="P5" s="16"/>
      <c r="Q5" s="58" t="s">
        <v>38</v>
      </c>
      <c r="R5" s="58"/>
      <c r="S5" s="58"/>
      <c r="T5" s="28">
        <f>Статистика!E1</f>
        <v>0.35</v>
      </c>
      <c r="U5" s="16"/>
      <c r="X5" s="17"/>
      <c r="Y5" s="18"/>
    </row>
    <row r="6" spans="2:25" ht="14.25" customHeight="1" x14ac:dyDescent="0.2">
      <c r="B6" s="3">
        <v>1</v>
      </c>
      <c r="C6" s="26" t="s">
        <v>4</v>
      </c>
      <c r="D6" s="27">
        <v>189.13</v>
      </c>
      <c r="E6" s="47" t="s">
        <v>43</v>
      </c>
      <c r="F6" s="47"/>
      <c r="G6" s="41"/>
      <c r="H6" s="16"/>
      <c r="K6" s="16"/>
      <c r="L6" s="15"/>
      <c r="M6" s="15"/>
      <c r="P6" s="16"/>
      <c r="Q6" s="58" t="s">
        <v>39</v>
      </c>
      <c r="R6" s="58"/>
      <c r="S6" s="58"/>
      <c r="T6" s="28">
        <f>4*T5</f>
        <v>1.4</v>
      </c>
      <c r="U6" s="16"/>
      <c r="X6" s="17"/>
      <c r="Y6" s="18"/>
    </row>
    <row r="7" spans="2:25" ht="14.25" customHeight="1" x14ac:dyDescent="0.2">
      <c r="B7" s="3">
        <v>2</v>
      </c>
      <c r="C7" s="26" t="s">
        <v>5</v>
      </c>
      <c r="D7" s="27">
        <v>186.03</v>
      </c>
      <c r="E7" s="47" t="s">
        <v>43</v>
      </c>
      <c r="F7" s="47"/>
      <c r="G7" s="41"/>
      <c r="H7" s="16"/>
      <c r="K7" s="16"/>
      <c r="L7" s="15"/>
      <c r="M7" s="15"/>
      <c r="P7" s="16"/>
      <c r="Q7" s="58" t="s">
        <v>40</v>
      </c>
      <c r="R7" s="58"/>
      <c r="S7" s="58"/>
      <c r="T7" s="28">
        <f>T5*T5</f>
        <v>0.12249999999999998</v>
      </c>
      <c r="U7" s="16"/>
      <c r="X7" s="17"/>
      <c r="Y7" s="18"/>
    </row>
    <row r="8" spans="2:25" ht="14.25" customHeight="1" x14ac:dyDescent="0.2">
      <c r="B8" s="3">
        <v>3</v>
      </c>
      <c r="C8" s="26" t="s">
        <v>50</v>
      </c>
      <c r="D8" s="27">
        <v>174.93</v>
      </c>
      <c r="E8" s="47" t="s">
        <v>43</v>
      </c>
      <c r="F8" s="47"/>
      <c r="G8" s="41"/>
      <c r="H8" s="16"/>
      <c r="K8" s="16"/>
      <c r="L8" s="15"/>
      <c r="M8" s="15"/>
      <c r="P8" s="16"/>
      <c r="Q8" s="58" t="s">
        <v>41</v>
      </c>
      <c r="R8" s="58"/>
      <c r="S8" s="58"/>
      <c r="T8" s="27">
        <f>D6-3</f>
        <v>186.13</v>
      </c>
      <c r="U8" s="16"/>
      <c r="X8" s="17"/>
      <c r="Y8" s="18"/>
    </row>
    <row r="9" spans="2:25" ht="14.25" customHeight="1" x14ac:dyDescent="0.2">
      <c r="B9" s="4">
        <v>4</v>
      </c>
      <c r="C9" s="26" t="s">
        <v>6</v>
      </c>
      <c r="D9" s="27">
        <v>168.93</v>
      </c>
      <c r="E9" s="47" t="s">
        <v>43</v>
      </c>
      <c r="F9" s="47"/>
      <c r="G9" s="41"/>
      <c r="H9" s="16"/>
      <c r="K9" s="16"/>
      <c r="L9" s="15"/>
      <c r="M9" s="15"/>
      <c r="P9" s="16"/>
      <c r="Q9" s="17"/>
      <c r="R9" s="17"/>
      <c r="S9" s="17"/>
      <c r="T9" s="17"/>
      <c r="U9" s="16"/>
      <c r="X9" s="17"/>
      <c r="Y9" s="18"/>
    </row>
    <row r="10" spans="2:25" ht="14.25" customHeight="1" x14ac:dyDescent="0.2">
      <c r="B10" s="4">
        <v>5</v>
      </c>
      <c r="C10" s="26" t="s">
        <v>60</v>
      </c>
      <c r="D10" s="27">
        <v>166.83</v>
      </c>
      <c r="E10" s="47" t="s">
        <v>43</v>
      </c>
      <c r="F10" s="47"/>
      <c r="G10" s="41"/>
      <c r="H10" s="16"/>
      <c r="I10" s="17"/>
      <c r="J10" s="17"/>
      <c r="K10" s="16"/>
      <c r="L10" s="17"/>
      <c r="M10" s="17"/>
      <c r="P10" s="16"/>
      <c r="Q10" s="17"/>
      <c r="R10" s="17"/>
      <c r="S10" s="17"/>
      <c r="T10" s="17"/>
      <c r="U10" s="16"/>
      <c r="X10" s="17"/>
      <c r="Y10" s="18"/>
    </row>
    <row r="11" spans="2:25" ht="14.25" customHeight="1" x14ac:dyDescent="0.2">
      <c r="B11" s="4">
        <v>6</v>
      </c>
      <c r="C11" s="26"/>
      <c r="D11" s="27"/>
      <c r="E11" s="47"/>
      <c r="F11" s="47"/>
      <c r="G11" s="41"/>
      <c r="H11" s="16"/>
      <c r="I11" s="17"/>
      <c r="J11" s="17"/>
      <c r="K11" s="16"/>
      <c r="L11" s="17"/>
      <c r="M11" s="17"/>
      <c r="P11" s="16"/>
      <c r="Q11" s="52" t="s">
        <v>54</v>
      </c>
      <c r="R11" s="53"/>
      <c r="S11" s="53"/>
      <c r="T11" s="54"/>
      <c r="U11" s="16"/>
      <c r="X11" s="17"/>
      <c r="Y11" s="18"/>
    </row>
    <row r="12" spans="2:25" ht="14.25" customHeight="1" x14ac:dyDescent="0.2">
      <c r="B12" s="4">
        <v>7</v>
      </c>
      <c r="C12" s="26"/>
      <c r="D12" s="27"/>
      <c r="E12" s="47"/>
      <c r="F12" s="47"/>
      <c r="G12" s="41"/>
      <c r="H12" s="16"/>
      <c r="J12" s="17"/>
      <c r="K12" s="16"/>
      <c r="L12" s="17"/>
      <c r="M12" s="17"/>
      <c r="P12" s="16"/>
      <c r="Q12" s="48" t="s">
        <v>56</v>
      </c>
      <c r="R12" s="49"/>
      <c r="S12" s="50"/>
      <c r="T12" s="40">
        <v>5</v>
      </c>
      <c r="U12" s="16"/>
      <c r="X12" s="17"/>
      <c r="Y12" s="18"/>
    </row>
    <row r="13" spans="2:25" ht="14.25" customHeight="1" x14ac:dyDescent="0.2">
      <c r="B13" s="4">
        <v>8</v>
      </c>
      <c r="C13" s="26"/>
      <c r="D13" s="27"/>
      <c r="E13" s="47"/>
      <c r="F13" s="47"/>
      <c r="G13" s="41"/>
      <c r="H13" s="16"/>
      <c r="J13" s="17"/>
      <c r="K13" s="16"/>
      <c r="L13" s="17"/>
      <c r="M13" s="17"/>
      <c r="P13" s="16"/>
      <c r="Q13" s="48" t="s">
        <v>57</v>
      </c>
      <c r="R13" s="49"/>
      <c r="S13" s="50"/>
      <c r="T13" s="40">
        <v>15</v>
      </c>
      <c r="U13" s="16"/>
      <c r="X13" s="17"/>
      <c r="Y13" s="18"/>
    </row>
    <row r="14" spans="2:25" ht="14.25" customHeight="1" x14ac:dyDescent="0.2">
      <c r="B14" s="4">
        <v>9</v>
      </c>
      <c r="C14" s="26"/>
      <c r="D14" s="27"/>
      <c r="E14" s="47"/>
      <c r="F14" s="47"/>
      <c r="G14" s="41"/>
      <c r="H14" s="16"/>
      <c r="I14" s="17"/>
      <c r="J14" s="17"/>
      <c r="K14" s="16"/>
      <c r="L14" s="17"/>
      <c r="M14" s="17"/>
      <c r="P14" s="16"/>
      <c r="Q14" s="48" t="s">
        <v>55</v>
      </c>
      <c r="R14" s="49"/>
      <c r="S14" s="50"/>
      <c r="T14" s="39">
        <f>ROUND(IF(T12&lt;=5,0,IF(T12&gt;=2*T13,0.8,0.8*(T12-5)/(2*T13-5))),3)</f>
        <v>0</v>
      </c>
      <c r="U14" s="16"/>
      <c r="X14" s="17"/>
      <c r="Y14" s="18"/>
    </row>
    <row r="15" spans="2:25" ht="14.25" customHeight="1" x14ac:dyDescent="0.2">
      <c r="B15" s="4">
        <v>10</v>
      </c>
      <c r="C15" s="26"/>
      <c r="D15" s="26"/>
      <c r="E15" s="47"/>
      <c r="F15" s="47"/>
      <c r="G15" s="41"/>
      <c r="H15" s="16"/>
      <c r="I15" s="17"/>
      <c r="J15" s="17"/>
      <c r="K15" s="16"/>
      <c r="L15" s="17"/>
      <c r="M15" s="17"/>
      <c r="P15" s="16"/>
      <c r="U15" s="16"/>
      <c r="X15" s="17"/>
      <c r="Y15" s="18"/>
    </row>
    <row r="16" spans="2:25" x14ac:dyDescent="0.2">
      <c r="B16" s="17"/>
      <c r="C16" s="17"/>
      <c r="D16" s="17"/>
      <c r="E16" s="17"/>
      <c r="F16" s="17"/>
      <c r="G16" s="16"/>
      <c r="H16" s="16"/>
      <c r="I16" s="17"/>
      <c r="J16" s="17"/>
      <c r="K16" s="16"/>
      <c r="L16" s="17"/>
      <c r="M16" s="17"/>
      <c r="P16" s="16"/>
      <c r="Q16" s="17"/>
      <c r="R16" s="17"/>
      <c r="S16" s="17"/>
      <c r="T16" s="17"/>
      <c r="U16" s="16"/>
      <c r="X16" s="17"/>
      <c r="Y16" s="18"/>
    </row>
    <row r="17" spans="1:38" ht="28.5" x14ac:dyDescent="0.2">
      <c r="B17" s="1" t="s">
        <v>0</v>
      </c>
      <c r="C17" s="1" t="s">
        <v>1</v>
      </c>
      <c r="D17" s="5" t="s">
        <v>11</v>
      </c>
      <c r="E17" s="5" t="s">
        <v>12</v>
      </c>
      <c r="F17" s="1" t="s">
        <v>8</v>
      </c>
      <c r="G17" s="1" t="s">
        <v>42</v>
      </c>
      <c r="I17" s="6" t="s">
        <v>13</v>
      </c>
      <c r="J17" s="6" t="s">
        <v>14</v>
      </c>
      <c r="L17" s="6" t="s">
        <v>15</v>
      </c>
      <c r="M17" s="6" t="s">
        <v>16</v>
      </c>
      <c r="N17" s="36" t="s">
        <v>53</v>
      </c>
      <c r="O17" s="36" t="s">
        <v>52</v>
      </c>
      <c r="Q17" s="5" t="s">
        <v>17</v>
      </c>
      <c r="R17" s="6" t="s">
        <v>18</v>
      </c>
      <c r="S17" s="6" t="s">
        <v>19</v>
      </c>
      <c r="T17" s="6" t="s">
        <v>20</v>
      </c>
      <c r="V17" s="6" t="s">
        <v>58</v>
      </c>
      <c r="X17" s="6" t="s">
        <v>21</v>
      </c>
      <c r="Z17" s="15" t="s">
        <v>2</v>
      </c>
      <c r="AA17" s="15" t="s">
        <v>3</v>
      </c>
      <c r="AC17" s="51" t="s">
        <v>23</v>
      </c>
      <c r="AD17" s="51"/>
      <c r="AE17" s="51"/>
      <c r="AF17" s="51"/>
      <c r="AH17" s="15" t="s">
        <v>22</v>
      </c>
      <c r="AI17" s="15" t="s">
        <v>63</v>
      </c>
    </row>
    <row r="18" spans="1:38" x14ac:dyDescent="0.2">
      <c r="A18" s="15">
        <v>1</v>
      </c>
      <c r="B18" s="2">
        <f t="shared" ref="B18:B49" si="0">IF(C18="","",ROUND($D$6-C18,2))</f>
        <v>187.53</v>
      </c>
      <c r="C18" s="25">
        <v>1.6</v>
      </c>
      <c r="D18" s="25">
        <v>8.76</v>
      </c>
      <c r="E18" s="25">
        <v>89.85</v>
      </c>
      <c r="F18" s="3" t="str">
        <f t="shared" ref="F18:F49" ca="1" si="1">IF(C18="","",OFFSET($C$5,MATCH(B18,D$6:D$15,-1),0,1,1))</f>
        <v>ИГЭ-1</v>
      </c>
      <c r="G18" s="30" t="str">
        <f t="shared" ref="G18:G49" ca="1" si="2">IF(C18="","",OFFSET($E$5,MATCH(B18,D$6:D$15,-1),0,1,1))</f>
        <v>пыл.-глинист.</v>
      </c>
      <c r="I18" s="13">
        <f ca="1">ROUND(AVERAGE(OFFSET($D$18,MATCH(MAX(FLOOR(C18-$T$5,(C19-C18)),C$18),C$18:C$137),0,MATCH(MIN(CEILING(C18+4*$T$5,(C19-C18)),C$137),C$18:C$137)-MATCH(MAX(FLOOR(C18-$T$5,(C19-C18)),C$18),C$18:C$137)+1,1))*1000,0)</f>
        <v>4080</v>
      </c>
      <c r="J18" s="14">
        <f t="shared" ref="J18:J49" ca="1" si="3">IF(I18="","",IF(I18&lt;=1000,0.9,IF(I18&lt;=2500,ROUND(0.967-0.000067*I18,3),IF(I18&lt;=5000,ROUND(0.95-0.00006*I18,3),IF(I18&lt;=7500,ROUND(0.85-0.00004*I18,3),IF(I18&lt;=10000,ROUND(0.85-0.00004*I18,3),IF(I18&lt;=15000,ROUND(0.65-0.00002*I18,3),IF(I18&lt;=30000,0.5-0.00001*I18,0.2))))))))</f>
        <v>0.70499999999999996</v>
      </c>
      <c r="L18" s="14">
        <f t="shared" ref="L18:L49" ca="1" si="4">IF(G18="","",IF(G18="песчаный",IF(E18&lt;=20,0.75,IF(E18&lt;=40,ROUND(0.9-0.0075*E18,3),IF(E18&lt;=120,ROUND(0.7-0.0025*E18,3),0.4))),IF(E18&lt;=20,1,IF(E18&lt;=40,ROUND(1.25-0.0125*E18,3),IF(E18&lt;=80,ROUND(1.05-0.0075*E18,3),IF(E18&lt;=100,ROUND(0.65-0.0025*E18,3),IF(E18&lt;=120,ROUND(0.9-0.005*E18,3),0.3)))))))</f>
        <v>0.42499999999999999</v>
      </c>
      <c r="M18" s="21">
        <v>0</v>
      </c>
      <c r="N18" s="37">
        <f t="shared" ref="N18:N49" ca="1" si="5">IF(C18="","",IF(OFFSET($C$5,MATCH(B18,D$6:D$15,-1),4,1,1)="",1,0))</f>
        <v>1</v>
      </c>
      <c r="O18" s="37">
        <f t="shared" ref="O18:O49" ca="1" si="6">IF(C18="","",IF(OFFSET($C$5,MATCH(B18,D$6:D$15,-1),4,1,1)="тип II",1,0))</f>
        <v>0</v>
      </c>
      <c r="Q18" s="22" t="str">
        <f t="shared" ref="Q18:Q49" si="7">IF(C18="","",IF(ROUND(($D$6-FLOOR($D$6-$T$8,$C$19-$C$18))-B18,2)&lt;0,"",ROUND(($D$6-FLOOR($D$6-$T$8,$C$19-$C$18))-B18,2)))</f>
        <v/>
      </c>
      <c r="R18" s="22" t="str">
        <f t="shared" ref="R18:R49" si="8">IF(Q18="","",J18*I18*$T$7)</f>
        <v/>
      </c>
      <c r="S18" s="22" t="str">
        <f>IF(Q18="","",0)</f>
        <v/>
      </c>
      <c r="T18" s="22" t="str">
        <f t="shared" ref="T18:T49" si="9">IF(Q18="","",R18+S18)</f>
        <v/>
      </c>
      <c r="V18" s="22"/>
      <c r="W18" s="29"/>
      <c r="X18" s="23" t="str">
        <f>IF(Q18="","",MAX(0,(T18/1.25-V18)/9.81-2.5*1.1*$T$7*Q18))</f>
        <v/>
      </c>
      <c r="AH18" s="15">
        <f t="shared" ref="AH18:AH49" si="10">MATCH(B18,D$6:D$15,-1)</f>
        <v>1</v>
      </c>
      <c r="AI18" s="38"/>
      <c r="AJ18" s="29"/>
      <c r="AK18" s="29"/>
      <c r="AL18" s="29"/>
    </row>
    <row r="19" spans="1:38" x14ac:dyDescent="0.2">
      <c r="A19" s="15">
        <v>2</v>
      </c>
      <c r="B19" s="2">
        <f t="shared" si="0"/>
        <v>187.33</v>
      </c>
      <c r="C19" s="25">
        <v>1.8</v>
      </c>
      <c r="D19" s="25">
        <v>4.68</v>
      </c>
      <c r="E19" s="25">
        <v>94.46</v>
      </c>
      <c r="F19" s="3" t="str">
        <f t="shared" ca="1" si="1"/>
        <v>ИГЭ-1</v>
      </c>
      <c r="G19" s="30" t="str">
        <f t="shared" ca="1" si="2"/>
        <v>пыл.-глинист.</v>
      </c>
      <c r="I19" s="13">
        <f t="shared" ref="I19:I50" ca="1" si="11">IF(D19="","",ROUND(AVERAGE(OFFSET($D$17,MATCH(MAX(FLOOR(C19-$T$5,(C19-C18)),C$18),C$18:C$137),0,MATCH(MIN(CEILING(C19+4*$T$5,(C19-C18)),C$137),C$18:C$137)-MATCH(MAX(FLOOR(C19-$T$5,(C19-C18)),C$18),C$18:C$137)+1,1))*1000,0))</f>
        <v>4665</v>
      </c>
      <c r="J19" s="14">
        <f t="shared" ca="1" si="3"/>
        <v>0.67</v>
      </c>
      <c r="L19" s="14">
        <f t="shared" ca="1" si="4"/>
        <v>0.41399999999999998</v>
      </c>
      <c r="M19" s="22">
        <f t="shared" ref="M19:M50" ca="1" si="12">IF(L19="","",(C19-C18)*SUMPRODUCT(E18:E19,L18:L19)/2)</f>
        <v>7.7292689999999977</v>
      </c>
      <c r="N19" s="37">
        <f t="shared" ca="1" si="5"/>
        <v>1</v>
      </c>
      <c r="O19" s="37">
        <f t="shared" ca="1" si="6"/>
        <v>0</v>
      </c>
      <c r="Q19" s="22" t="str">
        <f t="shared" si="7"/>
        <v/>
      </c>
      <c r="R19" s="22" t="str">
        <f t="shared" si="8"/>
        <v/>
      </c>
      <c r="S19" s="22" t="str">
        <f ca="1">IF(Q19="","",IF(Q19=0,0,SUMPRODUCT(OFFSET(M$18,MATCH(MIN(Q$18:Q$137),Q$18:Q$137,0),0,COUNT(M$18:M19)-MATCH(MIN(Q$18:Q$137),Q$18:Q$137,0),1),OFFSET(M$18,MATCH(MIN(Q$18:Q$137),Q$18:Q$137,0),1,COUNT(M$18:M19)-MATCH(MIN(Q$18:Q$137),Q$18:Q$137,0),1))*$T$6))</f>
        <v/>
      </c>
      <c r="T19" s="22" t="str">
        <f t="shared" si="9"/>
        <v/>
      </c>
      <c r="V19" s="22" t="str">
        <f ca="1">IF(Q19="","",IF(Q19=0,0,SUMPRODUCT(OFFSET(M$18,MATCH(MIN(Q$18:Q$137),Q$18:Q$137,0),0,COUNT(M$18:M19)-MATCH(MIN(Q$18:Q$137),Q$18:Q$137,0),1),OFFSET(M$18,MATCH(MIN(Q$18:Q$137),Q$18:Q$137,0),2,COUNT(M$18:M19)-MATCH(MIN(Q$18:Q$137),Q$18:Q$137,0),1))*$T$6*$T$14))</f>
        <v/>
      </c>
      <c r="W19" s="29"/>
      <c r="X19" s="23" t="str">
        <f t="shared" ref="X19:X82" si="13">IF(Q19="","",MAX(0,(T19/1.25-V19)/9.81-2.5*1.1*$T$7*Q19))</f>
        <v/>
      </c>
      <c r="Z19" s="15">
        <f t="shared" ref="Z19:Z50" si="14">C19-T$5</f>
        <v>1.4500000000000002</v>
      </c>
      <c r="AA19" s="15">
        <f t="shared" ref="AA19:AA50" si="15">C19+4*T$5</f>
        <v>3.2</v>
      </c>
      <c r="AC19" s="15">
        <f t="shared" ref="AC19:AC50" si="16">MATCH(MAX(FLOOR(C19-$T$5,(C19-C18)),C$18),C$18:C$137)</f>
        <v>1</v>
      </c>
      <c r="AD19" s="15">
        <f t="shared" ref="AD19:AD50" si="17">MATCH(MIN(CEILING(C19+4*$T$5,(C19-C18)),C$137),C$18:C$137)</f>
        <v>8</v>
      </c>
      <c r="AF19" s="15">
        <f t="shared" ref="AF19:AF50" ca="1" si="18">COUNT(OFFSET($D$17,AC19,0,AD19-AC19+1,1))</f>
        <v>8</v>
      </c>
      <c r="AH19" s="15">
        <f t="shared" si="10"/>
        <v>1</v>
      </c>
      <c r="AI19" s="38" t="e">
        <f>X19/T$5/T$5/9</f>
        <v>#VALUE!</v>
      </c>
      <c r="AJ19" s="29"/>
      <c r="AK19" s="29"/>
      <c r="AL19" s="29"/>
    </row>
    <row r="20" spans="1:38" x14ac:dyDescent="0.2">
      <c r="A20" s="15">
        <v>3</v>
      </c>
      <c r="B20" s="2">
        <f t="shared" si="0"/>
        <v>187.13</v>
      </c>
      <c r="C20" s="25">
        <v>2</v>
      </c>
      <c r="D20" s="25">
        <v>2.52</v>
      </c>
      <c r="E20" s="25">
        <v>64.510000000000005</v>
      </c>
      <c r="F20" s="3" t="str">
        <f t="shared" ca="1" si="1"/>
        <v>ИГЭ-1</v>
      </c>
      <c r="G20" s="30" t="str">
        <f t="shared" ca="1" si="2"/>
        <v>пыл.-глинист.</v>
      </c>
      <c r="I20" s="13">
        <f t="shared" ca="1" si="11"/>
        <v>4200</v>
      </c>
      <c r="J20" s="14">
        <f t="shared" ca="1" si="3"/>
        <v>0.69799999999999995</v>
      </c>
      <c r="L20" s="14">
        <f t="shared" ca="1" si="4"/>
        <v>0.56599999999999995</v>
      </c>
      <c r="M20" s="22">
        <f t="shared" ca="1" si="12"/>
        <v>7.5619099999999975</v>
      </c>
      <c r="N20" s="37">
        <f t="shared" ca="1" si="5"/>
        <v>1</v>
      </c>
      <c r="O20" s="37">
        <f t="shared" ca="1" si="6"/>
        <v>0</v>
      </c>
      <c r="Q20" s="22" t="str">
        <f t="shared" si="7"/>
        <v/>
      </c>
      <c r="R20" s="22" t="str">
        <f t="shared" si="8"/>
        <v/>
      </c>
      <c r="S20" s="22" t="str">
        <f ca="1">IF(Q20="","",IF(Q20=0,0,SUMPRODUCT(OFFSET(M$18,MATCH(MIN(Q$18:Q$137),Q$18:Q$137,0),0,COUNT(M$18:M20)-MATCH(MIN(Q$18:Q$137),Q$18:Q$137,0),1),OFFSET(M$18,MATCH(MIN(Q$18:Q$137),Q$18:Q$137,0),1,COUNT(M$18:M20)-MATCH(MIN(Q$18:Q$137),Q$18:Q$137,0),1))*$T$6))</f>
        <v/>
      </c>
      <c r="T20" s="22" t="str">
        <f t="shared" si="9"/>
        <v/>
      </c>
      <c r="V20" s="22" t="str">
        <f ca="1">IF(Q20="","",IF(Q20=0,0,SUMPRODUCT(OFFSET(M$18,MATCH(MIN(Q$18:Q$137),Q$18:Q$137,0),0,COUNT(M$18:M20)-MATCH(MIN(Q$18:Q$137),Q$18:Q$137,0),1),OFFSET(M$18,MATCH(MIN(Q$18:Q$137),Q$18:Q$137,0),2,COUNT(M$18:M20)-MATCH(MIN(Q$18:Q$137),Q$18:Q$137,0),1))*$T$6*$T$14))</f>
        <v/>
      </c>
      <c r="W20" s="29"/>
      <c r="X20" s="23" t="str">
        <f t="shared" si="13"/>
        <v/>
      </c>
      <c r="Z20" s="15">
        <f t="shared" si="14"/>
        <v>1.65</v>
      </c>
      <c r="AA20" s="15">
        <f t="shared" si="15"/>
        <v>3.4</v>
      </c>
      <c r="AC20" s="15">
        <f t="shared" si="16"/>
        <v>1</v>
      </c>
      <c r="AD20" s="15">
        <f t="shared" si="17"/>
        <v>9</v>
      </c>
      <c r="AF20" s="15">
        <f t="shared" ca="1" si="18"/>
        <v>9</v>
      </c>
      <c r="AH20" s="15">
        <f t="shared" si="10"/>
        <v>1</v>
      </c>
      <c r="AI20" s="38" t="e">
        <f t="shared" ref="AI20:AI83" si="19">X20/T$5/T$5/9</f>
        <v>#VALUE!</v>
      </c>
      <c r="AJ20" s="29"/>
      <c r="AK20" s="29"/>
      <c r="AL20" s="29"/>
    </row>
    <row r="21" spans="1:38" x14ac:dyDescent="0.2">
      <c r="A21" s="15">
        <v>4</v>
      </c>
      <c r="B21" s="2">
        <f t="shared" si="0"/>
        <v>186.93</v>
      </c>
      <c r="C21" s="25">
        <v>2.2000000000000002</v>
      </c>
      <c r="D21" s="25">
        <v>3.12</v>
      </c>
      <c r="E21" s="25">
        <v>36.86</v>
      </c>
      <c r="F21" s="3" t="str">
        <f t="shared" ca="1" si="1"/>
        <v>ИГЭ-1</v>
      </c>
      <c r="G21" s="30" t="str">
        <f t="shared" ca="1" si="2"/>
        <v>пыл.-глинист.</v>
      </c>
      <c r="I21" s="13">
        <f t="shared" ca="1" si="11"/>
        <v>3000</v>
      </c>
      <c r="J21" s="14">
        <f t="shared" ca="1" si="3"/>
        <v>0.77</v>
      </c>
      <c r="L21" s="14">
        <f t="shared" ca="1" si="4"/>
        <v>0.78900000000000003</v>
      </c>
      <c r="M21" s="22">
        <f t="shared" ca="1" si="12"/>
        <v>6.5595200000000062</v>
      </c>
      <c r="N21" s="37">
        <f t="shared" ca="1" si="5"/>
        <v>1</v>
      </c>
      <c r="O21" s="37">
        <f t="shared" ca="1" si="6"/>
        <v>0</v>
      </c>
      <c r="Q21" s="22" t="str">
        <f t="shared" si="7"/>
        <v/>
      </c>
      <c r="R21" s="22" t="str">
        <f t="shared" si="8"/>
        <v/>
      </c>
      <c r="S21" s="22" t="str">
        <f ca="1">IF(Q21="","",IF(Q21=0,0,SUMPRODUCT(OFFSET(M$18,MATCH(MIN(Q$18:Q$137),Q$18:Q$137,0),0,COUNT(M$18:M21)-MATCH(MIN(Q$18:Q$137),Q$18:Q$137,0),1),OFFSET(M$18,MATCH(MIN(Q$18:Q$137),Q$18:Q$137,0),1,COUNT(M$18:M21)-MATCH(MIN(Q$18:Q$137),Q$18:Q$137,0),1))*$T$6))</f>
        <v/>
      </c>
      <c r="T21" s="22" t="str">
        <f t="shared" si="9"/>
        <v/>
      </c>
      <c r="V21" s="22" t="str">
        <f ca="1">IF(Q21="","",IF(Q21=0,0,SUMPRODUCT(OFFSET(M$18,MATCH(MIN(Q$18:Q$137),Q$18:Q$137,0),0,COUNT(M$18:M21)-MATCH(MIN(Q$18:Q$137),Q$18:Q$137,0),1),OFFSET(M$18,MATCH(MIN(Q$18:Q$137),Q$18:Q$137,0),2,COUNT(M$18:M21)-MATCH(MIN(Q$18:Q$137),Q$18:Q$137,0),1))*$T$6*$T$14))</f>
        <v/>
      </c>
      <c r="W21" s="29"/>
      <c r="X21" s="23" t="str">
        <f t="shared" si="13"/>
        <v/>
      </c>
      <c r="Z21" s="15">
        <f t="shared" si="14"/>
        <v>1.85</v>
      </c>
      <c r="AA21" s="15">
        <f t="shared" si="15"/>
        <v>3.6</v>
      </c>
      <c r="AC21" s="15">
        <f t="shared" si="16"/>
        <v>2</v>
      </c>
      <c r="AD21" s="15">
        <f t="shared" si="17"/>
        <v>11</v>
      </c>
      <c r="AF21" s="15">
        <f t="shared" ca="1" si="18"/>
        <v>10</v>
      </c>
      <c r="AH21" s="15">
        <f t="shared" si="10"/>
        <v>1</v>
      </c>
      <c r="AI21" s="38" t="e">
        <f t="shared" si="19"/>
        <v>#VALUE!</v>
      </c>
      <c r="AJ21" s="29"/>
      <c r="AK21" s="29"/>
      <c r="AL21" s="29"/>
    </row>
    <row r="22" spans="1:38" x14ac:dyDescent="0.2">
      <c r="A22" s="15">
        <v>5</v>
      </c>
      <c r="B22" s="2">
        <f t="shared" si="0"/>
        <v>186.73</v>
      </c>
      <c r="C22" s="25">
        <v>2.4</v>
      </c>
      <c r="D22" s="25">
        <v>4.08</v>
      </c>
      <c r="E22" s="25">
        <v>34.56</v>
      </c>
      <c r="F22" s="3" t="str">
        <f t="shared" ca="1" si="1"/>
        <v>ИГЭ-1</v>
      </c>
      <c r="G22" s="30" t="str">
        <f t="shared" ca="1" si="2"/>
        <v>пыл.-глинист.</v>
      </c>
      <c r="I22" s="13">
        <f t="shared" ca="1" si="11"/>
        <v>3000</v>
      </c>
      <c r="J22" s="14">
        <f t="shared" ca="1" si="3"/>
        <v>0.77</v>
      </c>
      <c r="L22" s="14">
        <f t="shared" ca="1" si="4"/>
        <v>0.81799999999999995</v>
      </c>
      <c r="M22" s="22">
        <f t="shared" ca="1" si="12"/>
        <v>5.7352619999999925</v>
      </c>
      <c r="N22" s="37">
        <f t="shared" ca="1" si="5"/>
        <v>1</v>
      </c>
      <c r="O22" s="37">
        <f t="shared" ca="1" si="6"/>
        <v>0</v>
      </c>
      <c r="Q22" s="22" t="str">
        <f t="shared" si="7"/>
        <v/>
      </c>
      <c r="R22" s="22" t="str">
        <f t="shared" si="8"/>
        <v/>
      </c>
      <c r="S22" s="22" t="str">
        <f ca="1">IF(Q22="","",IF(Q22=0,0,SUMPRODUCT(OFFSET(M$18,MATCH(MIN(Q$18:Q$137),Q$18:Q$137,0),0,COUNT(M$18:M22)-MATCH(MIN(Q$18:Q$137),Q$18:Q$137,0),1),OFFSET(M$18,MATCH(MIN(Q$18:Q$137),Q$18:Q$137,0),1,COUNT(M$18:M22)-MATCH(MIN(Q$18:Q$137),Q$18:Q$137,0),1))*$T$6))</f>
        <v/>
      </c>
      <c r="T22" s="22" t="str">
        <f t="shared" si="9"/>
        <v/>
      </c>
      <c r="V22" s="22" t="str">
        <f ca="1">IF(Q22="","",IF(Q22=0,0,SUMPRODUCT(OFFSET(M$18,MATCH(MIN(Q$18:Q$137),Q$18:Q$137,0),0,COUNT(M$18:M22)-MATCH(MIN(Q$18:Q$137),Q$18:Q$137,0),1),OFFSET(M$18,MATCH(MIN(Q$18:Q$137),Q$18:Q$137,0),2,COUNT(M$18:M22)-MATCH(MIN(Q$18:Q$137),Q$18:Q$137,0),1))*$T$6*$T$14))</f>
        <v/>
      </c>
      <c r="W22" s="29"/>
      <c r="X22" s="23" t="str">
        <f t="shared" si="13"/>
        <v/>
      </c>
      <c r="Z22" s="15">
        <f t="shared" si="14"/>
        <v>2.0499999999999998</v>
      </c>
      <c r="AA22" s="15">
        <f t="shared" si="15"/>
        <v>3.8</v>
      </c>
      <c r="AC22" s="15">
        <f t="shared" si="16"/>
        <v>2</v>
      </c>
      <c r="AD22" s="15">
        <f t="shared" si="17"/>
        <v>11</v>
      </c>
      <c r="AF22" s="15">
        <f t="shared" ca="1" si="18"/>
        <v>10</v>
      </c>
      <c r="AH22" s="15">
        <f t="shared" si="10"/>
        <v>1</v>
      </c>
      <c r="AI22" s="38" t="e">
        <f t="shared" si="19"/>
        <v>#VALUE!</v>
      </c>
      <c r="AJ22" s="29"/>
      <c r="AK22" s="29"/>
      <c r="AL22" s="29"/>
    </row>
    <row r="23" spans="1:38" x14ac:dyDescent="0.2">
      <c r="A23" s="15">
        <v>6</v>
      </c>
      <c r="B23" s="2">
        <f t="shared" si="0"/>
        <v>186.53</v>
      </c>
      <c r="C23" s="25">
        <v>2.6</v>
      </c>
      <c r="D23" s="25">
        <v>5.64</v>
      </c>
      <c r="E23" s="25">
        <v>46.08</v>
      </c>
      <c r="F23" s="3" t="str">
        <f t="shared" ca="1" si="1"/>
        <v>ИГЭ-1</v>
      </c>
      <c r="G23" s="30" t="str">
        <f t="shared" ca="1" si="2"/>
        <v>пыл.-глинист.</v>
      </c>
      <c r="I23" s="13">
        <f t="shared" ca="1" si="11"/>
        <v>2408</v>
      </c>
      <c r="J23" s="14">
        <f t="shared" ca="1" si="3"/>
        <v>0.80600000000000005</v>
      </c>
      <c r="L23" s="14">
        <f t="shared" ca="1" si="4"/>
        <v>0.70399999999999996</v>
      </c>
      <c r="M23" s="22">
        <f t="shared" ca="1" si="12"/>
        <v>6.0710400000000053</v>
      </c>
      <c r="N23" s="37">
        <f t="shared" ca="1" si="5"/>
        <v>1</v>
      </c>
      <c r="O23" s="37">
        <f t="shared" ca="1" si="6"/>
        <v>0</v>
      </c>
      <c r="Q23" s="22" t="str">
        <f t="shared" si="7"/>
        <v/>
      </c>
      <c r="R23" s="22" t="str">
        <f t="shared" si="8"/>
        <v/>
      </c>
      <c r="S23" s="22" t="str">
        <f ca="1">IF(Q23="","",IF(Q23=0,0,SUMPRODUCT(OFFSET(M$18,MATCH(MIN(Q$18:Q$137),Q$18:Q$137,0),0,COUNT(M$18:M23)-MATCH(MIN(Q$18:Q$137),Q$18:Q$137,0),1),OFFSET(M$18,MATCH(MIN(Q$18:Q$137),Q$18:Q$137,0),1,COUNT(M$18:M23)-MATCH(MIN(Q$18:Q$137),Q$18:Q$137,0),1))*$T$6))</f>
        <v/>
      </c>
      <c r="T23" s="22" t="str">
        <f t="shared" si="9"/>
        <v/>
      </c>
      <c r="V23" s="22" t="str">
        <f ca="1">IF(Q23="","",IF(Q23=0,0,SUMPRODUCT(OFFSET(M$18,MATCH(MIN(Q$18:Q$137),Q$18:Q$137,0),0,COUNT(M$18:M23)-MATCH(MIN(Q$18:Q$137),Q$18:Q$137,0),1),OFFSET(M$18,MATCH(MIN(Q$18:Q$137),Q$18:Q$137,0),2,COUNT(M$18:M23)-MATCH(MIN(Q$18:Q$137),Q$18:Q$137,0),1))*$T$6*$T$14))</f>
        <v/>
      </c>
      <c r="W23" s="29"/>
      <c r="X23" s="23" t="str">
        <f t="shared" si="13"/>
        <v/>
      </c>
      <c r="Z23" s="15">
        <f t="shared" si="14"/>
        <v>2.25</v>
      </c>
      <c r="AA23" s="15">
        <f t="shared" si="15"/>
        <v>4</v>
      </c>
      <c r="AC23" s="15">
        <f t="shared" si="16"/>
        <v>4</v>
      </c>
      <c r="AD23" s="15">
        <f t="shared" si="17"/>
        <v>13</v>
      </c>
      <c r="AF23" s="15">
        <f t="shared" ca="1" si="18"/>
        <v>10</v>
      </c>
      <c r="AH23" s="15">
        <f t="shared" si="10"/>
        <v>1</v>
      </c>
      <c r="AI23" s="38" t="e">
        <f t="shared" si="19"/>
        <v>#VALUE!</v>
      </c>
      <c r="AJ23" s="29"/>
      <c r="AK23" s="29"/>
      <c r="AL23" s="29"/>
    </row>
    <row r="24" spans="1:38" x14ac:dyDescent="0.2">
      <c r="A24" s="15">
        <v>7</v>
      </c>
      <c r="B24" s="2">
        <f t="shared" si="0"/>
        <v>186.33</v>
      </c>
      <c r="C24" s="25">
        <v>2.8</v>
      </c>
      <c r="D24" s="25">
        <v>4.68</v>
      </c>
      <c r="E24" s="25">
        <v>62.2</v>
      </c>
      <c r="F24" s="3" t="str">
        <f t="shared" ca="1" si="1"/>
        <v>ИГЭ-1</v>
      </c>
      <c r="G24" s="30" t="str">
        <f t="shared" ca="1" si="2"/>
        <v>пыл.-глинист.</v>
      </c>
      <c r="I24" s="13">
        <f t="shared" ca="1" si="11"/>
        <v>2408</v>
      </c>
      <c r="J24" s="14">
        <f t="shared" ca="1" si="3"/>
        <v>0.80600000000000005</v>
      </c>
      <c r="L24" s="14">
        <f t="shared" ca="1" si="4"/>
        <v>0.58399999999999996</v>
      </c>
      <c r="M24" s="22">
        <f t="shared" ca="1" si="12"/>
        <v>6.8765119999999902</v>
      </c>
      <c r="N24" s="37">
        <f t="shared" ca="1" si="5"/>
        <v>1</v>
      </c>
      <c r="O24" s="37">
        <f t="shared" ca="1" si="6"/>
        <v>0</v>
      </c>
      <c r="Q24" s="22" t="str">
        <f t="shared" si="7"/>
        <v/>
      </c>
      <c r="R24" s="22" t="str">
        <f t="shared" si="8"/>
        <v/>
      </c>
      <c r="S24" s="22" t="str">
        <f ca="1">IF(Q24="","",IF(Q24=0,0,SUMPRODUCT(OFFSET(M$18,MATCH(MIN(Q$18:Q$137),Q$18:Q$137,0),0,COUNT(M$18:M24)-MATCH(MIN(Q$18:Q$137),Q$18:Q$137,0),1),OFFSET(M$18,MATCH(MIN(Q$18:Q$137),Q$18:Q$137,0),1,COUNT(M$18:M24)-MATCH(MIN(Q$18:Q$137),Q$18:Q$137,0),1))*$T$6))</f>
        <v/>
      </c>
      <c r="T24" s="22" t="str">
        <f t="shared" si="9"/>
        <v/>
      </c>
      <c r="V24" s="22" t="str">
        <f ca="1">IF(Q24="","",IF(Q24=0,0,SUMPRODUCT(OFFSET(M$18,MATCH(MIN(Q$18:Q$137),Q$18:Q$137,0),0,COUNT(M$18:M24)-MATCH(MIN(Q$18:Q$137),Q$18:Q$137,0),1),OFFSET(M$18,MATCH(MIN(Q$18:Q$137),Q$18:Q$137,0),2,COUNT(M$18:M24)-MATCH(MIN(Q$18:Q$137),Q$18:Q$137,0),1))*$T$6*$T$14))</f>
        <v/>
      </c>
      <c r="W24" s="29"/>
      <c r="X24" s="23" t="str">
        <f t="shared" si="13"/>
        <v/>
      </c>
      <c r="Z24" s="15">
        <f t="shared" si="14"/>
        <v>2.4499999999999997</v>
      </c>
      <c r="AA24" s="15">
        <f t="shared" si="15"/>
        <v>4.1999999999999993</v>
      </c>
      <c r="AC24" s="15">
        <f t="shared" si="16"/>
        <v>4</v>
      </c>
      <c r="AD24" s="15">
        <f t="shared" si="17"/>
        <v>13</v>
      </c>
      <c r="AF24" s="15">
        <f t="shared" ca="1" si="18"/>
        <v>10</v>
      </c>
      <c r="AH24" s="15">
        <f t="shared" si="10"/>
        <v>1</v>
      </c>
      <c r="AI24" s="38" t="e">
        <f t="shared" si="19"/>
        <v>#VALUE!</v>
      </c>
      <c r="AJ24" s="29"/>
      <c r="AK24" s="29"/>
      <c r="AL24" s="29"/>
    </row>
    <row r="25" spans="1:38" x14ac:dyDescent="0.2">
      <c r="A25" s="15">
        <v>8</v>
      </c>
      <c r="B25" s="2">
        <f t="shared" si="0"/>
        <v>186.13</v>
      </c>
      <c r="C25" s="25">
        <v>3</v>
      </c>
      <c r="D25" s="25">
        <v>3.84</v>
      </c>
      <c r="E25" s="25">
        <v>57.6</v>
      </c>
      <c r="F25" s="3" t="str">
        <f t="shared" ca="1" si="1"/>
        <v>ИГЭ-1</v>
      </c>
      <c r="G25" s="30" t="str">
        <f t="shared" ca="1" si="2"/>
        <v>пыл.-глинист.</v>
      </c>
      <c r="I25" s="13">
        <f t="shared" ca="1" si="11"/>
        <v>1856</v>
      </c>
      <c r="J25" s="14">
        <f t="shared" ca="1" si="3"/>
        <v>0.84299999999999997</v>
      </c>
      <c r="L25" s="14">
        <f t="shared" ca="1" si="4"/>
        <v>0.61799999999999999</v>
      </c>
      <c r="M25" s="22">
        <f t="shared" ca="1" si="12"/>
        <v>7.1921600000000065</v>
      </c>
      <c r="N25" s="37">
        <f t="shared" ca="1" si="5"/>
        <v>1</v>
      </c>
      <c r="O25" s="37">
        <f t="shared" ca="1" si="6"/>
        <v>0</v>
      </c>
      <c r="Q25" s="22">
        <f t="shared" si="7"/>
        <v>0</v>
      </c>
      <c r="R25" s="22">
        <f t="shared" ca="1" si="8"/>
        <v>191.66447999999997</v>
      </c>
      <c r="S25" s="22">
        <f ca="1">IF(Q25="","",IF(Q25=0,0,SUMPRODUCT(OFFSET(M$18,MATCH(MIN(Q$18:Q$137),Q$18:Q$137,0),0,COUNT(M$18:M25)-MATCH(MIN(Q$18:Q$137),Q$18:Q$137,0),1),OFFSET(M$18,MATCH(MIN(Q$18:Q$137),Q$18:Q$137,0),1,COUNT(M$18:M25)-MATCH(MIN(Q$18:Q$137),Q$18:Q$137,0),1))*$T$6))</f>
        <v>0</v>
      </c>
      <c r="T25" s="22">
        <f t="shared" ca="1" si="9"/>
        <v>191.66447999999997</v>
      </c>
      <c r="V25" s="22">
        <f ca="1">IF(Q25="","",IF(Q25=0,0,SUMPRODUCT(OFFSET(M$18,MATCH(MIN(Q$18:Q$137),Q$18:Q$137,0),0,COUNT(M$18:M25)-MATCH(MIN(Q$18:Q$137),Q$18:Q$137,0),1),OFFSET(M$18,MATCH(MIN(Q$18:Q$137),Q$18:Q$137,0),2,COUNT(M$18:M25)-MATCH(MIN(Q$18:Q$137),Q$18:Q$137,0),1))*$T$6*$T$14))</f>
        <v>0</v>
      </c>
      <c r="W25" s="29"/>
      <c r="X25" s="23">
        <f t="shared" ca="1" si="13"/>
        <v>15.630130886850148</v>
      </c>
      <c r="Z25" s="15">
        <f t="shared" si="14"/>
        <v>2.65</v>
      </c>
      <c r="AA25" s="15">
        <f t="shared" si="15"/>
        <v>4.4000000000000004</v>
      </c>
      <c r="AC25" s="15">
        <f t="shared" si="16"/>
        <v>6</v>
      </c>
      <c r="AD25" s="15">
        <f t="shared" si="17"/>
        <v>15</v>
      </c>
      <c r="AF25" s="15">
        <f t="shared" ca="1" si="18"/>
        <v>10</v>
      </c>
      <c r="AH25" s="15">
        <f t="shared" si="10"/>
        <v>1</v>
      </c>
      <c r="AI25" s="38">
        <f t="shared" ca="1" si="19"/>
        <v>14.176989466530749</v>
      </c>
      <c r="AJ25" s="29"/>
      <c r="AK25" s="29"/>
      <c r="AL25" s="29"/>
    </row>
    <row r="26" spans="1:38" x14ac:dyDescent="0.2">
      <c r="A26" s="15">
        <v>9</v>
      </c>
      <c r="B26" s="2">
        <f t="shared" si="0"/>
        <v>185.93</v>
      </c>
      <c r="C26" s="25">
        <v>3.2</v>
      </c>
      <c r="D26" s="25">
        <v>0.48</v>
      </c>
      <c r="E26" s="25">
        <v>9.2200000000000006</v>
      </c>
      <c r="F26" s="3" t="str">
        <f t="shared" ca="1" si="1"/>
        <v>ИГЭ-2</v>
      </c>
      <c r="G26" s="30" t="str">
        <f t="shared" ca="1" si="2"/>
        <v>пыл.-глинист.</v>
      </c>
      <c r="I26" s="13">
        <f t="shared" ca="1" si="11"/>
        <v>1364</v>
      </c>
      <c r="J26" s="14">
        <f t="shared" ca="1" si="3"/>
        <v>0.876</v>
      </c>
      <c r="L26" s="14">
        <f t="shared" ca="1" si="4"/>
        <v>1</v>
      </c>
      <c r="M26" s="22">
        <f t="shared" ca="1" si="12"/>
        <v>4.4816800000000043</v>
      </c>
      <c r="N26" s="37">
        <f t="shared" ca="1" si="5"/>
        <v>1</v>
      </c>
      <c r="O26" s="37">
        <f t="shared" ca="1" si="6"/>
        <v>0</v>
      </c>
      <c r="Q26" s="22">
        <f t="shared" si="7"/>
        <v>0.2</v>
      </c>
      <c r="R26" s="22">
        <f t="shared" ca="1" si="8"/>
        <v>146.37083999999999</v>
      </c>
      <c r="S26" s="22">
        <f ca="1">IF(Q26="","",IF(Q26=0,0,SUMPRODUCT(OFFSET(M$18,MATCH(MIN(Q$18:Q$137),Q$18:Q$137,0),0,COUNT(M$18:M26)-MATCH(MIN(Q$18:Q$137),Q$18:Q$137,0),1),OFFSET(M$18,MATCH(MIN(Q$18:Q$137),Q$18:Q$137,0),1,COUNT(M$18:M26)-MATCH(MIN(Q$18:Q$137),Q$18:Q$137,0),1))*$T$6))</f>
        <v>6.2743520000000057</v>
      </c>
      <c r="T26" s="22">
        <f t="shared" ca="1" si="9"/>
        <v>152.64519199999998</v>
      </c>
      <c r="V26" s="22">
        <f ca="1">IF(Q26="","",IF(Q26=0,0,SUMPRODUCT(OFFSET(M$18,MATCH(MIN(Q$18:Q$137),Q$18:Q$137,0),0,COUNT(M$18:M26)-MATCH(MIN(Q$18:Q$137),Q$18:Q$137,0),1),OFFSET(M$18,MATCH(MIN(Q$18:Q$137),Q$18:Q$137,0),2,COUNT(M$18:M26)-MATCH(MIN(Q$18:Q$137),Q$18:Q$137,0),1))*$T$6*$T$14))</f>
        <v>0</v>
      </c>
      <c r="W26" s="29"/>
      <c r="X26" s="23">
        <f t="shared" ca="1" si="13"/>
        <v>12.38075482670744</v>
      </c>
      <c r="Z26" s="15">
        <f t="shared" si="14"/>
        <v>2.85</v>
      </c>
      <c r="AA26" s="15">
        <f t="shared" si="15"/>
        <v>4.5999999999999996</v>
      </c>
      <c r="AC26" s="15">
        <f t="shared" si="16"/>
        <v>7</v>
      </c>
      <c r="AD26" s="15">
        <f t="shared" si="17"/>
        <v>16</v>
      </c>
      <c r="AF26" s="15">
        <f t="shared" ca="1" si="18"/>
        <v>10</v>
      </c>
      <c r="AH26" s="15">
        <f t="shared" si="10"/>
        <v>2</v>
      </c>
      <c r="AI26" s="38">
        <f t="shared" ca="1" si="19"/>
        <v>11.229709593385433</v>
      </c>
      <c r="AJ26" s="29"/>
      <c r="AK26" s="29"/>
      <c r="AL26" s="29"/>
    </row>
    <row r="27" spans="1:38" x14ac:dyDescent="0.2">
      <c r="A27" s="15">
        <v>10</v>
      </c>
      <c r="B27" s="2">
        <f t="shared" si="0"/>
        <v>185.73</v>
      </c>
      <c r="C27" s="25">
        <v>3.4</v>
      </c>
      <c r="D27" s="25">
        <v>0.48</v>
      </c>
      <c r="E27" s="25">
        <v>4.6100000000000003</v>
      </c>
      <c r="F27" s="3" t="str">
        <f t="shared" ca="1" si="1"/>
        <v>ИГЭ-2</v>
      </c>
      <c r="G27" s="30" t="str">
        <f t="shared" ca="1" si="2"/>
        <v>пыл.-глинист.</v>
      </c>
      <c r="I27" s="13">
        <f t="shared" ca="1" si="11"/>
        <v>1364</v>
      </c>
      <c r="J27" s="14">
        <f t="shared" ca="1" si="3"/>
        <v>0.876</v>
      </c>
      <c r="L27" s="14">
        <f t="shared" ca="1" si="4"/>
        <v>1</v>
      </c>
      <c r="M27" s="22">
        <f t="shared" ca="1" si="12"/>
        <v>1.3829999999999985</v>
      </c>
      <c r="N27" s="37">
        <f t="shared" ca="1" si="5"/>
        <v>1</v>
      </c>
      <c r="O27" s="37">
        <f t="shared" ca="1" si="6"/>
        <v>0</v>
      </c>
      <c r="Q27" s="22">
        <f t="shared" si="7"/>
        <v>0.4</v>
      </c>
      <c r="R27" s="22">
        <f t="shared" ca="1" si="8"/>
        <v>146.37083999999999</v>
      </c>
      <c r="S27" s="22">
        <f ca="1">IF(Q27="","",IF(Q27=0,0,SUMPRODUCT(OFFSET(M$18,MATCH(MIN(Q$18:Q$137),Q$18:Q$137,0),0,COUNT(M$18:M27)-MATCH(MIN(Q$18:Q$137),Q$18:Q$137,0),1),OFFSET(M$18,MATCH(MIN(Q$18:Q$137),Q$18:Q$137,0),1,COUNT(M$18:M27)-MATCH(MIN(Q$18:Q$137),Q$18:Q$137,0),1))*$T$6))</f>
        <v>8.2105520000000034</v>
      </c>
      <c r="T27" s="22">
        <f t="shared" ca="1" si="9"/>
        <v>154.58139199999999</v>
      </c>
      <c r="V27" s="22">
        <f ca="1">IF(Q27="","",IF(Q27=0,0,SUMPRODUCT(OFFSET(M$18,MATCH(MIN(Q$18:Q$137),Q$18:Q$137,0),0,COUNT(M$18:M27)-MATCH(MIN(Q$18:Q$137),Q$18:Q$137,0),1),OFFSET(M$18,MATCH(MIN(Q$18:Q$137),Q$18:Q$137,0),2,COUNT(M$18:M27)-MATCH(MIN(Q$18:Q$137),Q$18:Q$137,0),1))*$T$6*$T$14))</f>
        <v>0</v>
      </c>
      <c r="W27" s="29"/>
      <c r="X27" s="23">
        <f t="shared" ca="1" si="13"/>
        <v>12.471275851172273</v>
      </c>
      <c r="Z27" s="15">
        <f t="shared" si="14"/>
        <v>3.05</v>
      </c>
      <c r="AA27" s="15">
        <f t="shared" si="15"/>
        <v>4.8</v>
      </c>
      <c r="AC27" s="15">
        <f t="shared" si="16"/>
        <v>7</v>
      </c>
      <c r="AD27" s="15">
        <f t="shared" si="17"/>
        <v>16</v>
      </c>
      <c r="AF27" s="15">
        <f t="shared" ca="1" si="18"/>
        <v>10</v>
      </c>
      <c r="AH27" s="15">
        <f t="shared" si="10"/>
        <v>2</v>
      </c>
      <c r="AI27" s="38">
        <f t="shared" ca="1" si="19"/>
        <v>11.31181483099526</v>
      </c>
      <c r="AJ27" s="29"/>
      <c r="AK27" s="29"/>
      <c r="AL27" s="29"/>
    </row>
    <row r="28" spans="1:38" x14ac:dyDescent="0.2">
      <c r="A28" s="15">
        <v>11</v>
      </c>
      <c r="B28" s="2">
        <f t="shared" si="0"/>
        <v>185.53</v>
      </c>
      <c r="C28" s="25">
        <v>3.6</v>
      </c>
      <c r="D28" s="25">
        <v>0.48</v>
      </c>
      <c r="E28" s="25">
        <v>6.91</v>
      </c>
      <c r="F28" s="3" t="str">
        <f t="shared" ca="1" si="1"/>
        <v>ИГЭ-2</v>
      </c>
      <c r="G28" s="30" t="str">
        <f t="shared" ca="1" si="2"/>
        <v>пыл.-глинист.</v>
      </c>
      <c r="I28" s="13">
        <f t="shared" ca="1" si="11"/>
        <v>656</v>
      </c>
      <c r="J28" s="14">
        <f t="shared" ca="1" si="3"/>
        <v>0.9</v>
      </c>
      <c r="L28" s="14">
        <f t="shared" ca="1" si="4"/>
        <v>1</v>
      </c>
      <c r="M28" s="22">
        <f t="shared" ca="1" si="12"/>
        <v>1.152000000000001</v>
      </c>
      <c r="N28" s="37">
        <f t="shared" ca="1" si="5"/>
        <v>1</v>
      </c>
      <c r="O28" s="37">
        <f t="shared" ca="1" si="6"/>
        <v>0</v>
      </c>
      <c r="Q28" s="22">
        <f t="shared" si="7"/>
        <v>0.6</v>
      </c>
      <c r="R28" s="22">
        <f t="shared" ca="1" si="8"/>
        <v>72.323999999999984</v>
      </c>
      <c r="S28" s="22">
        <f ca="1">IF(Q28="","",IF(Q28=0,0,SUMPRODUCT(OFFSET(M$18,MATCH(MIN(Q$18:Q$137),Q$18:Q$137,0),0,COUNT(M$18:M28)-MATCH(MIN(Q$18:Q$137),Q$18:Q$137,0),1),OFFSET(M$18,MATCH(MIN(Q$18:Q$137),Q$18:Q$137,0),1,COUNT(M$18:M28)-MATCH(MIN(Q$18:Q$137),Q$18:Q$137,0),1))*$T$6))</f>
        <v>9.8233520000000052</v>
      </c>
      <c r="T28" s="22">
        <f t="shared" ca="1" si="9"/>
        <v>82.147351999999984</v>
      </c>
      <c r="V28" s="22">
        <f ca="1">IF(Q28="","",IF(Q28=0,0,SUMPRODUCT(OFFSET(M$18,MATCH(MIN(Q$18:Q$137),Q$18:Q$137,0),0,COUNT(M$18:M28)-MATCH(MIN(Q$18:Q$137),Q$18:Q$137,0),1),OFFSET(M$18,MATCH(MIN(Q$18:Q$137),Q$18:Q$137,0),2,COUNT(M$18:M28)-MATCH(MIN(Q$18:Q$137),Q$18:Q$137,0),1))*$T$6*$T$14))</f>
        <v>0</v>
      </c>
      <c r="W28" s="29"/>
      <c r="X28" s="23">
        <f t="shared" ca="1" si="13"/>
        <v>6.4969454994903142</v>
      </c>
      <c r="Z28" s="15">
        <f t="shared" si="14"/>
        <v>3.25</v>
      </c>
      <c r="AA28" s="15">
        <f t="shared" si="15"/>
        <v>5</v>
      </c>
      <c r="AC28" s="15">
        <f t="shared" si="16"/>
        <v>9</v>
      </c>
      <c r="AD28" s="15">
        <f t="shared" si="17"/>
        <v>18</v>
      </c>
      <c r="AF28" s="15">
        <f t="shared" ca="1" si="18"/>
        <v>10</v>
      </c>
      <c r="AH28" s="15">
        <f t="shared" si="10"/>
        <v>2</v>
      </c>
      <c r="AI28" s="38">
        <f t="shared" ca="1" si="19"/>
        <v>5.8929210879730745</v>
      </c>
      <c r="AJ28" s="29"/>
      <c r="AK28" s="29"/>
      <c r="AL28" s="29"/>
    </row>
    <row r="29" spans="1:38" x14ac:dyDescent="0.2">
      <c r="A29" s="15">
        <v>12</v>
      </c>
      <c r="B29" s="2">
        <f t="shared" si="0"/>
        <v>185.33</v>
      </c>
      <c r="C29" s="25">
        <v>3.8</v>
      </c>
      <c r="D29" s="25">
        <v>0.48</v>
      </c>
      <c r="E29" s="25">
        <v>4.6100000000000003</v>
      </c>
      <c r="F29" s="3" t="str">
        <f t="shared" ca="1" si="1"/>
        <v>ИГЭ-2</v>
      </c>
      <c r="G29" s="30" t="str">
        <f t="shared" ca="1" si="2"/>
        <v>пыл.-глинист.</v>
      </c>
      <c r="I29" s="13">
        <f t="shared" ca="1" si="11"/>
        <v>656</v>
      </c>
      <c r="J29" s="14">
        <f t="shared" ca="1" si="3"/>
        <v>0.9</v>
      </c>
      <c r="L29" s="14">
        <f t="shared" ca="1" si="4"/>
        <v>1</v>
      </c>
      <c r="M29" s="22">
        <f t="shared" ca="1" si="12"/>
        <v>1.1519999999999984</v>
      </c>
      <c r="N29" s="37">
        <f t="shared" ca="1" si="5"/>
        <v>1</v>
      </c>
      <c r="O29" s="37">
        <f t="shared" ca="1" si="6"/>
        <v>0</v>
      </c>
      <c r="Q29" s="22">
        <f t="shared" si="7"/>
        <v>0.8</v>
      </c>
      <c r="R29" s="22">
        <f t="shared" ca="1" si="8"/>
        <v>72.323999999999984</v>
      </c>
      <c r="S29" s="22">
        <f ca="1">IF(Q29="","",IF(Q29=0,0,SUMPRODUCT(OFFSET(M$18,MATCH(MIN(Q$18:Q$137),Q$18:Q$137,0),0,COUNT(M$18:M29)-MATCH(MIN(Q$18:Q$137),Q$18:Q$137,0),1),OFFSET(M$18,MATCH(MIN(Q$18:Q$137),Q$18:Q$137,0),1,COUNT(M$18:M29)-MATCH(MIN(Q$18:Q$137),Q$18:Q$137,0),1))*$T$6))</f>
        <v>11.436152000000002</v>
      </c>
      <c r="T29" s="22">
        <f t="shared" ca="1" si="9"/>
        <v>83.760151999999991</v>
      </c>
      <c r="V29" s="22">
        <f ca="1">IF(Q29="","",IF(Q29=0,0,SUMPRODUCT(OFFSET(M$18,MATCH(MIN(Q$18:Q$137),Q$18:Q$137,0),0,COUNT(M$18:M29)-MATCH(MIN(Q$18:Q$137),Q$18:Q$137,0),1),OFFSET(M$18,MATCH(MIN(Q$18:Q$137),Q$18:Q$137,0),2,COUNT(M$18:M29)-MATCH(MIN(Q$18:Q$137),Q$18:Q$137,0),1))*$T$6*$T$14))</f>
        <v>0</v>
      </c>
      <c r="W29" s="29"/>
      <c r="X29" s="23">
        <f t="shared" ca="1" si="13"/>
        <v>6.5610934352701316</v>
      </c>
      <c r="Z29" s="15">
        <f t="shared" si="14"/>
        <v>3.4499999999999997</v>
      </c>
      <c r="AA29" s="15">
        <f t="shared" si="15"/>
        <v>5.1999999999999993</v>
      </c>
      <c r="AC29" s="15">
        <f t="shared" si="16"/>
        <v>9</v>
      </c>
      <c r="AD29" s="15">
        <f t="shared" si="17"/>
        <v>18</v>
      </c>
      <c r="AF29" s="15">
        <f t="shared" ca="1" si="18"/>
        <v>10</v>
      </c>
      <c r="AH29" s="15">
        <f t="shared" si="10"/>
        <v>2</v>
      </c>
      <c r="AI29" s="38">
        <f t="shared" ca="1" si="19"/>
        <v>5.9511051567076025</v>
      </c>
      <c r="AJ29" s="29"/>
      <c r="AK29" s="29"/>
      <c r="AL29" s="29"/>
    </row>
    <row r="30" spans="1:38" x14ac:dyDescent="0.2">
      <c r="A30" s="15">
        <v>13</v>
      </c>
      <c r="B30" s="2">
        <f t="shared" si="0"/>
        <v>185.13</v>
      </c>
      <c r="C30" s="25">
        <v>4</v>
      </c>
      <c r="D30" s="25">
        <v>0.8</v>
      </c>
      <c r="E30" s="25">
        <v>6.91</v>
      </c>
      <c r="F30" s="3" t="str">
        <f t="shared" ca="1" si="1"/>
        <v>ИГЭ-2</v>
      </c>
      <c r="G30" s="30" t="str">
        <f t="shared" ca="1" si="2"/>
        <v>пыл.-глинист.</v>
      </c>
      <c r="I30" s="13">
        <f t="shared" ca="1" si="11"/>
        <v>692</v>
      </c>
      <c r="J30" s="14">
        <f t="shared" ca="1" si="3"/>
        <v>0.9</v>
      </c>
      <c r="L30" s="14">
        <f t="shared" ca="1" si="4"/>
        <v>1</v>
      </c>
      <c r="M30" s="22">
        <f t="shared" ca="1" si="12"/>
        <v>1.152000000000001</v>
      </c>
      <c r="N30" s="37">
        <f t="shared" ca="1" si="5"/>
        <v>1</v>
      </c>
      <c r="O30" s="37">
        <f t="shared" ca="1" si="6"/>
        <v>0</v>
      </c>
      <c r="Q30" s="22">
        <f t="shared" si="7"/>
        <v>1</v>
      </c>
      <c r="R30" s="22">
        <f t="shared" ca="1" si="8"/>
        <v>76.292999999999992</v>
      </c>
      <c r="S30" s="22">
        <f ca="1">IF(Q30="","",IF(Q30=0,0,SUMPRODUCT(OFFSET(M$18,MATCH(MIN(Q$18:Q$137),Q$18:Q$137,0),0,COUNT(M$18:M30)-MATCH(MIN(Q$18:Q$137),Q$18:Q$137,0),1),OFFSET(M$18,MATCH(MIN(Q$18:Q$137),Q$18:Q$137,0),1,COUNT(M$18:M30)-MATCH(MIN(Q$18:Q$137),Q$18:Q$137,0),1))*$T$6))</f>
        <v>13.048952000000003</v>
      </c>
      <c r="T30" s="22">
        <f t="shared" ca="1" si="9"/>
        <v>89.341951999999992</v>
      </c>
      <c r="V30" s="22">
        <f ca="1">IF(Q30="","",IF(Q30=0,0,SUMPRODUCT(OFFSET(M$18,MATCH(MIN(Q$18:Q$137),Q$18:Q$137,0),0,COUNT(M$18:M30)-MATCH(MIN(Q$18:Q$137),Q$18:Q$137,0),1),OFFSET(M$18,MATCH(MIN(Q$18:Q$137),Q$18:Q$137,0),2,COUNT(M$18:M30)-MATCH(MIN(Q$18:Q$137),Q$18:Q$137,0),1))*$T$6*$T$14))</f>
        <v>0</v>
      </c>
      <c r="W30" s="29"/>
      <c r="X30" s="23">
        <f t="shared" ca="1" si="13"/>
        <v>6.9489110958205904</v>
      </c>
      <c r="Z30" s="15">
        <f t="shared" si="14"/>
        <v>3.65</v>
      </c>
      <c r="AA30" s="15">
        <f t="shared" si="15"/>
        <v>5.4</v>
      </c>
      <c r="AC30" s="15">
        <f t="shared" si="16"/>
        <v>11</v>
      </c>
      <c r="AD30" s="15">
        <f t="shared" si="17"/>
        <v>20</v>
      </c>
      <c r="AF30" s="15">
        <f t="shared" ca="1" si="18"/>
        <v>10</v>
      </c>
      <c r="AH30" s="15">
        <f t="shared" si="10"/>
        <v>2</v>
      </c>
      <c r="AI30" s="38">
        <f t="shared" ca="1" si="19"/>
        <v>6.3028672070935077</v>
      </c>
      <c r="AJ30" s="29"/>
      <c r="AK30" s="29"/>
      <c r="AL30" s="29"/>
    </row>
    <row r="31" spans="1:38" x14ac:dyDescent="0.2">
      <c r="A31" s="15">
        <v>14</v>
      </c>
      <c r="B31" s="2">
        <f t="shared" si="0"/>
        <v>184.93</v>
      </c>
      <c r="C31" s="25">
        <v>4.2</v>
      </c>
      <c r="D31" s="25">
        <v>0.84</v>
      </c>
      <c r="E31" s="25">
        <v>13.82</v>
      </c>
      <c r="F31" s="3" t="str">
        <f t="shared" ca="1" si="1"/>
        <v>ИГЭ-2</v>
      </c>
      <c r="G31" s="30" t="str">
        <f t="shared" ca="1" si="2"/>
        <v>пыл.-глинист.</v>
      </c>
      <c r="I31" s="13">
        <f t="shared" ca="1" si="11"/>
        <v>716</v>
      </c>
      <c r="J31" s="14">
        <f t="shared" ca="1" si="3"/>
        <v>0.9</v>
      </c>
      <c r="L31" s="14">
        <f t="shared" ca="1" si="4"/>
        <v>1</v>
      </c>
      <c r="M31" s="22">
        <f t="shared" ca="1" si="12"/>
        <v>2.0730000000000017</v>
      </c>
      <c r="N31" s="37">
        <f t="shared" ca="1" si="5"/>
        <v>1</v>
      </c>
      <c r="O31" s="37">
        <f t="shared" ca="1" si="6"/>
        <v>0</v>
      </c>
      <c r="Q31" s="22">
        <f t="shared" si="7"/>
        <v>1.2</v>
      </c>
      <c r="R31" s="22">
        <f t="shared" ca="1" si="8"/>
        <v>78.938999999999993</v>
      </c>
      <c r="S31" s="22">
        <f ca="1">IF(Q31="","",IF(Q31=0,0,SUMPRODUCT(OFFSET(M$18,MATCH(MIN(Q$18:Q$137),Q$18:Q$137,0),0,COUNT(M$18:M31)-MATCH(MIN(Q$18:Q$137),Q$18:Q$137,0),1),OFFSET(M$18,MATCH(MIN(Q$18:Q$137),Q$18:Q$137,0),1,COUNT(M$18:M31)-MATCH(MIN(Q$18:Q$137),Q$18:Q$137,0),1))*$T$6))</f>
        <v>15.951152000000006</v>
      </c>
      <c r="T31" s="22">
        <f t="shared" ca="1" si="9"/>
        <v>94.890152</v>
      </c>
      <c r="V31" s="22">
        <f ca="1">IF(Q31="","",IF(Q31=0,0,SUMPRODUCT(OFFSET(M$18,MATCH(MIN(Q$18:Q$137),Q$18:Q$137,0),0,COUNT(M$18:M31)-MATCH(MIN(Q$18:Q$137),Q$18:Q$137,0),1),OFFSET(M$18,MATCH(MIN(Q$18:Q$137),Q$18:Q$137,0),2,COUNT(M$18:M31)-MATCH(MIN(Q$18:Q$137),Q$18:Q$137,0),1))*$T$6*$T$14))</f>
        <v>0</v>
      </c>
      <c r="W31" s="29"/>
      <c r="X31" s="23">
        <f t="shared" ca="1" si="13"/>
        <v>7.3339886952089701</v>
      </c>
      <c r="Z31" s="15">
        <f t="shared" si="14"/>
        <v>3.85</v>
      </c>
      <c r="AA31" s="15">
        <f t="shared" si="15"/>
        <v>5.6</v>
      </c>
      <c r="AC31" s="15">
        <f t="shared" si="16"/>
        <v>12</v>
      </c>
      <c r="AD31" s="15">
        <f t="shared" si="17"/>
        <v>21</v>
      </c>
      <c r="AF31" s="15">
        <f t="shared" ca="1" si="18"/>
        <v>10</v>
      </c>
      <c r="AH31" s="15">
        <f t="shared" si="10"/>
        <v>2</v>
      </c>
      <c r="AI31" s="38">
        <f t="shared" ca="1" si="19"/>
        <v>6.6521439412326266</v>
      </c>
      <c r="AJ31" s="29"/>
      <c r="AK31" s="29"/>
      <c r="AL31" s="29"/>
    </row>
    <row r="32" spans="1:38" x14ac:dyDescent="0.2">
      <c r="A32" s="15">
        <v>15</v>
      </c>
      <c r="B32" s="2">
        <f t="shared" si="0"/>
        <v>184.73</v>
      </c>
      <c r="C32" s="25">
        <v>4.4000000000000004</v>
      </c>
      <c r="D32" s="25">
        <v>0.84</v>
      </c>
      <c r="E32" s="25">
        <v>11.52</v>
      </c>
      <c r="F32" s="3" t="str">
        <f t="shared" ca="1" si="1"/>
        <v>ИГЭ-2</v>
      </c>
      <c r="G32" s="30" t="str">
        <f t="shared" ca="1" si="2"/>
        <v>пыл.-глинист.</v>
      </c>
      <c r="I32" s="13">
        <f t="shared" ca="1" si="11"/>
        <v>740</v>
      </c>
      <c r="J32" s="14">
        <f t="shared" ca="1" si="3"/>
        <v>0.9</v>
      </c>
      <c r="L32" s="14">
        <f t="shared" ca="1" si="4"/>
        <v>1</v>
      </c>
      <c r="M32" s="22">
        <f t="shared" ca="1" si="12"/>
        <v>2.534000000000002</v>
      </c>
      <c r="N32" s="37">
        <f t="shared" ca="1" si="5"/>
        <v>1</v>
      </c>
      <c r="O32" s="37">
        <f t="shared" ca="1" si="6"/>
        <v>0</v>
      </c>
      <c r="Q32" s="22">
        <f t="shared" si="7"/>
        <v>1.4</v>
      </c>
      <c r="R32" s="22">
        <f t="shared" ca="1" si="8"/>
        <v>81.584999999999994</v>
      </c>
      <c r="S32" s="22">
        <f ca="1">IF(Q32="","",IF(Q32=0,0,SUMPRODUCT(OFFSET(M$18,MATCH(MIN(Q$18:Q$137),Q$18:Q$137,0),0,COUNT(M$18:M32)-MATCH(MIN(Q$18:Q$137),Q$18:Q$137,0),1),OFFSET(M$18,MATCH(MIN(Q$18:Q$137),Q$18:Q$137,0),1,COUNT(M$18:M32)-MATCH(MIN(Q$18:Q$137),Q$18:Q$137,0),1))*$T$6))</f>
        <v>19.49875200000001</v>
      </c>
      <c r="T32" s="22">
        <f t="shared" ca="1" si="9"/>
        <v>101.083752</v>
      </c>
      <c r="V32" s="22">
        <f ca="1">IF(Q32="","",IF(Q32=0,0,SUMPRODUCT(OFFSET(M$18,MATCH(MIN(Q$18:Q$137),Q$18:Q$137,0),0,COUNT(M$18:M32)-MATCH(MIN(Q$18:Q$137),Q$18:Q$137,0),1),OFFSET(M$18,MATCH(MIN(Q$18:Q$137),Q$18:Q$137,0),2,COUNT(M$18:M32)-MATCH(MIN(Q$18:Q$137),Q$18:Q$137,0),1))*$T$6*$T$14))</f>
        <v>0</v>
      </c>
      <c r="W32" s="29"/>
      <c r="X32" s="23">
        <f t="shared" ca="1" si="13"/>
        <v>7.771698302752295</v>
      </c>
      <c r="Z32" s="15">
        <f t="shared" si="14"/>
        <v>4.0500000000000007</v>
      </c>
      <c r="AA32" s="15">
        <f t="shared" si="15"/>
        <v>5.8000000000000007</v>
      </c>
      <c r="AC32" s="15">
        <f t="shared" si="16"/>
        <v>13</v>
      </c>
      <c r="AD32" s="15">
        <f t="shared" si="17"/>
        <v>22</v>
      </c>
      <c r="AF32" s="15">
        <f t="shared" ca="1" si="18"/>
        <v>10</v>
      </c>
      <c r="AH32" s="15">
        <f t="shared" si="10"/>
        <v>2</v>
      </c>
      <c r="AI32" s="38">
        <f t="shared" ca="1" si="19"/>
        <v>7.0491594582787265</v>
      </c>
      <c r="AJ32" s="29"/>
      <c r="AK32" s="29"/>
      <c r="AL32" s="29"/>
    </row>
    <row r="33" spans="1:38" x14ac:dyDescent="0.2">
      <c r="A33" s="15">
        <v>16</v>
      </c>
      <c r="B33" s="2">
        <f t="shared" si="0"/>
        <v>184.53</v>
      </c>
      <c r="C33" s="25">
        <v>4.5999999999999996</v>
      </c>
      <c r="D33" s="25">
        <v>0.72</v>
      </c>
      <c r="E33" s="25">
        <v>9.2200000000000006</v>
      </c>
      <c r="F33" s="3" t="str">
        <f t="shared" ca="1" si="1"/>
        <v>ИГЭ-2</v>
      </c>
      <c r="G33" s="30" t="str">
        <f t="shared" ca="1" si="2"/>
        <v>пыл.-глинист.</v>
      </c>
      <c r="I33" s="13">
        <f t="shared" ca="1" si="11"/>
        <v>738</v>
      </c>
      <c r="J33" s="14">
        <f t="shared" ca="1" si="3"/>
        <v>0.9</v>
      </c>
      <c r="L33" s="14">
        <f t="shared" ca="1" si="4"/>
        <v>1</v>
      </c>
      <c r="M33" s="22">
        <f t="shared" ca="1" si="12"/>
        <v>2.0739999999999927</v>
      </c>
      <c r="N33" s="37">
        <f t="shared" ca="1" si="5"/>
        <v>1</v>
      </c>
      <c r="O33" s="37">
        <f t="shared" ca="1" si="6"/>
        <v>0</v>
      </c>
      <c r="Q33" s="22">
        <f t="shared" si="7"/>
        <v>1.6</v>
      </c>
      <c r="R33" s="22">
        <f t="shared" ca="1" si="8"/>
        <v>81.364499999999992</v>
      </c>
      <c r="S33" s="22">
        <f ca="1">IF(Q33="","",IF(Q33=0,0,SUMPRODUCT(OFFSET(M$18,MATCH(MIN(Q$18:Q$137),Q$18:Q$137,0),0,COUNT(M$18:M33)-MATCH(MIN(Q$18:Q$137),Q$18:Q$137,0),1),OFFSET(M$18,MATCH(MIN(Q$18:Q$137),Q$18:Q$137,0),1,COUNT(M$18:M33)-MATCH(MIN(Q$18:Q$137),Q$18:Q$137,0),1))*$T$6))</f>
        <v>22.402352</v>
      </c>
      <c r="T33" s="22">
        <f t="shared" ca="1" si="9"/>
        <v>103.766852</v>
      </c>
      <c r="V33" s="22">
        <f ca="1">IF(Q33="","",IF(Q33=0,0,SUMPRODUCT(OFFSET(M$18,MATCH(MIN(Q$18:Q$137),Q$18:Q$137,0),0,COUNT(M$18:M33)-MATCH(MIN(Q$18:Q$137),Q$18:Q$137,0),1),OFFSET(M$18,MATCH(MIN(Q$18:Q$137),Q$18:Q$137,0),2,COUNT(M$18:M33)-MATCH(MIN(Q$18:Q$137),Q$18:Q$137,0),1))*$T$6*$T$14))</f>
        <v>0</v>
      </c>
      <c r="W33" s="29"/>
      <c r="X33" s="23">
        <f t="shared" ca="1" si="13"/>
        <v>7.9231286034658517</v>
      </c>
      <c r="Z33" s="15">
        <f t="shared" si="14"/>
        <v>4.25</v>
      </c>
      <c r="AA33" s="15">
        <f t="shared" si="15"/>
        <v>6</v>
      </c>
      <c r="AC33" s="15">
        <f t="shared" si="16"/>
        <v>13</v>
      </c>
      <c r="AD33" s="15">
        <f t="shared" si="17"/>
        <v>23</v>
      </c>
      <c r="AF33" s="15">
        <f t="shared" ca="1" si="18"/>
        <v>11</v>
      </c>
      <c r="AH33" s="15">
        <f t="shared" si="10"/>
        <v>2</v>
      </c>
      <c r="AI33" s="38">
        <f t="shared" ca="1" si="19"/>
        <v>7.1865112049576902</v>
      </c>
      <c r="AJ33" s="29"/>
      <c r="AK33" s="29"/>
      <c r="AL33" s="29"/>
    </row>
    <row r="34" spans="1:38" x14ac:dyDescent="0.2">
      <c r="A34" s="15">
        <v>17</v>
      </c>
      <c r="B34" s="2">
        <f t="shared" si="0"/>
        <v>184.33</v>
      </c>
      <c r="C34" s="25">
        <v>4.8</v>
      </c>
      <c r="D34" s="25">
        <v>0.72</v>
      </c>
      <c r="E34" s="25">
        <v>9.2200000000000006</v>
      </c>
      <c r="F34" s="3" t="str">
        <f t="shared" ca="1" si="1"/>
        <v>ИГЭ-2</v>
      </c>
      <c r="G34" s="30" t="str">
        <f t="shared" ca="1" si="2"/>
        <v>пыл.-глинист.</v>
      </c>
      <c r="I34" s="13">
        <f t="shared" ca="1" si="11"/>
        <v>720</v>
      </c>
      <c r="J34" s="14">
        <f t="shared" ca="1" si="3"/>
        <v>0.9</v>
      </c>
      <c r="L34" s="14">
        <f t="shared" ca="1" si="4"/>
        <v>1</v>
      </c>
      <c r="M34" s="22">
        <f t="shared" ca="1" si="12"/>
        <v>1.8440000000000019</v>
      </c>
      <c r="N34" s="37">
        <f t="shared" ca="1" si="5"/>
        <v>1</v>
      </c>
      <c r="O34" s="37">
        <f t="shared" ca="1" si="6"/>
        <v>0</v>
      </c>
      <c r="Q34" s="22">
        <f t="shared" si="7"/>
        <v>1.8</v>
      </c>
      <c r="R34" s="22">
        <f t="shared" ca="1" si="8"/>
        <v>79.38</v>
      </c>
      <c r="S34" s="22">
        <f ca="1">IF(Q34="","",IF(Q34=0,0,SUMPRODUCT(OFFSET(M$18,MATCH(MIN(Q$18:Q$137),Q$18:Q$137,0),0,COUNT(M$18:M34)-MATCH(MIN(Q$18:Q$137),Q$18:Q$137,0),1),OFFSET(M$18,MATCH(MIN(Q$18:Q$137),Q$18:Q$137,0),1,COUNT(M$18:M34)-MATCH(MIN(Q$18:Q$137),Q$18:Q$137,0),1))*$T$6))</f>
        <v>24.983952000000002</v>
      </c>
      <c r="T34" s="22">
        <f t="shared" ca="1" si="9"/>
        <v>104.363952</v>
      </c>
      <c r="V34" s="22">
        <f ca="1">IF(Q34="","",IF(Q34=0,0,SUMPRODUCT(OFFSET(M$18,MATCH(MIN(Q$18:Q$137),Q$18:Q$137,0),0,COUNT(M$18:M34)-MATCH(MIN(Q$18:Q$137),Q$18:Q$137,0),1),OFFSET(M$18,MATCH(MIN(Q$18:Q$137),Q$18:Q$137,0),2,COUNT(M$18:M34)-MATCH(MIN(Q$18:Q$137),Q$18:Q$137,0),1))*$T$6*$T$14))</f>
        <v>0</v>
      </c>
      <c r="W34" s="29"/>
      <c r="X34" s="23">
        <f t="shared" ca="1" si="13"/>
        <v>7.9044467737003057</v>
      </c>
      <c r="Z34" s="15">
        <f t="shared" si="14"/>
        <v>4.45</v>
      </c>
      <c r="AA34" s="15">
        <f t="shared" si="15"/>
        <v>6.1999999999999993</v>
      </c>
      <c r="AC34" s="15">
        <f t="shared" si="16"/>
        <v>15</v>
      </c>
      <c r="AD34" s="15">
        <f t="shared" si="17"/>
        <v>24</v>
      </c>
      <c r="AF34" s="15">
        <f t="shared" ca="1" si="18"/>
        <v>10</v>
      </c>
      <c r="AH34" s="15">
        <f t="shared" si="10"/>
        <v>2</v>
      </c>
      <c r="AI34" s="38">
        <f t="shared" ca="1" si="19"/>
        <v>7.169566234648804</v>
      </c>
      <c r="AJ34" s="29"/>
      <c r="AK34" s="29"/>
      <c r="AL34" s="29"/>
    </row>
    <row r="35" spans="1:38" x14ac:dyDescent="0.2">
      <c r="A35" s="15">
        <v>18</v>
      </c>
      <c r="B35" s="2">
        <f t="shared" si="0"/>
        <v>184.13</v>
      </c>
      <c r="C35" s="25">
        <v>5</v>
      </c>
      <c r="D35" s="25">
        <v>0.72</v>
      </c>
      <c r="E35" s="25">
        <v>9.2200000000000006</v>
      </c>
      <c r="F35" s="3" t="str">
        <f t="shared" ca="1" si="1"/>
        <v>ИГЭ-2</v>
      </c>
      <c r="G35" s="30" t="str">
        <f t="shared" ca="1" si="2"/>
        <v>пыл.-глинист.</v>
      </c>
      <c r="I35" s="13">
        <f t="shared" ca="1" si="11"/>
        <v>708</v>
      </c>
      <c r="J35" s="14">
        <f t="shared" ca="1" si="3"/>
        <v>0.9</v>
      </c>
      <c r="L35" s="14">
        <f t="shared" ca="1" si="4"/>
        <v>1</v>
      </c>
      <c r="M35" s="22">
        <f t="shared" ca="1" si="12"/>
        <v>1.8440000000000019</v>
      </c>
      <c r="N35" s="37">
        <f t="shared" ca="1" si="5"/>
        <v>1</v>
      </c>
      <c r="O35" s="37">
        <f t="shared" ca="1" si="6"/>
        <v>0</v>
      </c>
      <c r="Q35" s="22">
        <f t="shared" si="7"/>
        <v>2</v>
      </c>
      <c r="R35" s="22">
        <f t="shared" ca="1" si="8"/>
        <v>78.057000000000002</v>
      </c>
      <c r="S35" s="22">
        <f ca="1">IF(Q35="","",IF(Q35=0,0,SUMPRODUCT(OFFSET(M$18,MATCH(MIN(Q$18:Q$137),Q$18:Q$137,0),0,COUNT(M$18:M35)-MATCH(MIN(Q$18:Q$137),Q$18:Q$137,0),1),OFFSET(M$18,MATCH(MIN(Q$18:Q$137),Q$18:Q$137,0),1,COUNT(M$18:M35)-MATCH(MIN(Q$18:Q$137),Q$18:Q$137,0),1))*$T$6))</f>
        <v>27.565552000000004</v>
      </c>
      <c r="T35" s="22">
        <f t="shared" ca="1" si="9"/>
        <v>105.62255200000001</v>
      </c>
      <c r="V35" s="22">
        <f ca="1">IF(Q35="","",IF(Q35=0,0,SUMPRODUCT(OFFSET(M$18,MATCH(MIN(Q$18:Q$137),Q$18:Q$137,0),0,COUNT(M$18:M35)-MATCH(MIN(Q$18:Q$137),Q$18:Q$137,0),1),OFFSET(M$18,MATCH(MIN(Q$18:Q$137),Q$18:Q$137,0),2,COUNT(M$18:M35)-MATCH(MIN(Q$18:Q$137),Q$18:Q$137,0),1))*$T$6*$T$14))</f>
        <v>0</v>
      </c>
      <c r="W35" s="29"/>
      <c r="X35" s="23">
        <f t="shared" ca="1" si="13"/>
        <v>7.9397098980632013</v>
      </c>
      <c r="Z35" s="15">
        <f t="shared" si="14"/>
        <v>4.6500000000000004</v>
      </c>
      <c r="AA35" s="15">
        <f t="shared" si="15"/>
        <v>6.4</v>
      </c>
      <c r="AC35" s="15">
        <f t="shared" si="16"/>
        <v>16</v>
      </c>
      <c r="AD35" s="15">
        <f t="shared" si="17"/>
        <v>25</v>
      </c>
      <c r="AF35" s="15">
        <f t="shared" ca="1" si="18"/>
        <v>10</v>
      </c>
      <c r="AH35" s="15">
        <f t="shared" si="10"/>
        <v>2</v>
      </c>
      <c r="AI35" s="38">
        <f t="shared" ca="1" si="19"/>
        <v>7.2015509279484826</v>
      </c>
      <c r="AJ35" s="29"/>
      <c r="AK35" s="29"/>
      <c r="AL35" s="29"/>
    </row>
    <row r="36" spans="1:38" x14ac:dyDescent="0.2">
      <c r="A36" s="15">
        <v>19</v>
      </c>
      <c r="B36" s="2">
        <f t="shared" si="0"/>
        <v>183.93</v>
      </c>
      <c r="C36" s="25">
        <v>5.2</v>
      </c>
      <c r="D36" s="25">
        <v>0.72</v>
      </c>
      <c r="E36" s="25">
        <v>11.52</v>
      </c>
      <c r="F36" s="3" t="str">
        <f t="shared" ca="1" si="1"/>
        <v>ИГЭ-2</v>
      </c>
      <c r="G36" s="30" t="str">
        <f t="shared" ca="1" si="2"/>
        <v>пыл.-глинист.</v>
      </c>
      <c r="I36" s="13">
        <f t="shared" ca="1" si="11"/>
        <v>708</v>
      </c>
      <c r="J36" s="14">
        <f t="shared" ca="1" si="3"/>
        <v>0.9</v>
      </c>
      <c r="L36" s="14">
        <f t="shared" ca="1" si="4"/>
        <v>1</v>
      </c>
      <c r="M36" s="22">
        <f t="shared" ca="1" si="12"/>
        <v>2.0740000000000021</v>
      </c>
      <c r="N36" s="37">
        <f t="shared" ca="1" si="5"/>
        <v>1</v>
      </c>
      <c r="O36" s="37">
        <f t="shared" ca="1" si="6"/>
        <v>0</v>
      </c>
      <c r="Q36" s="22">
        <f t="shared" si="7"/>
        <v>2.2000000000000002</v>
      </c>
      <c r="R36" s="22">
        <f t="shared" ca="1" si="8"/>
        <v>78.057000000000002</v>
      </c>
      <c r="S36" s="22">
        <f ca="1">IF(Q36="","",IF(Q36=0,0,SUMPRODUCT(OFFSET(M$18,MATCH(MIN(Q$18:Q$137),Q$18:Q$137,0),0,COUNT(M$18:M36)-MATCH(MIN(Q$18:Q$137),Q$18:Q$137,0),1),OFFSET(M$18,MATCH(MIN(Q$18:Q$137),Q$18:Q$137,0),1,COUNT(M$18:M36)-MATCH(MIN(Q$18:Q$137),Q$18:Q$137,0),1))*$T$6))</f>
        <v>30.469152000000005</v>
      </c>
      <c r="T36" s="22">
        <f t="shared" ca="1" si="9"/>
        <v>108.52615200000001</v>
      </c>
      <c r="V36" s="22">
        <f ca="1">IF(Q36="","",IF(Q36=0,0,SUMPRODUCT(OFFSET(M$18,MATCH(MIN(Q$18:Q$137),Q$18:Q$137,0),0,COUNT(M$18:M36)-MATCH(MIN(Q$18:Q$137),Q$18:Q$137,0),1),OFFSET(M$18,MATCH(MIN(Q$18:Q$137),Q$18:Q$137,0),2,COUNT(M$18:M36)-MATCH(MIN(Q$18:Q$137),Q$18:Q$137,0),1))*$T$6*$T$14))</f>
        <v>0</v>
      </c>
      <c r="W36" s="29"/>
      <c r="X36" s="23">
        <f t="shared" ca="1" si="13"/>
        <v>8.1091218501529045</v>
      </c>
      <c r="Z36" s="15">
        <f t="shared" si="14"/>
        <v>4.8500000000000005</v>
      </c>
      <c r="AA36" s="15">
        <f t="shared" si="15"/>
        <v>6.6</v>
      </c>
      <c r="AC36" s="15">
        <f t="shared" si="16"/>
        <v>17</v>
      </c>
      <c r="AD36" s="15">
        <f t="shared" si="17"/>
        <v>26</v>
      </c>
      <c r="AF36" s="15">
        <f t="shared" ca="1" si="18"/>
        <v>10</v>
      </c>
      <c r="AH36" s="15">
        <f t="shared" si="10"/>
        <v>2</v>
      </c>
      <c r="AI36" s="38">
        <f t="shared" ca="1" si="19"/>
        <v>7.3552125624969671</v>
      </c>
      <c r="AJ36" s="29"/>
      <c r="AK36" s="29"/>
      <c r="AL36" s="29"/>
    </row>
    <row r="37" spans="1:38" x14ac:dyDescent="0.2">
      <c r="A37" s="15">
        <v>20</v>
      </c>
      <c r="B37" s="2">
        <f t="shared" si="0"/>
        <v>183.73</v>
      </c>
      <c r="C37" s="25">
        <v>5.4</v>
      </c>
      <c r="D37" s="25">
        <v>0.6</v>
      </c>
      <c r="E37" s="25">
        <v>11.52</v>
      </c>
      <c r="F37" s="3" t="str">
        <f t="shared" ca="1" si="1"/>
        <v>ИГЭ-2</v>
      </c>
      <c r="G37" s="30" t="str">
        <f t="shared" ca="1" si="2"/>
        <v>пыл.-глинист.</v>
      </c>
      <c r="I37" s="13">
        <f t="shared" ca="1" si="11"/>
        <v>708</v>
      </c>
      <c r="J37" s="14">
        <f t="shared" ca="1" si="3"/>
        <v>0.9</v>
      </c>
      <c r="L37" s="14">
        <f t="shared" ca="1" si="4"/>
        <v>1</v>
      </c>
      <c r="M37" s="22">
        <f t="shared" ca="1" si="12"/>
        <v>2.304000000000002</v>
      </c>
      <c r="N37" s="37">
        <f t="shared" ca="1" si="5"/>
        <v>1</v>
      </c>
      <c r="O37" s="37">
        <f t="shared" ca="1" si="6"/>
        <v>0</v>
      </c>
      <c r="Q37" s="22">
        <f t="shared" si="7"/>
        <v>2.4</v>
      </c>
      <c r="R37" s="22">
        <f t="shared" ca="1" si="8"/>
        <v>78.057000000000002</v>
      </c>
      <c r="S37" s="22">
        <f ca="1">IF(Q37="","",IF(Q37=0,0,SUMPRODUCT(OFFSET(M$18,MATCH(MIN(Q$18:Q$137),Q$18:Q$137,0),0,COUNT(M$18:M37)-MATCH(MIN(Q$18:Q$137),Q$18:Q$137,0),1),OFFSET(M$18,MATCH(MIN(Q$18:Q$137),Q$18:Q$137,0),1,COUNT(M$18:M37)-MATCH(MIN(Q$18:Q$137),Q$18:Q$137,0),1))*$T$6))</f>
        <v>33.694752000000008</v>
      </c>
      <c r="T37" s="22">
        <f t="shared" ca="1" si="9"/>
        <v>111.75175200000001</v>
      </c>
      <c r="V37" s="22">
        <f ca="1">IF(Q37="","",IF(Q37=0,0,SUMPRODUCT(OFFSET(M$18,MATCH(MIN(Q$18:Q$137),Q$18:Q$137,0),0,COUNT(M$18:M37)-MATCH(MIN(Q$18:Q$137),Q$18:Q$137,0),1),OFFSET(M$18,MATCH(MIN(Q$18:Q$137),Q$18:Q$137,0),2,COUNT(M$18:M37)-MATCH(MIN(Q$18:Q$137),Q$18:Q$137,0),1))*$T$6*$T$14))</f>
        <v>0</v>
      </c>
      <c r="W37" s="29"/>
      <c r="X37" s="23">
        <f t="shared" ca="1" si="13"/>
        <v>8.3047927217125395</v>
      </c>
      <c r="Z37" s="15">
        <f t="shared" si="14"/>
        <v>5.0500000000000007</v>
      </c>
      <c r="AA37" s="15">
        <f t="shared" si="15"/>
        <v>6.8000000000000007</v>
      </c>
      <c r="AC37" s="15">
        <f t="shared" si="16"/>
        <v>18</v>
      </c>
      <c r="AD37" s="15">
        <f t="shared" si="17"/>
        <v>27</v>
      </c>
      <c r="AF37" s="15">
        <f t="shared" ca="1" si="18"/>
        <v>10</v>
      </c>
      <c r="AH37" s="15">
        <f t="shared" si="10"/>
        <v>2</v>
      </c>
      <c r="AI37" s="38">
        <f t="shared" ca="1" si="19"/>
        <v>7.5326918110771333</v>
      </c>
      <c r="AJ37" s="29"/>
      <c r="AK37" s="29"/>
      <c r="AL37" s="29"/>
    </row>
    <row r="38" spans="1:38" x14ac:dyDescent="0.2">
      <c r="A38" s="15">
        <v>21</v>
      </c>
      <c r="B38" s="2">
        <f t="shared" si="0"/>
        <v>183.53</v>
      </c>
      <c r="C38" s="25">
        <v>5.6</v>
      </c>
      <c r="D38" s="25">
        <v>0.72</v>
      </c>
      <c r="E38" s="25">
        <v>13.82</v>
      </c>
      <c r="F38" s="3" t="str">
        <f t="shared" ca="1" si="1"/>
        <v>ИГЭ-2</v>
      </c>
      <c r="G38" s="30" t="str">
        <f t="shared" ca="1" si="2"/>
        <v>пыл.-глинист.</v>
      </c>
      <c r="I38" s="13">
        <f t="shared" ca="1" si="11"/>
        <v>720</v>
      </c>
      <c r="J38" s="14">
        <f t="shared" ca="1" si="3"/>
        <v>0.9</v>
      </c>
      <c r="L38" s="14">
        <f t="shared" ca="1" si="4"/>
        <v>1</v>
      </c>
      <c r="M38" s="22">
        <f t="shared" ca="1" si="12"/>
        <v>2.5339999999999909</v>
      </c>
      <c r="N38" s="37">
        <f t="shared" ca="1" si="5"/>
        <v>1</v>
      </c>
      <c r="O38" s="37">
        <f t="shared" ca="1" si="6"/>
        <v>0</v>
      </c>
      <c r="Q38" s="22">
        <f t="shared" si="7"/>
        <v>2.6</v>
      </c>
      <c r="R38" s="22">
        <f t="shared" ca="1" si="8"/>
        <v>79.38</v>
      </c>
      <c r="S38" s="22">
        <f ca="1">IF(Q38="","",IF(Q38=0,0,SUMPRODUCT(OFFSET(M$18,MATCH(MIN(Q$18:Q$137),Q$18:Q$137,0),0,COUNT(M$18:M38)-MATCH(MIN(Q$18:Q$137),Q$18:Q$137,0),1),OFFSET(M$18,MATCH(MIN(Q$18:Q$137),Q$18:Q$137,0),1,COUNT(M$18:M38)-MATCH(MIN(Q$18:Q$137),Q$18:Q$137,0),1))*$T$6))</f>
        <v>37.242351999999997</v>
      </c>
      <c r="T38" s="22">
        <f t="shared" ca="1" si="9"/>
        <v>116.62235199999999</v>
      </c>
      <c r="V38" s="22">
        <f ca="1">IF(Q38="","",IF(Q38=0,0,SUMPRODUCT(OFFSET(M$18,MATCH(MIN(Q$18:Q$137),Q$18:Q$137,0),0,COUNT(M$18:M38)-MATCH(MIN(Q$18:Q$137),Q$18:Q$137,0),1),OFFSET(M$18,MATCH(MIN(Q$18:Q$137),Q$18:Q$137,0),2,COUNT(M$18:M38)-MATCH(MIN(Q$18:Q$137),Q$18:Q$137,0),1))*$T$6*$T$14))</f>
        <v>0</v>
      </c>
      <c r="W38" s="29"/>
      <c r="X38" s="23">
        <f t="shared" ca="1" si="13"/>
        <v>8.6346124209989785</v>
      </c>
      <c r="Z38" s="15">
        <f t="shared" si="14"/>
        <v>5.25</v>
      </c>
      <c r="AA38" s="15">
        <f t="shared" si="15"/>
        <v>7</v>
      </c>
      <c r="AC38" s="15">
        <f t="shared" si="16"/>
        <v>18</v>
      </c>
      <c r="AD38" s="15">
        <f t="shared" si="17"/>
        <v>28</v>
      </c>
      <c r="AF38" s="15">
        <f t="shared" ca="1" si="18"/>
        <v>11</v>
      </c>
      <c r="AH38" s="15">
        <f t="shared" si="10"/>
        <v>2</v>
      </c>
      <c r="AI38" s="38">
        <f t="shared" ca="1" si="19"/>
        <v>7.8318480009061027</v>
      </c>
      <c r="AJ38" s="29"/>
      <c r="AK38" s="29"/>
      <c r="AL38" s="29"/>
    </row>
    <row r="39" spans="1:38" x14ac:dyDescent="0.2">
      <c r="A39" s="15">
        <v>22</v>
      </c>
      <c r="B39" s="2">
        <f t="shared" si="0"/>
        <v>183.33</v>
      </c>
      <c r="C39" s="25">
        <v>5.8</v>
      </c>
      <c r="D39" s="25">
        <v>0.72</v>
      </c>
      <c r="E39" s="25">
        <v>13.82</v>
      </c>
      <c r="F39" s="3" t="str">
        <f t="shared" ca="1" si="1"/>
        <v>ИГЭ-2</v>
      </c>
      <c r="G39" s="30" t="str">
        <f t="shared" ca="1" si="2"/>
        <v>пыл.-глинист.</v>
      </c>
      <c r="I39" s="13">
        <f t="shared" ca="1" si="11"/>
        <v>732</v>
      </c>
      <c r="J39" s="14">
        <f t="shared" ca="1" si="3"/>
        <v>0.9</v>
      </c>
      <c r="L39" s="14">
        <f t="shared" ca="1" si="4"/>
        <v>1</v>
      </c>
      <c r="M39" s="22">
        <f t="shared" ca="1" si="12"/>
        <v>2.7640000000000025</v>
      </c>
      <c r="N39" s="37">
        <f t="shared" ca="1" si="5"/>
        <v>1</v>
      </c>
      <c r="O39" s="37">
        <f t="shared" ca="1" si="6"/>
        <v>0</v>
      </c>
      <c r="Q39" s="22">
        <f t="shared" si="7"/>
        <v>2.8</v>
      </c>
      <c r="R39" s="22">
        <f t="shared" ca="1" si="8"/>
        <v>80.703000000000003</v>
      </c>
      <c r="S39" s="22">
        <f ca="1">IF(Q39="","",IF(Q39=0,0,SUMPRODUCT(OFFSET(M$18,MATCH(MIN(Q$18:Q$137),Q$18:Q$137,0),0,COUNT(M$18:M39)-MATCH(MIN(Q$18:Q$137),Q$18:Q$137,0),1),OFFSET(M$18,MATCH(MIN(Q$18:Q$137),Q$18:Q$137,0),1,COUNT(M$18:M39)-MATCH(MIN(Q$18:Q$137),Q$18:Q$137,0),1))*$T$6))</f>
        <v>41.111952000000002</v>
      </c>
      <c r="T39" s="22">
        <f t="shared" ca="1" si="9"/>
        <v>121.81495200000001</v>
      </c>
      <c r="V39" s="22">
        <f ca="1">IF(Q39="","",IF(Q39=0,0,SUMPRODUCT(OFFSET(M$18,MATCH(MIN(Q$18:Q$137),Q$18:Q$137,0),0,COUNT(M$18:M39)-MATCH(MIN(Q$18:Q$137),Q$18:Q$137,0),1),OFFSET(M$18,MATCH(MIN(Q$18:Q$137),Q$18:Q$137,0),2,COUNT(M$18:M39)-MATCH(MIN(Q$18:Q$137),Q$18:Q$137,0),1))*$T$6*$T$14))</f>
        <v>0</v>
      </c>
      <c r="W39" s="29"/>
      <c r="X39" s="23">
        <f t="shared" ca="1" si="13"/>
        <v>8.990691039755351</v>
      </c>
      <c r="Z39" s="15">
        <f t="shared" si="14"/>
        <v>5.45</v>
      </c>
      <c r="AA39" s="15">
        <f t="shared" si="15"/>
        <v>7.1999999999999993</v>
      </c>
      <c r="AC39" s="15">
        <f t="shared" si="16"/>
        <v>20</v>
      </c>
      <c r="AD39" s="15">
        <f t="shared" si="17"/>
        <v>29</v>
      </c>
      <c r="AF39" s="15">
        <f t="shared" ca="1" si="18"/>
        <v>10</v>
      </c>
      <c r="AH39" s="15">
        <f t="shared" si="10"/>
        <v>2</v>
      </c>
      <c r="AI39" s="38">
        <f t="shared" ca="1" si="19"/>
        <v>8.15482180476676</v>
      </c>
      <c r="AJ39" s="29"/>
      <c r="AK39" s="29"/>
      <c r="AL39" s="29"/>
    </row>
    <row r="40" spans="1:38" x14ac:dyDescent="0.2">
      <c r="A40" s="15">
        <v>23</v>
      </c>
      <c r="B40" s="2">
        <f t="shared" si="0"/>
        <v>183.13</v>
      </c>
      <c r="C40" s="25">
        <v>6</v>
      </c>
      <c r="D40" s="25">
        <v>0.72</v>
      </c>
      <c r="E40" s="25">
        <v>13.82</v>
      </c>
      <c r="F40" s="3" t="str">
        <f t="shared" ca="1" si="1"/>
        <v>ИГЭ-2</v>
      </c>
      <c r="G40" s="30" t="str">
        <f t="shared" ca="1" si="2"/>
        <v>пыл.-глинист.</v>
      </c>
      <c r="I40" s="13">
        <f t="shared" ca="1" si="11"/>
        <v>756</v>
      </c>
      <c r="J40" s="14">
        <f t="shared" ca="1" si="3"/>
        <v>0.9</v>
      </c>
      <c r="L40" s="14">
        <f t="shared" ca="1" si="4"/>
        <v>1</v>
      </c>
      <c r="M40" s="22">
        <f t="shared" ca="1" si="12"/>
        <v>2.7640000000000025</v>
      </c>
      <c r="N40" s="37">
        <f t="shared" ca="1" si="5"/>
        <v>1</v>
      </c>
      <c r="O40" s="37">
        <f t="shared" ca="1" si="6"/>
        <v>0</v>
      </c>
      <c r="Q40" s="22">
        <f t="shared" si="7"/>
        <v>3</v>
      </c>
      <c r="R40" s="22">
        <f t="shared" ca="1" si="8"/>
        <v>83.34899999999999</v>
      </c>
      <c r="S40" s="22">
        <f ca="1">IF(Q40="","",IF(Q40=0,0,SUMPRODUCT(OFFSET(M$18,MATCH(MIN(Q$18:Q$137),Q$18:Q$137,0),0,COUNT(M$18:M40)-MATCH(MIN(Q$18:Q$137),Q$18:Q$137,0),1),OFFSET(M$18,MATCH(MIN(Q$18:Q$137),Q$18:Q$137,0),1,COUNT(M$18:M40)-MATCH(MIN(Q$18:Q$137),Q$18:Q$137,0),1))*$T$6))</f>
        <v>44.981552000000001</v>
      </c>
      <c r="T40" s="22">
        <f t="shared" ca="1" si="9"/>
        <v>128.33055199999998</v>
      </c>
      <c r="V40" s="22">
        <f ca="1">IF(Q40="","",IF(Q40=0,0,SUMPRODUCT(OFFSET(M$18,MATCH(MIN(Q$18:Q$137),Q$18:Q$137,0),0,COUNT(M$18:M40)-MATCH(MIN(Q$18:Q$137),Q$18:Q$137,0),1),OFFSET(M$18,MATCH(MIN(Q$18:Q$137),Q$18:Q$137,0),2,COUNT(M$18:M40)-MATCH(MIN(Q$18:Q$137),Q$18:Q$137,0),1))*$T$6*$T$14))</f>
        <v>0</v>
      </c>
      <c r="W40" s="29"/>
      <c r="X40" s="23">
        <f t="shared" ca="1" si="13"/>
        <v>9.4546595667686031</v>
      </c>
      <c r="Z40" s="15">
        <f t="shared" si="14"/>
        <v>5.65</v>
      </c>
      <c r="AA40" s="15">
        <f t="shared" si="15"/>
        <v>7.4</v>
      </c>
      <c r="AC40" s="15">
        <f t="shared" si="16"/>
        <v>21</v>
      </c>
      <c r="AD40" s="15">
        <f t="shared" si="17"/>
        <v>30</v>
      </c>
      <c r="AF40" s="15">
        <f t="shared" ca="1" si="18"/>
        <v>10</v>
      </c>
      <c r="AH40" s="15">
        <f t="shared" si="10"/>
        <v>2</v>
      </c>
      <c r="AI40" s="38">
        <f t="shared" ca="1" si="19"/>
        <v>8.575654935844538</v>
      </c>
      <c r="AJ40" s="29"/>
      <c r="AK40" s="29"/>
      <c r="AL40" s="29"/>
    </row>
    <row r="41" spans="1:38" x14ac:dyDescent="0.2">
      <c r="A41" s="15">
        <v>24</v>
      </c>
      <c r="B41" s="2">
        <f t="shared" si="0"/>
        <v>182.93</v>
      </c>
      <c r="C41" s="25">
        <v>6.2</v>
      </c>
      <c r="D41" s="25">
        <v>0.72</v>
      </c>
      <c r="E41" s="25">
        <v>16.13</v>
      </c>
      <c r="F41" s="3" t="str">
        <f t="shared" ca="1" si="1"/>
        <v>ИГЭ-2</v>
      </c>
      <c r="G41" s="30" t="str">
        <f t="shared" ca="1" si="2"/>
        <v>пыл.-глинист.</v>
      </c>
      <c r="I41" s="13">
        <f t="shared" ca="1" si="11"/>
        <v>768</v>
      </c>
      <c r="J41" s="14">
        <f t="shared" ca="1" si="3"/>
        <v>0.9</v>
      </c>
      <c r="L41" s="14">
        <f t="shared" ca="1" si="4"/>
        <v>1</v>
      </c>
      <c r="M41" s="22">
        <f t="shared" ca="1" si="12"/>
        <v>2.9950000000000028</v>
      </c>
      <c r="N41" s="37">
        <f t="shared" ca="1" si="5"/>
        <v>1</v>
      </c>
      <c r="O41" s="37">
        <f t="shared" ca="1" si="6"/>
        <v>0</v>
      </c>
      <c r="Q41" s="22">
        <f t="shared" si="7"/>
        <v>3.2</v>
      </c>
      <c r="R41" s="22">
        <f t="shared" ca="1" si="8"/>
        <v>84.671999999999997</v>
      </c>
      <c r="S41" s="22">
        <f ca="1">IF(Q41="","",IF(Q41=0,0,SUMPRODUCT(OFFSET(M$18,MATCH(MIN(Q$18:Q$137),Q$18:Q$137,0),0,COUNT(M$18:M41)-MATCH(MIN(Q$18:Q$137),Q$18:Q$137,0),1),OFFSET(M$18,MATCH(MIN(Q$18:Q$137),Q$18:Q$137,0),1,COUNT(M$18:M41)-MATCH(MIN(Q$18:Q$137),Q$18:Q$137,0),1))*$T$6))</f>
        <v>49.174552000000006</v>
      </c>
      <c r="T41" s="22">
        <f t="shared" ca="1" si="9"/>
        <v>133.846552</v>
      </c>
      <c r="V41" s="22">
        <f ca="1">IF(Q41="","",IF(Q41=0,0,SUMPRODUCT(OFFSET(M$18,MATCH(MIN(Q$18:Q$137),Q$18:Q$137,0),0,COUNT(M$18:M41)-MATCH(MIN(Q$18:Q$137),Q$18:Q$137,0),1),OFFSET(M$18,MATCH(MIN(Q$18:Q$137),Q$18:Q$137,0),2,COUNT(M$18:M41)-MATCH(MIN(Q$18:Q$137),Q$18:Q$137,0),1))*$T$6*$T$14))</f>
        <v>0</v>
      </c>
      <c r="W41" s="29"/>
      <c r="X41" s="23">
        <f t="shared" ca="1" si="13"/>
        <v>9.83711127420999</v>
      </c>
      <c r="Z41" s="15">
        <f t="shared" si="14"/>
        <v>5.8500000000000005</v>
      </c>
      <c r="AA41" s="15">
        <f t="shared" si="15"/>
        <v>7.6</v>
      </c>
      <c r="AC41" s="15">
        <f t="shared" si="16"/>
        <v>22</v>
      </c>
      <c r="AD41" s="15">
        <f t="shared" si="17"/>
        <v>31</v>
      </c>
      <c r="AF41" s="15">
        <f t="shared" ca="1" si="18"/>
        <v>10</v>
      </c>
      <c r="AH41" s="15">
        <f t="shared" si="10"/>
        <v>2</v>
      </c>
      <c r="AI41" s="38">
        <f t="shared" ca="1" si="19"/>
        <v>8.9225499085804909</v>
      </c>
      <c r="AJ41" s="29"/>
      <c r="AK41" s="29"/>
      <c r="AL41" s="29"/>
    </row>
    <row r="42" spans="1:38" x14ac:dyDescent="0.2">
      <c r="A42" s="15">
        <v>25</v>
      </c>
      <c r="B42" s="2">
        <f t="shared" si="0"/>
        <v>182.73</v>
      </c>
      <c r="C42" s="25">
        <v>6.4</v>
      </c>
      <c r="D42" s="25">
        <v>0.72</v>
      </c>
      <c r="E42" s="25">
        <v>20.73</v>
      </c>
      <c r="F42" s="3" t="str">
        <f t="shared" ca="1" si="1"/>
        <v>ИГЭ-2</v>
      </c>
      <c r="G42" s="30" t="str">
        <f t="shared" ca="1" si="2"/>
        <v>пыл.-глинист.</v>
      </c>
      <c r="I42" s="13">
        <f t="shared" ca="1" si="11"/>
        <v>780</v>
      </c>
      <c r="J42" s="14">
        <f t="shared" ca="1" si="3"/>
        <v>0.9</v>
      </c>
      <c r="L42" s="14">
        <f t="shared" ca="1" si="4"/>
        <v>0.99099999999999999</v>
      </c>
      <c r="M42" s="22">
        <f t="shared" ca="1" si="12"/>
        <v>3.6673430000000029</v>
      </c>
      <c r="N42" s="37">
        <f t="shared" ca="1" si="5"/>
        <v>1</v>
      </c>
      <c r="O42" s="37">
        <f t="shared" ca="1" si="6"/>
        <v>0</v>
      </c>
      <c r="Q42" s="22">
        <f t="shared" si="7"/>
        <v>3.4</v>
      </c>
      <c r="R42" s="22">
        <f t="shared" ca="1" si="8"/>
        <v>85.99499999999999</v>
      </c>
      <c r="S42" s="22">
        <f ca="1">IF(Q42="","",IF(Q42=0,0,SUMPRODUCT(OFFSET(M$18,MATCH(MIN(Q$18:Q$137),Q$18:Q$137,0),0,COUNT(M$18:M42)-MATCH(MIN(Q$18:Q$137),Q$18:Q$137,0),1),OFFSET(M$18,MATCH(MIN(Q$18:Q$137),Q$18:Q$137,0),1,COUNT(M$18:M42)-MATCH(MIN(Q$18:Q$137),Q$18:Q$137,0),1))*$T$6))</f>
        <v>54.308832200000005</v>
      </c>
      <c r="T42" s="22">
        <f t="shared" ca="1" si="9"/>
        <v>140.30383219999999</v>
      </c>
      <c r="V42" s="22">
        <f ca="1">IF(Q42="","",IF(Q42=0,0,SUMPRODUCT(OFFSET(M$18,MATCH(MIN(Q$18:Q$137),Q$18:Q$137,0),0,COUNT(M$18:M42)-MATCH(MIN(Q$18:Q$137),Q$18:Q$137,0),1),OFFSET(M$18,MATCH(MIN(Q$18:Q$137),Q$18:Q$137,0),2,COUNT(M$18:M42)-MATCH(MIN(Q$18:Q$137),Q$18:Q$137,0),1))*$T$6*$T$14))</f>
        <v>0</v>
      </c>
      <c r="W42" s="29"/>
      <c r="X42" s="23">
        <f t="shared" ca="1" si="13"/>
        <v>10.296323854230376</v>
      </c>
      <c r="Z42" s="15">
        <f t="shared" si="14"/>
        <v>6.0500000000000007</v>
      </c>
      <c r="AA42" s="15">
        <f t="shared" si="15"/>
        <v>7.8000000000000007</v>
      </c>
      <c r="AC42" s="15">
        <f t="shared" si="16"/>
        <v>23</v>
      </c>
      <c r="AD42" s="15">
        <f t="shared" si="17"/>
        <v>32</v>
      </c>
      <c r="AF42" s="15">
        <f t="shared" ca="1" si="18"/>
        <v>10</v>
      </c>
      <c r="AH42" s="15">
        <f t="shared" si="10"/>
        <v>2</v>
      </c>
      <c r="AI42" s="38">
        <f t="shared" ca="1" si="19"/>
        <v>9.3390692555377584</v>
      </c>
      <c r="AJ42" s="29"/>
      <c r="AK42" s="29"/>
      <c r="AL42" s="29"/>
    </row>
    <row r="43" spans="1:38" x14ac:dyDescent="0.2">
      <c r="A43" s="15">
        <v>26</v>
      </c>
      <c r="B43" s="2">
        <f t="shared" si="0"/>
        <v>182.53</v>
      </c>
      <c r="C43" s="25">
        <v>6.6</v>
      </c>
      <c r="D43" s="25">
        <v>0.72</v>
      </c>
      <c r="E43" s="25">
        <v>23.04</v>
      </c>
      <c r="F43" s="3" t="str">
        <f t="shared" ca="1" si="1"/>
        <v>ИГЭ-2</v>
      </c>
      <c r="G43" s="30" t="str">
        <f t="shared" ca="1" si="2"/>
        <v>пыл.-глинист.</v>
      </c>
      <c r="I43" s="13">
        <f t="shared" ca="1" si="11"/>
        <v>785</v>
      </c>
      <c r="J43" s="14">
        <f t="shared" ca="1" si="3"/>
        <v>0.9</v>
      </c>
      <c r="L43" s="14">
        <f t="shared" ca="1" si="4"/>
        <v>0.96199999999999997</v>
      </c>
      <c r="M43" s="22">
        <f t="shared" ca="1" si="12"/>
        <v>4.2707909999999849</v>
      </c>
      <c r="N43" s="37">
        <f t="shared" ca="1" si="5"/>
        <v>1</v>
      </c>
      <c r="O43" s="37">
        <f t="shared" ca="1" si="6"/>
        <v>0</v>
      </c>
      <c r="Q43" s="22">
        <f t="shared" si="7"/>
        <v>3.6</v>
      </c>
      <c r="R43" s="22">
        <f t="shared" ca="1" si="8"/>
        <v>86.546249999999986</v>
      </c>
      <c r="S43" s="22">
        <f ca="1">IF(Q43="","",IF(Q43=0,0,SUMPRODUCT(OFFSET(M$18,MATCH(MIN(Q$18:Q$137),Q$18:Q$137,0),0,COUNT(M$18:M43)-MATCH(MIN(Q$18:Q$137),Q$18:Q$137,0),1),OFFSET(M$18,MATCH(MIN(Q$18:Q$137),Q$18:Q$137,0),1,COUNT(M$18:M43)-MATCH(MIN(Q$18:Q$137),Q$18:Q$137,0),1))*$T$6))</f>
        <v>60.28793959999998</v>
      </c>
      <c r="T43" s="22">
        <f t="shared" ca="1" si="9"/>
        <v>146.83418959999997</v>
      </c>
      <c r="V43" s="22">
        <f ca="1">IF(Q43="","",IF(Q43=0,0,SUMPRODUCT(OFFSET(M$18,MATCH(MIN(Q$18:Q$137),Q$18:Q$137,0),0,COUNT(M$18:M43)-MATCH(MIN(Q$18:Q$137),Q$18:Q$137,0),1),OFFSET(M$18,MATCH(MIN(Q$18:Q$137),Q$18:Q$137,0),2,COUNT(M$18:M43)-MATCH(MIN(Q$18:Q$137),Q$18:Q$137,0),1))*$T$6*$T$14))</f>
        <v>0</v>
      </c>
      <c r="W43" s="29"/>
      <c r="X43" s="23">
        <f t="shared" ca="1" si="13"/>
        <v>10.761495838939855</v>
      </c>
      <c r="Z43" s="15">
        <f t="shared" si="14"/>
        <v>6.25</v>
      </c>
      <c r="AA43" s="15">
        <f t="shared" si="15"/>
        <v>8</v>
      </c>
      <c r="AC43" s="15">
        <f t="shared" si="16"/>
        <v>23</v>
      </c>
      <c r="AD43" s="15">
        <f t="shared" si="17"/>
        <v>33</v>
      </c>
      <c r="AF43" s="15">
        <f t="shared" ca="1" si="18"/>
        <v>11</v>
      </c>
      <c r="AH43" s="15">
        <f t="shared" si="10"/>
        <v>2</v>
      </c>
      <c r="AI43" s="38">
        <f t="shared" ca="1" si="19"/>
        <v>9.760993958222091</v>
      </c>
      <c r="AJ43" s="29"/>
      <c r="AK43" s="29"/>
      <c r="AL43" s="29"/>
    </row>
    <row r="44" spans="1:38" x14ac:dyDescent="0.2">
      <c r="A44" s="15">
        <v>27</v>
      </c>
      <c r="B44" s="2">
        <f t="shared" si="0"/>
        <v>182.33</v>
      </c>
      <c r="C44" s="25">
        <v>6.8</v>
      </c>
      <c r="D44" s="25">
        <v>0.72</v>
      </c>
      <c r="E44" s="25">
        <v>20.73</v>
      </c>
      <c r="F44" s="3" t="str">
        <f t="shared" ca="1" si="1"/>
        <v>ИГЭ-2</v>
      </c>
      <c r="G44" s="30" t="str">
        <f t="shared" ca="1" si="2"/>
        <v>пыл.-глинист.</v>
      </c>
      <c r="I44" s="13">
        <f t="shared" ca="1" si="11"/>
        <v>804</v>
      </c>
      <c r="J44" s="14">
        <f t="shared" ca="1" si="3"/>
        <v>0.9</v>
      </c>
      <c r="L44" s="14">
        <f t="shared" ca="1" si="4"/>
        <v>0.99099999999999999</v>
      </c>
      <c r="M44" s="22">
        <f t="shared" ca="1" si="12"/>
        <v>4.2707910000000036</v>
      </c>
      <c r="N44" s="37">
        <f t="shared" ca="1" si="5"/>
        <v>1</v>
      </c>
      <c r="O44" s="37">
        <f t="shared" ca="1" si="6"/>
        <v>0</v>
      </c>
      <c r="Q44" s="22">
        <f t="shared" si="7"/>
        <v>3.8</v>
      </c>
      <c r="R44" s="22">
        <f t="shared" ca="1" si="8"/>
        <v>88.640999999999991</v>
      </c>
      <c r="S44" s="22">
        <f ca="1">IF(Q44="","",IF(Q44=0,0,SUMPRODUCT(OFFSET(M$18,MATCH(MIN(Q$18:Q$137),Q$18:Q$137,0),0,COUNT(M$18:M44)-MATCH(MIN(Q$18:Q$137),Q$18:Q$137,0),1),OFFSET(M$18,MATCH(MIN(Q$18:Q$137),Q$18:Q$137,0),1,COUNT(M$18:M44)-MATCH(MIN(Q$18:Q$137),Q$18:Q$137,0),1))*$T$6))</f>
        <v>66.267046999999991</v>
      </c>
      <c r="T44" s="22">
        <f t="shared" ca="1" si="9"/>
        <v>154.90804699999998</v>
      </c>
      <c r="V44" s="22">
        <f ca="1">IF(Q44="","",IF(Q44=0,0,SUMPRODUCT(OFFSET(M$18,MATCH(MIN(Q$18:Q$137),Q$18:Q$137,0),0,COUNT(M$18:M44)-MATCH(MIN(Q$18:Q$137),Q$18:Q$137,0),1),OFFSET(M$18,MATCH(MIN(Q$18:Q$137),Q$18:Q$137,0),2,COUNT(M$18:M44)-MATCH(MIN(Q$18:Q$137),Q$18:Q$137,0),1))*$T$6*$T$14))</f>
        <v>0</v>
      </c>
      <c r="W44" s="29"/>
      <c r="X44" s="23">
        <f t="shared" ca="1" si="13"/>
        <v>11.352539383282362</v>
      </c>
      <c r="Z44" s="15">
        <f t="shared" si="14"/>
        <v>6.45</v>
      </c>
      <c r="AA44" s="15">
        <f t="shared" si="15"/>
        <v>8.1999999999999993</v>
      </c>
      <c r="AC44" s="15">
        <f t="shared" si="16"/>
        <v>25</v>
      </c>
      <c r="AD44" s="15">
        <f t="shared" si="17"/>
        <v>34</v>
      </c>
      <c r="AF44" s="15">
        <f t="shared" ca="1" si="18"/>
        <v>10</v>
      </c>
      <c r="AH44" s="15">
        <f t="shared" si="10"/>
        <v>2</v>
      </c>
      <c r="AI44" s="38">
        <f t="shared" ca="1" si="19"/>
        <v>10.297087875993073</v>
      </c>
      <c r="AJ44" s="29"/>
      <c r="AK44" s="29"/>
      <c r="AL44" s="29"/>
    </row>
    <row r="45" spans="1:38" x14ac:dyDescent="0.2">
      <c r="A45" s="15">
        <v>28</v>
      </c>
      <c r="B45" s="2">
        <f t="shared" si="0"/>
        <v>182.13</v>
      </c>
      <c r="C45" s="25">
        <v>7</v>
      </c>
      <c r="D45" s="25">
        <v>0.84</v>
      </c>
      <c r="E45" s="25">
        <v>20.73</v>
      </c>
      <c r="F45" s="3" t="str">
        <f t="shared" ca="1" si="1"/>
        <v>ИГЭ-2</v>
      </c>
      <c r="G45" s="30" t="str">
        <f t="shared" ca="1" si="2"/>
        <v>пыл.-глинист.</v>
      </c>
      <c r="I45" s="13">
        <f t="shared" ca="1" si="11"/>
        <v>816</v>
      </c>
      <c r="J45" s="14">
        <f t="shared" ca="1" si="3"/>
        <v>0.9</v>
      </c>
      <c r="L45" s="14">
        <f t="shared" ca="1" si="4"/>
        <v>0.99099999999999999</v>
      </c>
      <c r="M45" s="22">
        <f t="shared" ca="1" si="12"/>
        <v>4.1086860000000041</v>
      </c>
      <c r="N45" s="37">
        <f t="shared" ca="1" si="5"/>
        <v>1</v>
      </c>
      <c r="O45" s="37">
        <f t="shared" ca="1" si="6"/>
        <v>0</v>
      </c>
      <c r="Q45" s="22">
        <f t="shared" si="7"/>
        <v>4</v>
      </c>
      <c r="R45" s="22">
        <f t="shared" ca="1" si="8"/>
        <v>89.963999999999984</v>
      </c>
      <c r="S45" s="22">
        <f ca="1">IF(Q45="","",IF(Q45=0,0,SUMPRODUCT(OFFSET(M$18,MATCH(MIN(Q$18:Q$137),Q$18:Q$137,0),0,COUNT(M$18:M45)-MATCH(MIN(Q$18:Q$137),Q$18:Q$137,0),1),OFFSET(M$18,MATCH(MIN(Q$18:Q$137),Q$18:Q$137,0),1,COUNT(M$18:M45)-MATCH(MIN(Q$18:Q$137),Q$18:Q$137,0),1))*$T$6))</f>
        <v>72.019207399999985</v>
      </c>
      <c r="T45" s="22">
        <f t="shared" ca="1" si="9"/>
        <v>161.98320739999997</v>
      </c>
      <c r="V45" s="22">
        <f ca="1">IF(Q45="","",IF(Q45=0,0,SUMPRODUCT(OFFSET(M$18,MATCH(MIN(Q$18:Q$137),Q$18:Q$137,0),0,COUNT(M$18:M45)-MATCH(MIN(Q$18:Q$137),Q$18:Q$137,0),1),OFFSET(M$18,MATCH(MIN(Q$18:Q$137),Q$18:Q$137,0),2,COUNT(M$18:M45)-MATCH(MIN(Q$18:Q$137),Q$18:Q$137,0),1))*$T$6*$T$14))</f>
        <v>0</v>
      </c>
      <c r="W45" s="29"/>
      <c r="X45" s="23">
        <f t="shared" ca="1" si="13"/>
        <v>11.862139747196734</v>
      </c>
      <c r="Z45" s="15">
        <f t="shared" si="14"/>
        <v>6.65</v>
      </c>
      <c r="AA45" s="15">
        <f t="shared" si="15"/>
        <v>8.4</v>
      </c>
      <c r="AC45" s="15">
        <f t="shared" si="16"/>
        <v>26</v>
      </c>
      <c r="AD45" s="15">
        <f t="shared" si="17"/>
        <v>35</v>
      </c>
      <c r="AF45" s="15">
        <f t="shared" ca="1" si="18"/>
        <v>10</v>
      </c>
      <c r="AH45" s="15">
        <f t="shared" si="10"/>
        <v>2</v>
      </c>
      <c r="AI45" s="38">
        <f t="shared" ca="1" si="19"/>
        <v>10.759310428296358</v>
      </c>
      <c r="AJ45" s="29"/>
      <c r="AK45" s="29"/>
      <c r="AL45" s="29"/>
    </row>
    <row r="46" spans="1:38" x14ac:dyDescent="0.2">
      <c r="A46" s="15">
        <v>29</v>
      </c>
      <c r="B46" s="2">
        <f t="shared" si="0"/>
        <v>181.93</v>
      </c>
      <c r="C46" s="25">
        <v>7.2</v>
      </c>
      <c r="D46" s="25">
        <v>0.84</v>
      </c>
      <c r="E46" s="25">
        <v>34.56</v>
      </c>
      <c r="F46" s="3" t="str">
        <f t="shared" ca="1" si="1"/>
        <v>ИГЭ-2</v>
      </c>
      <c r="G46" s="30" t="str">
        <f t="shared" ca="1" si="2"/>
        <v>пыл.-глинист.</v>
      </c>
      <c r="I46" s="13">
        <f t="shared" ca="1" si="11"/>
        <v>828</v>
      </c>
      <c r="J46" s="14">
        <f t="shared" ca="1" si="3"/>
        <v>0.9</v>
      </c>
      <c r="L46" s="14">
        <f t="shared" ca="1" si="4"/>
        <v>0.81799999999999995</v>
      </c>
      <c r="M46" s="22">
        <f t="shared" ca="1" si="12"/>
        <v>4.881351000000004</v>
      </c>
      <c r="N46" s="37">
        <f t="shared" ca="1" si="5"/>
        <v>1</v>
      </c>
      <c r="O46" s="37">
        <f t="shared" ca="1" si="6"/>
        <v>0</v>
      </c>
      <c r="Q46" s="22">
        <f t="shared" si="7"/>
        <v>4.2</v>
      </c>
      <c r="R46" s="22">
        <f t="shared" ca="1" si="8"/>
        <v>91.286999999999992</v>
      </c>
      <c r="S46" s="22">
        <f ca="1">IF(Q46="","",IF(Q46=0,0,SUMPRODUCT(OFFSET(M$18,MATCH(MIN(Q$18:Q$137),Q$18:Q$137,0),0,COUNT(M$18:M46)-MATCH(MIN(Q$18:Q$137),Q$18:Q$137,0),1),OFFSET(M$18,MATCH(MIN(Q$18:Q$137),Q$18:Q$137,0),1,COUNT(M$18:M46)-MATCH(MIN(Q$18:Q$137),Q$18:Q$137,0),1))*$T$6))</f>
        <v>78.853098799999998</v>
      </c>
      <c r="T46" s="22">
        <f t="shared" ca="1" si="9"/>
        <v>170.14009879999998</v>
      </c>
      <c r="V46" s="22">
        <f ca="1">IF(Q46="","",IF(Q46=0,0,SUMPRODUCT(OFFSET(M$18,MATCH(MIN(Q$18:Q$137),Q$18:Q$137,0),0,COUNT(M$18:M46)-MATCH(MIN(Q$18:Q$137),Q$18:Q$137,0),1),OFFSET(M$18,MATCH(MIN(Q$18:Q$137),Q$18:Q$137,0),2,COUNT(M$18:M46)-MATCH(MIN(Q$18:Q$137),Q$18:Q$137,0),1))*$T$6*$T$14))</f>
        <v>0</v>
      </c>
      <c r="W46" s="29"/>
      <c r="X46" s="23">
        <f t="shared" ca="1" si="13"/>
        <v>12.459954667686031</v>
      </c>
      <c r="Z46" s="15">
        <f t="shared" si="14"/>
        <v>6.8500000000000005</v>
      </c>
      <c r="AA46" s="15">
        <f t="shared" si="15"/>
        <v>8.6</v>
      </c>
      <c r="AC46" s="15">
        <f t="shared" si="16"/>
        <v>27</v>
      </c>
      <c r="AD46" s="15">
        <f t="shared" si="17"/>
        <v>36</v>
      </c>
      <c r="AF46" s="15">
        <f t="shared" ca="1" si="18"/>
        <v>10</v>
      </c>
      <c r="AH46" s="15">
        <f t="shared" si="10"/>
        <v>2</v>
      </c>
      <c r="AI46" s="38">
        <f t="shared" ca="1" si="19"/>
        <v>11.301546183842206</v>
      </c>
      <c r="AJ46" s="29"/>
      <c r="AK46" s="29"/>
      <c r="AL46" s="29"/>
    </row>
    <row r="47" spans="1:38" x14ac:dyDescent="0.2">
      <c r="A47" s="15">
        <v>30</v>
      </c>
      <c r="B47" s="2">
        <f t="shared" si="0"/>
        <v>181.73</v>
      </c>
      <c r="C47" s="25">
        <v>7.4</v>
      </c>
      <c r="D47" s="25">
        <v>0.84</v>
      </c>
      <c r="E47" s="25">
        <v>23.04</v>
      </c>
      <c r="F47" s="3" t="str">
        <f t="shared" ca="1" si="1"/>
        <v>ИГЭ-2</v>
      </c>
      <c r="G47" s="30" t="str">
        <f t="shared" ca="1" si="2"/>
        <v>пыл.-глинист.</v>
      </c>
      <c r="I47" s="13">
        <f t="shared" ca="1" si="11"/>
        <v>840</v>
      </c>
      <c r="J47" s="14">
        <f t="shared" ca="1" si="3"/>
        <v>0.9</v>
      </c>
      <c r="L47" s="14">
        <f t="shared" ca="1" si="4"/>
        <v>0.96199999999999997</v>
      </c>
      <c r="M47" s="22">
        <f t="shared" ca="1" si="12"/>
        <v>5.0434560000000044</v>
      </c>
      <c r="N47" s="37">
        <f t="shared" ca="1" si="5"/>
        <v>1</v>
      </c>
      <c r="O47" s="37">
        <f t="shared" ca="1" si="6"/>
        <v>0</v>
      </c>
      <c r="Q47" s="22">
        <f t="shared" si="7"/>
        <v>4.4000000000000004</v>
      </c>
      <c r="R47" s="22">
        <f t="shared" ca="1" si="8"/>
        <v>92.609999999999985</v>
      </c>
      <c r="S47" s="22">
        <f ca="1">IF(Q47="","",IF(Q47=0,0,SUMPRODUCT(OFFSET(M$18,MATCH(MIN(Q$18:Q$137),Q$18:Q$137,0),0,COUNT(M$18:M47)-MATCH(MIN(Q$18:Q$137),Q$18:Q$137,0),1),OFFSET(M$18,MATCH(MIN(Q$18:Q$137),Q$18:Q$137,0),1,COUNT(M$18:M47)-MATCH(MIN(Q$18:Q$137),Q$18:Q$137,0),1))*$T$6))</f>
        <v>85.913937200000007</v>
      </c>
      <c r="T47" s="22">
        <f t="shared" ca="1" si="9"/>
        <v>178.52393719999998</v>
      </c>
      <c r="V47" s="22">
        <f ca="1">IF(Q47="","",IF(Q47=0,0,SUMPRODUCT(OFFSET(M$18,MATCH(MIN(Q$18:Q$137),Q$18:Q$137,0),0,COUNT(M$18:M47)-MATCH(MIN(Q$18:Q$137),Q$18:Q$137,0),1),OFFSET(M$18,MATCH(MIN(Q$18:Q$137),Q$18:Q$137,0),2,COUNT(M$18:M47)-MATCH(MIN(Q$18:Q$137),Q$18:Q$137,0),1))*$T$6*$T$14))</f>
        <v>0</v>
      </c>
      <c r="W47" s="29"/>
      <c r="X47" s="23">
        <f t="shared" ca="1" si="13"/>
        <v>13.076276988786949</v>
      </c>
      <c r="Z47" s="15">
        <f t="shared" si="14"/>
        <v>7.0500000000000007</v>
      </c>
      <c r="AA47" s="15">
        <f t="shared" si="15"/>
        <v>8.8000000000000007</v>
      </c>
      <c r="AC47" s="15">
        <f t="shared" si="16"/>
        <v>28</v>
      </c>
      <c r="AD47" s="15">
        <f t="shared" si="17"/>
        <v>37</v>
      </c>
      <c r="AF47" s="15">
        <f t="shared" ca="1" si="18"/>
        <v>10</v>
      </c>
      <c r="AH47" s="15">
        <f t="shared" si="10"/>
        <v>2</v>
      </c>
      <c r="AI47" s="38">
        <f t="shared" ca="1" si="19"/>
        <v>11.860568697312425</v>
      </c>
      <c r="AJ47" s="29"/>
      <c r="AK47" s="29"/>
      <c r="AL47" s="29"/>
    </row>
    <row r="48" spans="1:38" x14ac:dyDescent="0.2">
      <c r="A48" s="15">
        <v>31</v>
      </c>
      <c r="B48" s="2">
        <f t="shared" si="0"/>
        <v>181.53</v>
      </c>
      <c r="C48" s="25">
        <v>7.6</v>
      </c>
      <c r="D48" s="25">
        <v>0.84</v>
      </c>
      <c r="E48" s="25">
        <v>20.73</v>
      </c>
      <c r="F48" s="3" t="str">
        <f t="shared" ca="1" si="1"/>
        <v>ИГЭ-2</v>
      </c>
      <c r="G48" s="30" t="str">
        <f t="shared" ca="1" si="2"/>
        <v>пыл.-глинист.</v>
      </c>
      <c r="I48" s="13">
        <f t="shared" ca="1" si="11"/>
        <v>851</v>
      </c>
      <c r="J48" s="14">
        <f t="shared" ca="1" si="3"/>
        <v>0.9</v>
      </c>
      <c r="L48" s="14">
        <f t="shared" ca="1" si="4"/>
        <v>0.99099999999999999</v>
      </c>
      <c r="M48" s="22">
        <f t="shared" ca="1" si="12"/>
        <v>4.2707909999999849</v>
      </c>
      <c r="N48" s="37">
        <f t="shared" ca="1" si="5"/>
        <v>1</v>
      </c>
      <c r="O48" s="37">
        <f t="shared" ca="1" si="6"/>
        <v>0</v>
      </c>
      <c r="Q48" s="22">
        <f t="shared" si="7"/>
        <v>4.5999999999999996</v>
      </c>
      <c r="R48" s="22">
        <f t="shared" ca="1" si="8"/>
        <v>93.822749999999985</v>
      </c>
      <c r="S48" s="22">
        <f ca="1">IF(Q48="","",IF(Q48=0,0,SUMPRODUCT(OFFSET(M$18,MATCH(MIN(Q$18:Q$137),Q$18:Q$137,0),0,COUNT(M$18:M48)-MATCH(MIN(Q$18:Q$137),Q$18:Q$137,0),1),OFFSET(M$18,MATCH(MIN(Q$18:Q$137),Q$18:Q$137,0),1,COUNT(M$18:M48)-MATCH(MIN(Q$18:Q$137),Q$18:Q$137,0),1))*$T$6))</f>
        <v>91.893044599999982</v>
      </c>
      <c r="T48" s="22">
        <f t="shared" ca="1" si="9"/>
        <v>185.71579459999998</v>
      </c>
      <c r="V48" s="22">
        <f ca="1">IF(Q48="","",IF(Q48=0,0,SUMPRODUCT(OFFSET(M$18,MATCH(MIN(Q$18:Q$137),Q$18:Q$137,0),0,COUNT(M$18:M48)-MATCH(MIN(Q$18:Q$137),Q$18:Q$137,0),1),OFFSET(M$18,MATCH(MIN(Q$18:Q$137),Q$18:Q$137,0),2,COUNT(M$18:M48)-MATCH(MIN(Q$18:Q$137),Q$18:Q$137,0),1))*$T$6*$T$14))</f>
        <v>0</v>
      </c>
      <c r="W48" s="29"/>
      <c r="X48" s="23">
        <f t="shared" ca="1" si="13"/>
        <v>13.595393927624873</v>
      </c>
      <c r="Z48" s="15">
        <f t="shared" si="14"/>
        <v>7.25</v>
      </c>
      <c r="AA48" s="15">
        <f t="shared" si="15"/>
        <v>9</v>
      </c>
      <c r="AC48" s="15">
        <f t="shared" si="16"/>
        <v>28</v>
      </c>
      <c r="AD48" s="15">
        <f t="shared" si="17"/>
        <v>38</v>
      </c>
      <c r="AF48" s="15">
        <f t="shared" ca="1" si="18"/>
        <v>11</v>
      </c>
      <c r="AH48" s="15">
        <f t="shared" si="10"/>
        <v>2</v>
      </c>
      <c r="AI48" s="38">
        <f t="shared" ca="1" si="19"/>
        <v>12.331423063605326</v>
      </c>
      <c r="AJ48" s="29"/>
      <c r="AK48" s="29"/>
      <c r="AL48" s="29"/>
    </row>
    <row r="49" spans="1:38" x14ac:dyDescent="0.2">
      <c r="A49" s="15">
        <v>32</v>
      </c>
      <c r="B49" s="2">
        <f t="shared" si="0"/>
        <v>181.33</v>
      </c>
      <c r="C49" s="25">
        <v>7.8</v>
      </c>
      <c r="D49" s="25">
        <v>0.84</v>
      </c>
      <c r="E49" s="25">
        <v>20.73</v>
      </c>
      <c r="F49" s="3" t="str">
        <f t="shared" ca="1" si="1"/>
        <v>ИГЭ-2</v>
      </c>
      <c r="G49" s="30" t="str">
        <f t="shared" ca="1" si="2"/>
        <v>пыл.-глинист.</v>
      </c>
      <c r="I49" s="13">
        <f t="shared" ca="1" si="11"/>
        <v>852</v>
      </c>
      <c r="J49" s="14">
        <f t="shared" ca="1" si="3"/>
        <v>0.9</v>
      </c>
      <c r="L49" s="14">
        <f t="shared" ca="1" si="4"/>
        <v>0.99099999999999999</v>
      </c>
      <c r="M49" s="22">
        <f t="shared" ca="1" si="12"/>
        <v>4.1086860000000041</v>
      </c>
      <c r="N49" s="37">
        <f t="shared" ca="1" si="5"/>
        <v>1</v>
      </c>
      <c r="O49" s="37">
        <f t="shared" ca="1" si="6"/>
        <v>0</v>
      </c>
      <c r="Q49" s="22">
        <f t="shared" si="7"/>
        <v>4.8</v>
      </c>
      <c r="R49" s="22">
        <f t="shared" ca="1" si="8"/>
        <v>93.932999999999993</v>
      </c>
      <c r="S49" s="22">
        <f ca="1">IF(Q49="","",IF(Q49=0,0,SUMPRODUCT(OFFSET(M$18,MATCH(MIN(Q$18:Q$137),Q$18:Q$137,0),0,COUNT(M$18:M49)-MATCH(MIN(Q$18:Q$137),Q$18:Q$137,0),1),OFFSET(M$18,MATCH(MIN(Q$18:Q$137),Q$18:Q$137,0),1,COUNT(M$18:M49)-MATCH(MIN(Q$18:Q$137),Q$18:Q$137,0),1))*$T$6))</f>
        <v>97.64520499999999</v>
      </c>
      <c r="T49" s="22">
        <f t="shared" ca="1" si="9"/>
        <v>191.57820499999997</v>
      </c>
      <c r="V49" s="22">
        <f ca="1">IF(Q49="","",IF(Q49=0,0,SUMPRODUCT(OFFSET(M$18,MATCH(MIN(Q$18:Q$137),Q$18:Q$137,0),0,COUNT(M$18:M49)-MATCH(MIN(Q$18:Q$137),Q$18:Q$137,0),1),OFFSET(M$18,MATCH(MIN(Q$18:Q$137),Q$18:Q$137,0),2,COUNT(M$18:M49)-MATCH(MIN(Q$18:Q$137),Q$18:Q$137,0),1))*$T$6*$T$14))</f>
        <v>0</v>
      </c>
      <c r="W49" s="29"/>
      <c r="X49" s="23">
        <f t="shared" ca="1" si="13"/>
        <v>14.006095208970436</v>
      </c>
      <c r="Z49" s="15">
        <f t="shared" si="14"/>
        <v>7.45</v>
      </c>
      <c r="AA49" s="15">
        <f t="shared" si="15"/>
        <v>9.1999999999999993</v>
      </c>
      <c r="AC49" s="15">
        <f t="shared" si="16"/>
        <v>30</v>
      </c>
      <c r="AD49" s="15">
        <f t="shared" si="17"/>
        <v>39</v>
      </c>
      <c r="AF49" s="15">
        <f t="shared" ca="1" si="18"/>
        <v>10</v>
      </c>
      <c r="AH49" s="15">
        <f t="shared" si="10"/>
        <v>2</v>
      </c>
      <c r="AI49" s="38">
        <f t="shared" ca="1" si="19"/>
        <v>12.703941232626248</v>
      </c>
      <c r="AJ49" s="29"/>
      <c r="AK49" s="29"/>
      <c r="AL49" s="29"/>
    </row>
    <row r="50" spans="1:38" x14ac:dyDescent="0.2">
      <c r="A50" s="15">
        <v>33</v>
      </c>
      <c r="B50" s="2">
        <f t="shared" ref="B50:B81" si="20">IF(C50="","",ROUND($D$6-C50,2))</f>
        <v>181.13</v>
      </c>
      <c r="C50" s="25">
        <v>8</v>
      </c>
      <c r="D50" s="25">
        <v>0.84</v>
      </c>
      <c r="E50" s="25">
        <v>23.04</v>
      </c>
      <c r="F50" s="3" t="str">
        <f t="shared" ref="F50:F81" ca="1" si="21">IF(C50="","",OFFSET($C$5,MATCH(B50,D$6:D$15,-1),0,1,1))</f>
        <v>ИГЭ-2</v>
      </c>
      <c r="G50" s="30" t="str">
        <f t="shared" ref="G50:G81" ca="1" si="22">IF(C50="","",OFFSET($E$5,MATCH(B50,D$6:D$15,-1),0,1,1))</f>
        <v>пыл.-глинист.</v>
      </c>
      <c r="I50" s="13">
        <f t="shared" ca="1" si="11"/>
        <v>852</v>
      </c>
      <c r="J50" s="14">
        <f t="shared" ref="J50:J81" ca="1" si="23">IF(I50="","",IF(I50&lt;=1000,0.9,IF(I50&lt;=2500,ROUND(0.967-0.000067*I50,3),IF(I50&lt;=5000,ROUND(0.95-0.00006*I50,3),IF(I50&lt;=7500,ROUND(0.85-0.00004*I50,3),IF(I50&lt;=10000,ROUND(0.85-0.00004*I50,3),IF(I50&lt;=15000,ROUND(0.65-0.00002*I50,3),IF(I50&lt;=30000,0.5-0.00001*I50,0.2))))))))</f>
        <v>0.9</v>
      </c>
      <c r="L50" s="14">
        <f t="shared" ref="L50:L81" ca="1" si="24">IF(G50="","",IF(G50="песчаный",IF(E50&lt;=20,0.75,IF(E50&lt;=40,ROUND(0.9-0.0075*E50,3),IF(E50&lt;=120,ROUND(0.7-0.0025*E50,3),0.4))),IF(E50&lt;=20,1,IF(E50&lt;=40,ROUND(1.25-0.0125*E50,3),IF(E50&lt;=80,ROUND(1.05-0.0075*E50,3),IF(E50&lt;=100,ROUND(0.65-0.0025*E50,3),IF(E50&lt;=120,ROUND(0.9-0.005*E50,3),0.3)))))))</f>
        <v>0.96199999999999997</v>
      </c>
      <c r="M50" s="22">
        <f t="shared" ca="1" si="12"/>
        <v>4.2707910000000036</v>
      </c>
      <c r="N50" s="37">
        <f t="shared" ref="N50:N81" ca="1" si="25">IF(C50="","",IF(OFFSET($C$5,MATCH(B50,D$6:D$15,-1),4,1,1)="",1,0))</f>
        <v>1</v>
      </c>
      <c r="O50" s="37">
        <f t="shared" ref="O50:O81" ca="1" si="26">IF(C50="","",IF(OFFSET($C$5,MATCH(B50,D$6:D$15,-1),4,1,1)="тип II",1,0))</f>
        <v>0</v>
      </c>
      <c r="Q50" s="22">
        <f t="shared" ref="Q50:Q81" si="27">IF(C50="","",IF(ROUND(($D$6-FLOOR($D$6-$T$8,$C$19-$C$18))-B50,2)&lt;0,"",ROUND(($D$6-FLOOR($D$6-$T$8,$C$19-$C$18))-B50,2)))</f>
        <v>5</v>
      </c>
      <c r="R50" s="22">
        <f t="shared" ref="R50:R81" ca="1" si="28">IF(Q50="","",J50*I50*$T$7)</f>
        <v>93.932999999999993</v>
      </c>
      <c r="S50" s="22">
        <f ca="1">IF(Q50="","",IF(Q50=0,0,SUMPRODUCT(OFFSET(M$18,MATCH(MIN(Q$18:Q$137),Q$18:Q$137,0),0,COUNT(M$18:M50)-MATCH(MIN(Q$18:Q$137),Q$18:Q$137,0),1),OFFSET(M$18,MATCH(MIN(Q$18:Q$137),Q$18:Q$137,0),1,COUNT(M$18:M50)-MATCH(MIN(Q$18:Q$137),Q$18:Q$137,0),1))*$T$6))</f>
        <v>103.62431239999999</v>
      </c>
      <c r="T50" s="22">
        <f t="shared" ref="T50:T81" ca="1" si="29">IF(Q50="","",R50+S50)</f>
        <v>197.5573124</v>
      </c>
      <c r="V50" s="22">
        <f ca="1">IF(Q50="","",IF(Q50=0,0,SUMPRODUCT(OFFSET(M$18,MATCH(MIN(Q$18:Q$137),Q$18:Q$137,0),0,COUNT(M$18:M50)-MATCH(MIN(Q$18:Q$137),Q$18:Q$137,0),1),OFFSET(M$18,MATCH(MIN(Q$18:Q$137),Q$18:Q$137,0),2,COUNT(M$18:M50)-MATCH(MIN(Q$18:Q$137),Q$18:Q$137,0),1))*$T$6*$T$14))</f>
        <v>0</v>
      </c>
      <c r="W50" s="29"/>
      <c r="X50" s="23">
        <f t="shared" ca="1" si="13"/>
        <v>14.426313065239551</v>
      </c>
      <c r="Z50" s="15">
        <f t="shared" si="14"/>
        <v>7.65</v>
      </c>
      <c r="AA50" s="15">
        <f t="shared" si="15"/>
        <v>9.4</v>
      </c>
      <c r="AC50" s="15">
        <f t="shared" si="16"/>
        <v>31</v>
      </c>
      <c r="AD50" s="15">
        <f t="shared" si="17"/>
        <v>40</v>
      </c>
      <c r="AF50" s="15">
        <f t="shared" ca="1" si="18"/>
        <v>10</v>
      </c>
      <c r="AH50" s="15">
        <f t="shared" ref="AH50:AH81" si="30">MATCH(B50,D$6:D$15,-1)</f>
        <v>2</v>
      </c>
      <c r="AI50" s="38">
        <f t="shared" ca="1" si="19"/>
        <v>13.085091215636783</v>
      </c>
      <c r="AJ50" s="29"/>
      <c r="AK50" s="29"/>
      <c r="AL50" s="29"/>
    </row>
    <row r="51" spans="1:38" x14ac:dyDescent="0.2">
      <c r="A51" s="15">
        <v>34</v>
      </c>
      <c r="B51" s="2">
        <f t="shared" si="20"/>
        <v>180.93</v>
      </c>
      <c r="C51" s="25">
        <v>8.1999999999999993</v>
      </c>
      <c r="D51" s="25">
        <v>0.84</v>
      </c>
      <c r="E51" s="25">
        <v>23.04</v>
      </c>
      <c r="F51" s="3" t="str">
        <f t="shared" ca="1" si="21"/>
        <v>ИГЭ-2</v>
      </c>
      <c r="G51" s="30" t="str">
        <f t="shared" ca="1" si="22"/>
        <v>пыл.-глинист.</v>
      </c>
      <c r="I51" s="13">
        <f t="shared" ref="I51:I82" ca="1" si="31">IF(D51="","",ROUND(AVERAGE(OFFSET($D$17,MATCH(MAX(FLOOR(C51-$T$5,(C51-C50)),C$18),C$18:C$137),0,MATCH(MIN(CEILING(C51+4*$T$5,(C51-C50)),C$137),C$18:C$137)-MATCH(MAX(FLOOR(C51-$T$5,(C51-C50)),C$18),C$18:C$137)+1,1))*1000,0))</f>
        <v>862</v>
      </c>
      <c r="J51" s="14">
        <f t="shared" ca="1" si="23"/>
        <v>0.9</v>
      </c>
      <c r="L51" s="14">
        <f t="shared" ca="1" si="24"/>
        <v>0.96199999999999997</v>
      </c>
      <c r="M51" s="22">
        <f t="shared" ref="M51:M82" ca="1" si="32">IF(L51="","",(C51-C50)*SUMPRODUCT(E50:E51,L50:L51)/2)</f>
        <v>4.4328959999999835</v>
      </c>
      <c r="N51" s="37">
        <f t="shared" ca="1" si="25"/>
        <v>1</v>
      </c>
      <c r="O51" s="37">
        <f t="shared" ca="1" si="26"/>
        <v>0</v>
      </c>
      <c r="Q51" s="22">
        <f t="shared" si="27"/>
        <v>5.2</v>
      </c>
      <c r="R51" s="22">
        <f t="shared" ca="1" si="28"/>
        <v>95.035499999999999</v>
      </c>
      <c r="S51" s="22">
        <f ca="1">IF(Q51="","",IF(Q51=0,0,SUMPRODUCT(OFFSET(M$18,MATCH(MIN(Q$18:Q$137),Q$18:Q$137,0),0,COUNT(M$18:M51)-MATCH(MIN(Q$18:Q$137),Q$18:Q$137,0),1),OFFSET(M$18,MATCH(MIN(Q$18:Q$137),Q$18:Q$137,0),1,COUNT(M$18:M51)-MATCH(MIN(Q$18:Q$137),Q$18:Q$137,0),1))*$T$6))</f>
        <v>109.83036679999996</v>
      </c>
      <c r="T51" s="22">
        <f t="shared" ca="1" si="29"/>
        <v>204.86586679999996</v>
      </c>
      <c r="V51" s="22">
        <f ca="1">IF(Q51="","",IF(Q51=0,0,SUMPRODUCT(OFFSET(M$18,MATCH(MIN(Q$18:Q$137),Q$18:Q$137,0),0,COUNT(M$18:M51)-MATCH(MIN(Q$18:Q$137),Q$18:Q$137,0),1),OFFSET(M$18,MATCH(MIN(Q$18:Q$137),Q$18:Q$137,0),2,COUNT(M$18:M51)-MATCH(MIN(Q$18:Q$137),Q$18:Q$137,0),1))*$T$6*$T$14))</f>
        <v>0</v>
      </c>
      <c r="W51" s="29"/>
      <c r="X51" s="23">
        <f t="shared" ca="1" si="13"/>
        <v>14.954946579001016</v>
      </c>
      <c r="Z51" s="15">
        <f t="shared" ref="Z51:Z82" si="33">C51-T$5</f>
        <v>7.85</v>
      </c>
      <c r="AA51" s="15">
        <f t="shared" ref="AA51:AA82" si="34">C51+4*T$5</f>
        <v>9.6</v>
      </c>
      <c r="AC51" s="15">
        <f t="shared" ref="AC51:AC82" si="35">MATCH(MAX(FLOOR(C51-$T$5,(C51-C50)),C$18),C$18:C$137)</f>
        <v>31</v>
      </c>
      <c r="AD51" s="15">
        <f t="shared" ref="AD51:AD82" si="36">MATCH(MIN(CEILING(C51+4*$T$5,(C51-C50)),C$137),C$18:C$137)</f>
        <v>41</v>
      </c>
      <c r="AF51" s="15">
        <f t="shared" ref="AF51:AF82" ca="1" si="37">COUNT(OFFSET($D$17,AC51,0,AD51-AC51+1,1))</f>
        <v>11</v>
      </c>
      <c r="AH51" s="15">
        <f t="shared" si="30"/>
        <v>2</v>
      </c>
      <c r="AI51" s="38">
        <f t="shared" ca="1" si="19"/>
        <v>13.564577395919292</v>
      </c>
      <c r="AJ51" s="29"/>
      <c r="AK51" s="29"/>
      <c r="AL51" s="29"/>
    </row>
    <row r="52" spans="1:38" x14ac:dyDescent="0.2">
      <c r="A52" s="15">
        <v>35</v>
      </c>
      <c r="B52" s="2">
        <f t="shared" si="20"/>
        <v>180.73</v>
      </c>
      <c r="C52" s="25">
        <v>8.4</v>
      </c>
      <c r="D52" s="25">
        <v>0.84</v>
      </c>
      <c r="E52" s="25">
        <v>23.04</v>
      </c>
      <c r="F52" s="3" t="str">
        <f t="shared" ca="1" si="21"/>
        <v>ИГЭ-2</v>
      </c>
      <c r="G52" s="30" t="str">
        <f t="shared" ca="1" si="22"/>
        <v>пыл.-глинист.</v>
      </c>
      <c r="I52" s="13">
        <f t="shared" ca="1" si="31"/>
        <v>876</v>
      </c>
      <c r="J52" s="14">
        <f t="shared" ca="1" si="23"/>
        <v>0.9</v>
      </c>
      <c r="L52" s="14">
        <f t="shared" ca="1" si="24"/>
        <v>0.96199999999999997</v>
      </c>
      <c r="M52" s="22">
        <f t="shared" ca="1" si="32"/>
        <v>4.4328960000000235</v>
      </c>
      <c r="N52" s="37">
        <f t="shared" ca="1" si="25"/>
        <v>1</v>
      </c>
      <c r="O52" s="37">
        <f t="shared" ca="1" si="26"/>
        <v>0</v>
      </c>
      <c r="Q52" s="22">
        <f t="shared" si="27"/>
        <v>5.4</v>
      </c>
      <c r="R52" s="22">
        <f t="shared" ca="1" si="28"/>
        <v>96.578999999999979</v>
      </c>
      <c r="S52" s="22">
        <f ca="1">IF(Q52="","",IF(Q52=0,0,SUMPRODUCT(OFFSET(M$18,MATCH(MIN(Q$18:Q$137),Q$18:Q$137,0),0,COUNT(M$18:M52)-MATCH(MIN(Q$18:Q$137),Q$18:Q$137,0),1),OFFSET(M$18,MATCH(MIN(Q$18:Q$137),Q$18:Q$137,0),1,COUNT(M$18:M52)-MATCH(MIN(Q$18:Q$137),Q$18:Q$137,0),1))*$T$6))</f>
        <v>116.03642120000001</v>
      </c>
      <c r="T52" s="22">
        <f t="shared" ca="1" si="29"/>
        <v>212.61542119999999</v>
      </c>
      <c r="V52" s="22">
        <f ca="1">IF(Q52="","",IF(Q52=0,0,SUMPRODUCT(OFFSET(M$18,MATCH(MIN(Q$18:Q$137),Q$18:Q$137,0),0,COUNT(M$18:M52)-MATCH(MIN(Q$18:Q$137),Q$18:Q$137,0),1),OFFSET(M$18,MATCH(MIN(Q$18:Q$137),Q$18:Q$137,0),2,COUNT(M$18:M52)-MATCH(MIN(Q$18:Q$137),Q$18:Q$137,0),1))*$T$6*$T$14))</f>
        <v>0</v>
      </c>
      <c r="W52" s="29"/>
      <c r="X52" s="23">
        <f t="shared" ca="1" si="13"/>
        <v>15.519543395514777</v>
      </c>
      <c r="Z52" s="15">
        <f t="shared" si="33"/>
        <v>8.0500000000000007</v>
      </c>
      <c r="AA52" s="15">
        <f t="shared" si="34"/>
        <v>9.8000000000000007</v>
      </c>
      <c r="AC52" s="15">
        <f t="shared" si="35"/>
        <v>33</v>
      </c>
      <c r="AD52" s="15">
        <f t="shared" si="36"/>
        <v>42</v>
      </c>
      <c r="AF52" s="15">
        <f t="shared" ca="1" si="37"/>
        <v>10</v>
      </c>
      <c r="AH52" s="15">
        <f t="shared" si="30"/>
        <v>2</v>
      </c>
      <c r="AI52" s="38">
        <f t="shared" ca="1" si="19"/>
        <v>14.076683351940842</v>
      </c>
      <c r="AJ52" s="29"/>
      <c r="AK52" s="29"/>
      <c r="AL52" s="29"/>
    </row>
    <row r="53" spans="1:38" x14ac:dyDescent="0.2">
      <c r="A53" s="15">
        <v>36</v>
      </c>
      <c r="B53" s="2">
        <f t="shared" si="20"/>
        <v>180.53</v>
      </c>
      <c r="C53" s="25">
        <v>8.6</v>
      </c>
      <c r="D53" s="25">
        <v>0.84</v>
      </c>
      <c r="E53" s="25">
        <v>20.73</v>
      </c>
      <c r="F53" s="3" t="str">
        <f t="shared" ca="1" si="21"/>
        <v>ИГЭ-2</v>
      </c>
      <c r="G53" s="30" t="str">
        <f t="shared" ca="1" si="22"/>
        <v>пыл.-глинист.</v>
      </c>
      <c r="I53" s="13">
        <f t="shared" ca="1" si="31"/>
        <v>884</v>
      </c>
      <c r="J53" s="14">
        <f t="shared" ca="1" si="23"/>
        <v>0.9</v>
      </c>
      <c r="L53" s="14">
        <f t="shared" ca="1" si="24"/>
        <v>0.99099999999999999</v>
      </c>
      <c r="M53" s="22">
        <f t="shared" ca="1" si="32"/>
        <v>4.2707909999999849</v>
      </c>
      <c r="N53" s="37">
        <f t="shared" ca="1" si="25"/>
        <v>1</v>
      </c>
      <c r="O53" s="37">
        <f t="shared" ca="1" si="26"/>
        <v>0</v>
      </c>
      <c r="Q53" s="22">
        <f t="shared" si="27"/>
        <v>5.6</v>
      </c>
      <c r="R53" s="22">
        <f t="shared" ca="1" si="28"/>
        <v>97.460999999999984</v>
      </c>
      <c r="S53" s="22">
        <f ca="1">IF(Q53="","",IF(Q53=0,0,SUMPRODUCT(OFFSET(M$18,MATCH(MIN(Q$18:Q$137),Q$18:Q$137,0),0,COUNT(M$18:M53)-MATCH(MIN(Q$18:Q$137),Q$18:Q$137,0),1),OFFSET(M$18,MATCH(MIN(Q$18:Q$137),Q$18:Q$137,0),1,COUNT(M$18:M53)-MATCH(MIN(Q$18:Q$137),Q$18:Q$137,0),1))*$T$6))</f>
        <v>122.01552859999998</v>
      </c>
      <c r="T53" s="22">
        <f t="shared" ca="1" si="29"/>
        <v>219.47652859999997</v>
      </c>
      <c r="V53" s="22">
        <f ca="1">IF(Q53="","",IF(Q53=0,0,SUMPRODUCT(OFFSET(M$18,MATCH(MIN(Q$18:Q$137),Q$18:Q$137,0),0,COUNT(M$18:M53)-MATCH(MIN(Q$18:Q$137),Q$18:Q$137,0),1),OFFSET(M$18,MATCH(MIN(Q$18:Q$137),Q$18:Q$137,0),2,COUNT(M$18:M53)-MATCH(MIN(Q$18:Q$137),Q$18:Q$137,0),1))*$T$6*$T$14))</f>
        <v>0</v>
      </c>
      <c r="W53" s="29"/>
      <c r="X53" s="23">
        <f t="shared" ca="1" si="13"/>
        <v>16.011687857288479</v>
      </c>
      <c r="Z53" s="15">
        <f t="shared" si="33"/>
        <v>8.25</v>
      </c>
      <c r="AA53" s="15">
        <f t="shared" si="34"/>
        <v>10</v>
      </c>
      <c r="AC53" s="15">
        <f t="shared" si="35"/>
        <v>33</v>
      </c>
      <c r="AD53" s="15">
        <f t="shared" si="36"/>
        <v>43</v>
      </c>
      <c r="AF53" s="15">
        <f t="shared" ca="1" si="37"/>
        <v>11</v>
      </c>
      <c r="AH53" s="15">
        <f t="shared" si="30"/>
        <v>2</v>
      </c>
      <c r="AI53" s="38">
        <f t="shared" ca="1" si="19"/>
        <v>14.523072886429462</v>
      </c>
      <c r="AJ53" s="29"/>
      <c r="AK53" s="29"/>
      <c r="AL53" s="29"/>
    </row>
    <row r="54" spans="1:38" x14ac:dyDescent="0.2">
      <c r="A54" s="15">
        <v>37</v>
      </c>
      <c r="B54" s="2">
        <f t="shared" si="20"/>
        <v>180.33</v>
      </c>
      <c r="C54" s="25">
        <v>8.8000000000000007</v>
      </c>
      <c r="D54" s="25">
        <v>0.84</v>
      </c>
      <c r="E54" s="25">
        <v>23.04</v>
      </c>
      <c r="F54" s="3" t="str">
        <f t="shared" ca="1" si="21"/>
        <v>ИГЭ-2</v>
      </c>
      <c r="G54" s="30" t="str">
        <f t="shared" ca="1" si="22"/>
        <v>пыл.-глинист.</v>
      </c>
      <c r="I54" s="13">
        <f t="shared" ca="1" si="31"/>
        <v>900</v>
      </c>
      <c r="J54" s="14">
        <f t="shared" ca="1" si="23"/>
        <v>0.9</v>
      </c>
      <c r="L54" s="14">
        <f t="shared" ca="1" si="24"/>
        <v>0.96199999999999997</v>
      </c>
      <c r="M54" s="22">
        <f t="shared" ca="1" si="32"/>
        <v>4.2707910000000222</v>
      </c>
      <c r="N54" s="37">
        <f t="shared" ca="1" si="25"/>
        <v>1</v>
      </c>
      <c r="O54" s="37">
        <f t="shared" ca="1" si="26"/>
        <v>0</v>
      </c>
      <c r="Q54" s="22">
        <f t="shared" si="27"/>
        <v>5.8</v>
      </c>
      <c r="R54" s="22">
        <f t="shared" ca="1" si="28"/>
        <v>99.22499999999998</v>
      </c>
      <c r="S54" s="22">
        <f ca="1">IF(Q54="","",IF(Q54=0,0,SUMPRODUCT(OFFSET(M$18,MATCH(MIN(Q$18:Q$137),Q$18:Q$137,0),0,COUNT(M$18:M54)-MATCH(MIN(Q$18:Q$137),Q$18:Q$137,0),1),OFFSET(M$18,MATCH(MIN(Q$18:Q$137),Q$18:Q$137,0),1,COUNT(M$18:M54)-MATCH(MIN(Q$18:Q$137),Q$18:Q$137,0),1))*$T$6))</f>
        <v>127.99463600000001</v>
      </c>
      <c r="T54" s="22">
        <f t="shared" ca="1" si="29"/>
        <v>227.21963599999998</v>
      </c>
      <c r="V54" s="22">
        <f ca="1">IF(Q54="","",IF(Q54=0,0,SUMPRODUCT(OFFSET(M$18,MATCH(MIN(Q$18:Q$137),Q$18:Q$137,0),0,COUNT(M$18:M54)-MATCH(MIN(Q$18:Q$137),Q$18:Q$137,0),1),OFFSET(M$18,MATCH(MIN(Q$18:Q$137),Q$18:Q$137,0),2,COUNT(M$18:M54)-MATCH(MIN(Q$18:Q$137),Q$18:Q$137,0),1))*$T$6*$T$14))</f>
        <v>0</v>
      </c>
      <c r="W54" s="29"/>
      <c r="X54" s="23">
        <f t="shared" ca="1" si="13"/>
        <v>16.575758924566767</v>
      </c>
      <c r="Z54" s="15">
        <f t="shared" si="33"/>
        <v>8.4500000000000011</v>
      </c>
      <c r="AA54" s="15">
        <f t="shared" si="34"/>
        <v>10.200000000000001</v>
      </c>
      <c r="AC54" s="15">
        <f t="shared" si="35"/>
        <v>35</v>
      </c>
      <c r="AD54" s="15">
        <f t="shared" si="36"/>
        <v>44</v>
      </c>
      <c r="AF54" s="15">
        <f t="shared" ca="1" si="37"/>
        <v>10</v>
      </c>
      <c r="AH54" s="15">
        <f t="shared" si="30"/>
        <v>2</v>
      </c>
      <c r="AI54" s="38">
        <f t="shared" ca="1" si="19"/>
        <v>15.034701972396164</v>
      </c>
      <c r="AJ54" s="29"/>
      <c r="AK54" s="29"/>
      <c r="AL54" s="29"/>
    </row>
    <row r="55" spans="1:38" x14ac:dyDescent="0.2">
      <c r="A55" s="15">
        <v>38</v>
      </c>
      <c r="B55" s="2">
        <f t="shared" si="20"/>
        <v>180.13</v>
      </c>
      <c r="C55" s="25">
        <v>9</v>
      </c>
      <c r="D55" s="25">
        <v>0.96</v>
      </c>
      <c r="E55" s="25">
        <v>23.04</v>
      </c>
      <c r="F55" s="3" t="str">
        <f t="shared" ca="1" si="21"/>
        <v>ИГЭ-2</v>
      </c>
      <c r="G55" s="30" t="str">
        <f t="shared" ca="1" si="22"/>
        <v>пыл.-глинист.</v>
      </c>
      <c r="I55" s="13">
        <f t="shared" ca="1" si="31"/>
        <v>895</v>
      </c>
      <c r="J55" s="14">
        <f t="shared" ca="1" si="23"/>
        <v>0.9</v>
      </c>
      <c r="L55" s="14">
        <f t="shared" ca="1" si="24"/>
        <v>0.96199999999999997</v>
      </c>
      <c r="M55" s="22">
        <f t="shared" ca="1" si="32"/>
        <v>4.4328959999999835</v>
      </c>
      <c r="N55" s="37">
        <f t="shared" ca="1" si="25"/>
        <v>1</v>
      </c>
      <c r="O55" s="37">
        <f t="shared" ca="1" si="26"/>
        <v>0</v>
      </c>
      <c r="Q55" s="22">
        <f t="shared" si="27"/>
        <v>6</v>
      </c>
      <c r="R55" s="22">
        <f t="shared" ca="1" si="28"/>
        <v>98.673749999999984</v>
      </c>
      <c r="S55" s="22">
        <f ca="1">IF(Q55="","",IF(Q55=0,0,SUMPRODUCT(OFFSET(M$18,MATCH(MIN(Q$18:Q$137),Q$18:Q$137,0),0,COUNT(M$18:M55)-MATCH(MIN(Q$18:Q$137),Q$18:Q$137,0),1),OFFSET(M$18,MATCH(MIN(Q$18:Q$137),Q$18:Q$137,0),1,COUNT(M$18:M55)-MATCH(MIN(Q$18:Q$137),Q$18:Q$137,0),1))*$T$6))</f>
        <v>134.20069039999998</v>
      </c>
      <c r="T55" s="22">
        <f t="shared" ca="1" si="29"/>
        <v>232.87444039999997</v>
      </c>
      <c r="V55" s="22">
        <f ca="1">IF(Q55="","",IF(Q55=0,0,SUMPRODUCT(OFFSET(M$18,MATCH(MIN(Q$18:Q$137),Q$18:Q$137,0),0,COUNT(M$18:M55)-MATCH(MIN(Q$18:Q$137),Q$18:Q$137,0),1),OFFSET(M$18,MATCH(MIN(Q$18:Q$137),Q$18:Q$137,0),2,COUNT(M$18:M55)-MATCH(MIN(Q$18:Q$137),Q$18:Q$137,0),1))*$T$6*$T$14))</f>
        <v>0</v>
      </c>
      <c r="W55" s="29"/>
      <c r="X55" s="23">
        <f t="shared" ca="1" si="13"/>
        <v>16.969530053007134</v>
      </c>
      <c r="Z55" s="15">
        <f t="shared" si="33"/>
        <v>8.65</v>
      </c>
      <c r="AA55" s="15">
        <f t="shared" si="34"/>
        <v>10.4</v>
      </c>
      <c r="AC55" s="15">
        <f t="shared" si="35"/>
        <v>35</v>
      </c>
      <c r="AD55" s="15">
        <f t="shared" si="36"/>
        <v>45</v>
      </c>
      <c r="AF55" s="15">
        <f t="shared" ca="1" si="37"/>
        <v>11</v>
      </c>
      <c r="AH55" s="15">
        <f t="shared" si="30"/>
        <v>2</v>
      </c>
      <c r="AI55" s="38">
        <f t="shared" ca="1" si="19"/>
        <v>15.391863993657267</v>
      </c>
      <c r="AJ55" s="29"/>
      <c r="AK55" s="29"/>
      <c r="AL55" s="29"/>
    </row>
    <row r="56" spans="1:38" x14ac:dyDescent="0.2">
      <c r="A56" s="15">
        <v>39</v>
      </c>
      <c r="B56" s="2">
        <f t="shared" si="20"/>
        <v>179.93</v>
      </c>
      <c r="C56" s="25">
        <v>9.1999999999999993</v>
      </c>
      <c r="D56" s="25">
        <v>0.84</v>
      </c>
      <c r="E56" s="25">
        <v>36.86</v>
      </c>
      <c r="F56" s="3" t="str">
        <f t="shared" ca="1" si="21"/>
        <v>ИГЭ-2</v>
      </c>
      <c r="G56" s="30" t="str">
        <f t="shared" ca="1" si="22"/>
        <v>пыл.-глинист.</v>
      </c>
      <c r="I56" s="13">
        <f t="shared" ca="1" si="31"/>
        <v>895</v>
      </c>
      <c r="J56" s="14">
        <f t="shared" ca="1" si="23"/>
        <v>0.9</v>
      </c>
      <c r="L56" s="14">
        <f t="shared" ca="1" si="24"/>
        <v>0.78900000000000003</v>
      </c>
      <c r="M56" s="22">
        <f t="shared" ca="1" si="32"/>
        <v>5.1247019999999814</v>
      </c>
      <c r="N56" s="37">
        <f t="shared" ca="1" si="25"/>
        <v>1</v>
      </c>
      <c r="O56" s="37">
        <f t="shared" ca="1" si="26"/>
        <v>0</v>
      </c>
      <c r="Q56" s="22">
        <f t="shared" si="27"/>
        <v>6.2</v>
      </c>
      <c r="R56" s="22">
        <f t="shared" ca="1" si="28"/>
        <v>98.673749999999984</v>
      </c>
      <c r="S56" s="22">
        <f ca="1">IF(Q56="","",IF(Q56=0,0,SUMPRODUCT(OFFSET(M$18,MATCH(MIN(Q$18:Q$137),Q$18:Q$137,0),0,COUNT(M$18:M56)-MATCH(MIN(Q$18:Q$137),Q$18:Q$137,0),1),OFFSET(M$18,MATCH(MIN(Q$18:Q$137),Q$18:Q$137,0),1,COUNT(M$18:M56)-MATCH(MIN(Q$18:Q$137),Q$18:Q$137,0),1))*$T$6))</f>
        <v>141.37527319999998</v>
      </c>
      <c r="T56" s="22">
        <f t="shared" ca="1" si="29"/>
        <v>240.04902319999997</v>
      </c>
      <c r="V56" s="22">
        <f ca="1">IF(Q56="","",IF(Q56=0,0,SUMPRODUCT(OFFSET(M$18,MATCH(MIN(Q$18:Q$137),Q$18:Q$137,0),0,COUNT(M$18:M56)-MATCH(MIN(Q$18:Q$137),Q$18:Q$137,0),1),OFFSET(M$18,MATCH(MIN(Q$18:Q$137),Q$18:Q$137,0),2,COUNT(M$18:M56)-MATCH(MIN(Q$18:Q$137),Q$18:Q$137,0),1))*$T$6*$T$14))</f>
        <v>0</v>
      </c>
      <c r="W56" s="29"/>
      <c r="X56" s="23">
        <f t="shared" ca="1" si="13"/>
        <v>17.487238257900096</v>
      </c>
      <c r="Z56" s="15">
        <f t="shared" si="33"/>
        <v>8.85</v>
      </c>
      <c r="AA56" s="15">
        <f t="shared" si="34"/>
        <v>10.6</v>
      </c>
      <c r="AC56" s="15">
        <f t="shared" si="35"/>
        <v>36</v>
      </c>
      <c r="AD56" s="15">
        <f t="shared" si="36"/>
        <v>46</v>
      </c>
      <c r="AF56" s="15">
        <f t="shared" ca="1" si="37"/>
        <v>11</v>
      </c>
      <c r="AH56" s="15">
        <f t="shared" si="30"/>
        <v>2</v>
      </c>
      <c r="AI56" s="38">
        <f t="shared" ca="1" si="19"/>
        <v>15.861440596734784</v>
      </c>
      <c r="AJ56" s="29"/>
      <c r="AK56" s="29"/>
      <c r="AL56" s="29"/>
    </row>
    <row r="57" spans="1:38" x14ac:dyDescent="0.2">
      <c r="A57" s="15">
        <v>40</v>
      </c>
      <c r="B57" s="2">
        <f t="shared" si="20"/>
        <v>179.73</v>
      </c>
      <c r="C57" s="25">
        <v>9.4</v>
      </c>
      <c r="D57" s="25">
        <v>0.84</v>
      </c>
      <c r="E57" s="25">
        <v>34.56</v>
      </c>
      <c r="F57" s="3" t="str">
        <f t="shared" ca="1" si="21"/>
        <v>ИГЭ-2</v>
      </c>
      <c r="G57" s="30" t="str">
        <f t="shared" ca="1" si="22"/>
        <v>пыл.-глинист.</v>
      </c>
      <c r="I57" s="13">
        <f t="shared" ca="1" si="31"/>
        <v>912</v>
      </c>
      <c r="J57" s="14">
        <f t="shared" ca="1" si="23"/>
        <v>0.9</v>
      </c>
      <c r="L57" s="14">
        <f t="shared" ca="1" si="24"/>
        <v>0.81799999999999995</v>
      </c>
      <c r="M57" s="22">
        <f t="shared" ca="1" si="32"/>
        <v>5.7352620000000307</v>
      </c>
      <c r="N57" s="37">
        <f t="shared" ca="1" si="25"/>
        <v>1</v>
      </c>
      <c r="O57" s="37">
        <f t="shared" ca="1" si="26"/>
        <v>0</v>
      </c>
      <c r="Q57" s="22">
        <f t="shared" si="27"/>
        <v>6.4</v>
      </c>
      <c r="R57" s="22">
        <f t="shared" ca="1" si="28"/>
        <v>100.548</v>
      </c>
      <c r="S57" s="22">
        <f ca="1">IF(Q57="","",IF(Q57=0,0,SUMPRODUCT(OFFSET(M$18,MATCH(MIN(Q$18:Q$137),Q$18:Q$137,0),0,COUNT(M$18:M57)-MATCH(MIN(Q$18:Q$137),Q$18:Q$137,0),1),OFFSET(M$18,MATCH(MIN(Q$18:Q$137),Q$18:Q$137,0),1,COUNT(M$18:M57)-MATCH(MIN(Q$18:Q$137),Q$18:Q$137,0),1))*$T$6))</f>
        <v>149.40464000000003</v>
      </c>
      <c r="T57" s="22">
        <f t="shared" ca="1" si="29"/>
        <v>249.95264000000003</v>
      </c>
      <c r="V57" s="22">
        <f ca="1">IF(Q57="","",IF(Q57=0,0,SUMPRODUCT(OFFSET(M$18,MATCH(MIN(Q$18:Q$137),Q$18:Q$137,0),0,COUNT(M$18:M57)-MATCH(MIN(Q$18:Q$137),Q$18:Q$137,0),1),OFFSET(M$18,MATCH(MIN(Q$18:Q$137),Q$18:Q$137,0),2,COUNT(M$18:M57)-MATCH(MIN(Q$18:Q$137),Q$18:Q$137,0),1))*$T$6*$T$14))</f>
        <v>0</v>
      </c>
      <c r="W57" s="29"/>
      <c r="X57" s="23">
        <f t="shared" ca="1" si="13"/>
        <v>18.227497655453622</v>
      </c>
      <c r="Z57" s="15">
        <f t="shared" si="33"/>
        <v>9.0500000000000007</v>
      </c>
      <c r="AA57" s="15">
        <f t="shared" si="34"/>
        <v>10.8</v>
      </c>
      <c r="AC57" s="15">
        <f t="shared" si="35"/>
        <v>38</v>
      </c>
      <c r="AD57" s="15">
        <f t="shared" si="36"/>
        <v>47</v>
      </c>
      <c r="AF57" s="15">
        <f t="shared" ca="1" si="37"/>
        <v>10</v>
      </c>
      <c r="AH57" s="15">
        <f t="shared" si="30"/>
        <v>2</v>
      </c>
      <c r="AI57" s="38">
        <f t="shared" ca="1" si="19"/>
        <v>16.532877692021426</v>
      </c>
      <c r="AJ57" s="29"/>
      <c r="AK57" s="29"/>
      <c r="AL57" s="29"/>
    </row>
    <row r="58" spans="1:38" x14ac:dyDescent="0.2">
      <c r="A58" s="15">
        <v>41</v>
      </c>
      <c r="B58" s="2">
        <f t="shared" si="20"/>
        <v>179.53</v>
      </c>
      <c r="C58" s="25">
        <v>9.6</v>
      </c>
      <c r="D58" s="25">
        <v>0.96</v>
      </c>
      <c r="E58" s="25">
        <v>29.95</v>
      </c>
      <c r="F58" s="3" t="str">
        <f t="shared" ca="1" si="21"/>
        <v>ИГЭ-2</v>
      </c>
      <c r="G58" s="30" t="str">
        <f t="shared" ca="1" si="22"/>
        <v>пыл.-глинист.</v>
      </c>
      <c r="I58" s="13">
        <f t="shared" ca="1" si="31"/>
        <v>916</v>
      </c>
      <c r="J58" s="14">
        <f t="shared" ca="1" si="23"/>
        <v>0.9</v>
      </c>
      <c r="L58" s="14">
        <f t="shared" ca="1" si="24"/>
        <v>0.876</v>
      </c>
      <c r="M58" s="22">
        <f t="shared" ca="1" si="32"/>
        <v>5.4506279999999814</v>
      </c>
      <c r="N58" s="37">
        <f t="shared" ca="1" si="25"/>
        <v>1</v>
      </c>
      <c r="O58" s="37">
        <f t="shared" ca="1" si="26"/>
        <v>0</v>
      </c>
      <c r="Q58" s="22">
        <f t="shared" si="27"/>
        <v>6.6</v>
      </c>
      <c r="R58" s="22">
        <f t="shared" ca="1" si="28"/>
        <v>100.98899999999999</v>
      </c>
      <c r="S58" s="22">
        <f ca="1">IF(Q58="","",IF(Q58=0,0,SUMPRODUCT(OFFSET(M$18,MATCH(MIN(Q$18:Q$137),Q$18:Q$137,0),0,COUNT(M$18:M58)-MATCH(MIN(Q$18:Q$137),Q$18:Q$137,0),1),OFFSET(M$18,MATCH(MIN(Q$18:Q$137),Q$18:Q$137,0),1,COUNT(M$18:M58)-MATCH(MIN(Q$18:Q$137),Q$18:Q$137,0),1))*$T$6))</f>
        <v>157.03551919999998</v>
      </c>
      <c r="T58" s="22">
        <f t="shared" ca="1" si="29"/>
        <v>258.02451919999999</v>
      </c>
      <c r="V58" s="22">
        <f ca="1">IF(Q58="","",IF(Q58=0,0,SUMPRODUCT(OFFSET(M$18,MATCH(MIN(Q$18:Q$137),Q$18:Q$137,0),0,COUNT(M$18:M58)-MATCH(MIN(Q$18:Q$137),Q$18:Q$137,0),1),OFFSET(M$18,MATCH(MIN(Q$18:Q$137),Q$18:Q$137,0),2,COUNT(M$18:M58)-MATCH(MIN(Q$18:Q$137),Q$18:Q$137,0),1))*$T$6*$T$14))</f>
        <v>0</v>
      </c>
      <c r="W58" s="29"/>
      <c r="X58" s="23">
        <f t="shared" ca="1" si="13"/>
        <v>18.818379878695207</v>
      </c>
      <c r="Z58" s="15">
        <f t="shared" si="33"/>
        <v>9.25</v>
      </c>
      <c r="AA58" s="15">
        <f t="shared" si="34"/>
        <v>11</v>
      </c>
      <c r="AC58" s="15">
        <f t="shared" si="35"/>
        <v>38</v>
      </c>
      <c r="AD58" s="15">
        <f t="shared" si="36"/>
        <v>48</v>
      </c>
      <c r="AF58" s="15">
        <f t="shared" ca="1" si="37"/>
        <v>11</v>
      </c>
      <c r="AH58" s="15">
        <f t="shared" si="30"/>
        <v>2</v>
      </c>
      <c r="AI58" s="38">
        <f t="shared" ca="1" si="19"/>
        <v>17.068825286798372</v>
      </c>
      <c r="AJ58" s="29"/>
      <c r="AK58" s="29"/>
      <c r="AL58" s="29"/>
    </row>
    <row r="59" spans="1:38" x14ac:dyDescent="0.2">
      <c r="A59" s="15">
        <v>42</v>
      </c>
      <c r="B59" s="2">
        <f t="shared" si="20"/>
        <v>179.33</v>
      </c>
      <c r="C59" s="25">
        <v>9.8000000000000007</v>
      </c>
      <c r="D59" s="25">
        <v>0.96</v>
      </c>
      <c r="E59" s="25">
        <v>32.25</v>
      </c>
      <c r="F59" s="3" t="str">
        <f t="shared" ca="1" si="21"/>
        <v>ИГЭ-2</v>
      </c>
      <c r="G59" s="30" t="str">
        <f t="shared" ca="1" si="22"/>
        <v>пыл.-глинист.</v>
      </c>
      <c r="I59" s="13">
        <f t="shared" ca="1" si="31"/>
        <v>924</v>
      </c>
      <c r="J59" s="14">
        <f t="shared" ca="1" si="23"/>
        <v>0.9</v>
      </c>
      <c r="L59" s="14">
        <f t="shared" ca="1" si="24"/>
        <v>0.84699999999999998</v>
      </c>
      <c r="M59" s="22">
        <f t="shared" ca="1" si="32"/>
        <v>5.3551950000000286</v>
      </c>
      <c r="N59" s="37">
        <f t="shared" ca="1" si="25"/>
        <v>1</v>
      </c>
      <c r="O59" s="37">
        <f t="shared" ca="1" si="26"/>
        <v>0</v>
      </c>
      <c r="Q59" s="22">
        <f t="shared" si="27"/>
        <v>6.8</v>
      </c>
      <c r="R59" s="22">
        <f t="shared" ca="1" si="28"/>
        <v>101.871</v>
      </c>
      <c r="S59" s="22">
        <f ca="1">IF(Q59="","",IF(Q59=0,0,SUMPRODUCT(OFFSET(M$18,MATCH(MIN(Q$18:Q$137),Q$18:Q$137,0),0,COUNT(M$18:M59)-MATCH(MIN(Q$18:Q$137),Q$18:Q$137,0),1),OFFSET(M$18,MATCH(MIN(Q$18:Q$137),Q$18:Q$137,0),1,COUNT(M$18:M59)-MATCH(MIN(Q$18:Q$137),Q$18:Q$137,0),1))*$T$6))</f>
        <v>164.53279220000002</v>
      </c>
      <c r="T59" s="22">
        <f t="shared" ca="1" si="29"/>
        <v>266.4037922</v>
      </c>
      <c r="V59" s="22">
        <f ca="1">IF(Q59="","",IF(Q59=0,0,SUMPRODUCT(OFFSET(M$18,MATCH(MIN(Q$18:Q$137),Q$18:Q$137,0),0,COUNT(M$18:M59)-MATCH(MIN(Q$18:Q$137),Q$18:Q$137,0),1),OFFSET(M$18,MATCH(MIN(Q$18:Q$137),Q$18:Q$137,0),2,COUNT(M$18:M59)-MATCH(MIN(Q$18:Q$137),Q$18:Q$137,0),1))*$T$6*$T$14))</f>
        <v>0</v>
      </c>
      <c r="W59" s="29"/>
      <c r="X59" s="23">
        <f t="shared" ca="1" si="13"/>
        <v>19.43432989398573</v>
      </c>
      <c r="Z59" s="15">
        <f t="shared" si="33"/>
        <v>9.4500000000000011</v>
      </c>
      <c r="AA59" s="15">
        <f t="shared" si="34"/>
        <v>11.200000000000001</v>
      </c>
      <c r="AC59" s="15">
        <f t="shared" si="35"/>
        <v>40</v>
      </c>
      <c r="AD59" s="15">
        <f t="shared" si="36"/>
        <v>49</v>
      </c>
      <c r="AF59" s="15">
        <f t="shared" ca="1" si="37"/>
        <v>10</v>
      </c>
      <c r="AH59" s="15">
        <f t="shared" si="30"/>
        <v>2</v>
      </c>
      <c r="AI59" s="38">
        <f t="shared" ca="1" si="19"/>
        <v>17.627510107923566</v>
      </c>
      <c r="AJ59" s="29"/>
      <c r="AK59" s="29"/>
      <c r="AL59" s="29"/>
    </row>
    <row r="60" spans="1:38" x14ac:dyDescent="0.2">
      <c r="A60" s="15">
        <v>43</v>
      </c>
      <c r="B60" s="2">
        <f t="shared" si="20"/>
        <v>179.13</v>
      </c>
      <c r="C60" s="25">
        <v>10</v>
      </c>
      <c r="D60" s="25">
        <v>0.96</v>
      </c>
      <c r="E60" s="25">
        <v>29.95</v>
      </c>
      <c r="F60" s="3" t="str">
        <f t="shared" ca="1" si="21"/>
        <v>ИГЭ-2</v>
      </c>
      <c r="G60" s="30" t="str">
        <f t="shared" ca="1" si="22"/>
        <v>пыл.-глинист.</v>
      </c>
      <c r="I60" s="13">
        <f t="shared" ca="1" si="31"/>
        <v>927</v>
      </c>
      <c r="J60" s="14">
        <f t="shared" ca="1" si="23"/>
        <v>0.9</v>
      </c>
      <c r="L60" s="14">
        <f t="shared" ca="1" si="24"/>
        <v>0.876</v>
      </c>
      <c r="M60" s="22">
        <f t="shared" ca="1" si="32"/>
        <v>5.3551949999999806</v>
      </c>
      <c r="N60" s="37">
        <f t="shared" ca="1" si="25"/>
        <v>1</v>
      </c>
      <c r="O60" s="37">
        <f t="shared" ca="1" si="26"/>
        <v>0</v>
      </c>
      <c r="Q60" s="22">
        <f t="shared" si="27"/>
        <v>7</v>
      </c>
      <c r="R60" s="22">
        <f t="shared" ca="1" si="28"/>
        <v>102.20174999999999</v>
      </c>
      <c r="S60" s="22">
        <f ca="1">IF(Q60="","",IF(Q60=0,0,SUMPRODUCT(OFFSET(M$18,MATCH(MIN(Q$18:Q$137),Q$18:Q$137,0),0,COUNT(M$18:M60)-MATCH(MIN(Q$18:Q$137),Q$18:Q$137,0),1),OFFSET(M$18,MATCH(MIN(Q$18:Q$137),Q$18:Q$137,0),1,COUNT(M$18:M60)-MATCH(MIN(Q$18:Q$137),Q$18:Q$137,0),1))*$T$6))</f>
        <v>172.0300652</v>
      </c>
      <c r="T60" s="22">
        <f t="shared" ca="1" si="29"/>
        <v>274.23181519999997</v>
      </c>
      <c r="V60" s="22">
        <f ca="1">IF(Q60="","",IF(Q60=0,0,SUMPRODUCT(OFFSET(M$18,MATCH(MIN(Q$18:Q$137),Q$18:Q$137,0),0,COUNT(M$18:M60)-MATCH(MIN(Q$18:Q$137),Q$18:Q$137,0),1),OFFSET(M$18,MATCH(MIN(Q$18:Q$137),Q$18:Q$137,0),2,COUNT(M$18:M60)-MATCH(MIN(Q$18:Q$137),Q$18:Q$137,0),1))*$T$6*$T$14))</f>
        <v>0</v>
      </c>
      <c r="W60" s="29"/>
      <c r="X60" s="23">
        <f t="shared" ca="1" si="13"/>
        <v>20.005325780835875</v>
      </c>
      <c r="Z60" s="15">
        <f t="shared" si="33"/>
        <v>9.65</v>
      </c>
      <c r="AA60" s="15">
        <f t="shared" si="34"/>
        <v>11.4</v>
      </c>
      <c r="AC60" s="15">
        <f t="shared" si="35"/>
        <v>40</v>
      </c>
      <c r="AD60" s="15">
        <f t="shared" si="36"/>
        <v>50</v>
      </c>
      <c r="AF60" s="15">
        <f t="shared" ca="1" si="37"/>
        <v>11</v>
      </c>
      <c r="AH60" s="15">
        <f t="shared" si="30"/>
        <v>2</v>
      </c>
      <c r="AI60" s="38">
        <f t="shared" ca="1" si="19"/>
        <v>18.145420209374947</v>
      </c>
      <c r="AJ60" s="29"/>
      <c r="AK60" s="29"/>
      <c r="AL60" s="29"/>
    </row>
    <row r="61" spans="1:38" x14ac:dyDescent="0.2">
      <c r="A61" s="15">
        <v>44</v>
      </c>
      <c r="B61" s="2">
        <f t="shared" si="20"/>
        <v>178.93</v>
      </c>
      <c r="C61" s="25">
        <v>10.199999999999999</v>
      </c>
      <c r="D61" s="25">
        <v>0.96</v>
      </c>
      <c r="E61" s="25">
        <v>29.95</v>
      </c>
      <c r="F61" s="3" t="str">
        <f t="shared" ca="1" si="21"/>
        <v>ИГЭ-2</v>
      </c>
      <c r="G61" s="30" t="str">
        <f t="shared" ca="1" si="22"/>
        <v>пыл.-глинист.</v>
      </c>
      <c r="I61" s="13">
        <f t="shared" ca="1" si="31"/>
        <v>938</v>
      </c>
      <c r="J61" s="14">
        <f t="shared" ca="1" si="23"/>
        <v>0.9</v>
      </c>
      <c r="L61" s="14">
        <f t="shared" ca="1" si="24"/>
        <v>0.876</v>
      </c>
      <c r="M61" s="22">
        <f t="shared" ca="1" si="32"/>
        <v>5.247239999999981</v>
      </c>
      <c r="N61" s="37">
        <f t="shared" ca="1" si="25"/>
        <v>1</v>
      </c>
      <c r="O61" s="37">
        <f t="shared" ca="1" si="26"/>
        <v>0</v>
      </c>
      <c r="Q61" s="22">
        <f t="shared" si="27"/>
        <v>7.2</v>
      </c>
      <c r="R61" s="22">
        <f t="shared" ca="1" si="28"/>
        <v>103.41449999999999</v>
      </c>
      <c r="S61" s="22">
        <f ca="1">IF(Q61="","",IF(Q61=0,0,SUMPRODUCT(OFFSET(M$18,MATCH(MIN(Q$18:Q$137),Q$18:Q$137,0),0,COUNT(M$18:M61)-MATCH(MIN(Q$18:Q$137),Q$18:Q$137,0),1),OFFSET(M$18,MATCH(MIN(Q$18:Q$137),Q$18:Q$137,0),1,COUNT(M$18:M61)-MATCH(MIN(Q$18:Q$137),Q$18:Q$137,0),1))*$T$6))</f>
        <v>179.37620119999997</v>
      </c>
      <c r="T61" s="22">
        <f t="shared" ca="1" si="29"/>
        <v>282.79070119999994</v>
      </c>
      <c r="V61" s="22">
        <f ca="1">IF(Q61="","",IF(Q61=0,0,SUMPRODUCT(OFFSET(M$18,MATCH(MIN(Q$18:Q$137),Q$18:Q$137,0),0,COUNT(M$18:M61)-MATCH(MIN(Q$18:Q$137),Q$18:Q$137,0),1),OFFSET(M$18,MATCH(MIN(Q$18:Q$137),Q$18:Q$137,0),2,COUNT(M$18:M61)-MATCH(MIN(Q$18:Q$137),Q$18:Q$137,0),1))*$T$6*$T$14))</f>
        <v>0</v>
      </c>
      <c r="W61" s="29"/>
      <c r="X61" s="23">
        <f t="shared" ca="1" si="13"/>
        <v>20.635923135575936</v>
      </c>
      <c r="Z61" s="15">
        <f t="shared" si="33"/>
        <v>9.85</v>
      </c>
      <c r="AA61" s="15">
        <f t="shared" si="34"/>
        <v>11.6</v>
      </c>
      <c r="AC61" s="15">
        <f t="shared" si="35"/>
        <v>41</v>
      </c>
      <c r="AD61" s="15">
        <f t="shared" si="36"/>
        <v>51</v>
      </c>
      <c r="AF61" s="15">
        <f t="shared" ca="1" si="37"/>
        <v>11</v>
      </c>
      <c r="AH61" s="15">
        <f t="shared" si="30"/>
        <v>2</v>
      </c>
      <c r="AI61" s="38">
        <f t="shared" ca="1" si="19"/>
        <v>18.717390599161849</v>
      </c>
      <c r="AJ61" s="29"/>
      <c r="AK61" s="29"/>
      <c r="AL61" s="29"/>
    </row>
    <row r="62" spans="1:38" x14ac:dyDescent="0.2">
      <c r="A62" s="15">
        <v>45</v>
      </c>
      <c r="B62" s="2">
        <f t="shared" si="20"/>
        <v>178.73</v>
      </c>
      <c r="C62" s="25">
        <v>10.4</v>
      </c>
      <c r="D62" s="25">
        <v>0.84</v>
      </c>
      <c r="E62" s="25">
        <v>29.95</v>
      </c>
      <c r="F62" s="3" t="str">
        <f t="shared" ca="1" si="21"/>
        <v>ИГЭ-2</v>
      </c>
      <c r="G62" s="30" t="str">
        <f t="shared" ca="1" si="22"/>
        <v>пыл.-глинист.</v>
      </c>
      <c r="I62" s="13">
        <f t="shared" ca="1" si="31"/>
        <v>936</v>
      </c>
      <c r="J62" s="14">
        <f t="shared" ca="1" si="23"/>
        <v>0.9</v>
      </c>
      <c r="L62" s="14">
        <f t="shared" ca="1" si="24"/>
        <v>0.876</v>
      </c>
      <c r="M62" s="22">
        <f t="shared" ca="1" si="32"/>
        <v>5.2472400000000281</v>
      </c>
      <c r="N62" s="37">
        <f t="shared" ca="1" si="25"/>
        <v>1</v>
      </c>
      <c r="O62" s="37">
        <f t="shared" ca="1" si="26"/>
        <v>0</v>
      </c>
      <c r="Q62" s="22">
        <f t="shared" si="27"/>
        <v>7.4</v>
      </c>
      <c r="R62" s="22">
        <f t="shared" ca="1" si="28"/>
        <v>103.19399999999999</v>
      </c>
      <c r="S62" s="22">
        <f ca="1">IF(Q62="","",IF(Q62=0,0,SUMPRODUCT(OFFSET(M$18,MATCH(MIN(Q$18:Q$137),Q$18:Q$137,0),0,COUNT(M$18:M62)-MATCH(MIN(Q$18:Q$137),Q$18:Q$137,0),1),OFFSET(M$18,MATCH(MIN(Q$18:Q$137),Q$18:Q$137,0),1,COUNT(M$18:M62)-MATCH(MIN(Q$18:Q$137),Q$18:Q$137,0),1))*$T$6))</f>
        <v>186.72233720000003</v>
      </c>
      <c r="T62" s="22">
        <f t="shared" ca="1" si="29"/>
        <v>289.91633720000004</v>
      </c>
      <c r="V62" s="22">
        <f ca="1">IF(Q62="","",IF(Q62=0,0,SUMPRODUCT(OFFSET(M$18,MATCH(MIN(Q$18:Q$137),Q$18:Q$137,0),0,COUNT(M$18:M62)-MATCH(MIN(Q$18:Q$137),Q$18:Q$137,0),1),OFFSET(M$18,MATCH(MIN(Q$18:Q$137),Q$18:Q$137,0),2,COUNT(M$18:M62)-MATCH(MIN(Q$18:Q$137),Q$18:Q$137,0),1))*$T$6*$T$14))</f>
        <v>0</v>
      </c>
      <c r="W62" s="29"/>
      <c r="X62" s="23">
        <f t="shared" ca="1" si="13"/>
        <v>21.149639756371048</v>
      </c>
      <c r="Z62" s="15">
        <f t="shared" si="33"/>
        <v>10.050000000000001</v>
      </c>
      <c r="AA62" s="15">
        <f t="shared" si="34"/>
        <v>11.8</v>
      </c>
      <c r="AC62" s="15">
        <f t="shared" si="35"/>
        <v>43</v>
      </c>
      <c r="AD62" s="15">
        <f t="shared" si="36"/>
        <v>52</v>
      </c>
      <c r="AF62" s="15">
        <f t="shared" ca="1" si="37"/>
        <v>10</v>
      </c>
      <c r="AH62" s="15">
        <f t="shared" si="30"/>
        <v>2</v>
      </c>
      <c r="AI62" s="38">
        <f t="shared" ca="1" si="19"/>
        <v>19.183346717796873</v>
      </c>
      <c r="AJ62" s="29"/>
      <c r="AK62" s="29"/>
      <c r="AL62" s="29"/>
    </row>
    <row r="63" spans="1:38" x14ac:dyDescent="0.2">
      <c r="A63" s="15">
        <v>46</v>
      </c>
      <c r="B63" s="2">
        <f t="shared" si="20"/>
        <v>178.53</v>
      </c>
      <c r="C63" s="25">
        <v>10.6</v>
      </c>
      <c r="D63" s="25">
        <v>0.84</v>
      </c>
      <c r="E63" s="25">
        <v>29.95</v>
      </c>
      <c r="F63" s="3" t="str">
        <f t="shared" ca="1" si="21"/>
        <v>ИГЭ-2</v>
      </c>
      <c r="G63" s="30" t="str">
        <f t="shared" ca="1" si="22"/>
        <v>пыл.-глинист.</v>
      </c>
      <c r="I63" s="13">
        <f t="shared" ca="1" si="31"/>
        <v>938</v>
      </c>
      <c r="J63" s="14">
        <f t="shared" ca="1" si="23"/>
        <v>0.9</v>
      </c>
      <c r="L63" s="14">
        <f t="shared" ca="1" si="24"/>
        <v>0.876</v>
      </c>
      <c r="M63" s="22">
        <f t="shared" ca="1" si="32"/>
        <v>5.247239999999981</v>
      </c>
      <c r="N63" s="37">
        <f t="shared" ca="1" si="25"/>
        <v>1</v>
      </c>
      <c r="O63" s="37">
        <f t="shared" ca="1" si="26"/>
        <v>0</v>
      </c>
      <c r="Q63" s="22">
        <f t="shared" si="27"/>
        <v>7.6</v>
      </c>
      <c r="R63" s="22">
        <f t="shared" ca="1" si="28"/>
        <v>103.41449999999999</v>
      </c>
      <c r="S63" s="22">
        <f ca="1">IF(Q63="","",IF(Q63=0,0,SUMPRODUCT(OFFSET(M$18,MATCH(MIN(Q$18:Q$137),Q$18:Q$137,0),0,COUNT(M$18:M63)-MATCH(MIN(Q$18:Q$137),Q$18:Q$137,0),1),OFFSET(M$18,MATCH(MIN(Q$18:Q$137),Q$18:Q$137,0),1,COUNT(M$18:M63)-MATCH(MIN(Q$18:Q$137),Q$18:Q$137,0),1))*$T$6))</f>
        <v>194.0684732</v>
      </c>
      <c r="T63" s="22">
        <f t="shared" ca="1" si="29"/>
        <v>297.4829732</v>
      </c>
      <c r="V63" s="22">
        <f ca="1">IF(Q63="","",IF(Q63=0,0,SUMPRODUCT(OFFSET(M$18,MATCH(MIN(Q$18:Q$137),Q$18:Q$137,0),0,COUNT(M$18:M63)-MATCH(MIN(Q$18:Q$137),Q$18:Q$137,0),1),OFFSET(M$18,MATCH(MIN(Q$18:Q$137),Q$18:Q$137,0),2,COUNT(M$18:M63)-MATCH(MIN(Q$18:Q$137),Q$18:Q$137,0),1))*$T$6*$T$14))</f>
        <v>0</v>
      </c>
      <c r="W63" s="29"/>
      <c r="X63" s="23">
        <f t="shared" ca="1" si="13"/>
        <v>21.69931967991845</v>
      </c>
      <c r="Z63" s="15">
        <f t="shared" si="33"/>
        <v>10.25</v>
      </c>
      <c r="AA63" s="15">
        <f t="shared" si="34"/>
        <v>12</v>
      </c>
      <c r="AC63" s="15">
        <f t="shared" si="35"/>
        <v>43</v>
      </c>
      <c r="AD63" s="15">
        <f t="shared" si="36"/>
        <v>53</v>
      </c>
      <c r="AF63" s="15">
        <f t="shared" ca="1" si="37"/>
        <v>11</v>
      </c>
      <c r="AH63" s="15">
        <f t="shared" si="30"/>
        <v>2</v>
      </c>
      <c r="AI63" s="38">
        <f t="shared" ca="1" si="19"/>
        <v>19.681922612170933</v>
      </c>
      <c r="AJ63" s="29"/>
      <c r="AK63" s="29"/>
      <c r="AL63" s="29"/>
    </row>
    <row r="64" spans="1:38" x14ac:dyDescent="0.2">
      <c r="A64" s="15">
        <v>47</v>
      </c>
      <c r="B64" s="2">
        <f t="shared" si="20"/>
        <v>178.33</v>
      </c>
      <c r="C64" s="25">
        <v>10.8</v>
      </c>
      <c r="D64" s="25">
        <v>0.96</v>
      </c>
      <c r="E64" s="25">
        <v>27.65</v>
      </c>
      <c r="F64" s="3" t="str">
        <f t="shared" ca="1" si="21"/>
        <v>ИГЭ-2</v>
      </c>
      <c r="G64" s="30" t="str">
        <f t="shared" ca="1" si="22"/>
        <v>пыл.-глинист.</v>
      </c>
      <c r="I64" s="13">
        <f t="shared" ca="1" si="31"/>
        <v>936</v>
      </c>
      <c r="J64" s="14">
        <f t="shared" ca="1" si="23"/>
        <v>0.9</v>
      </c>
      <c r="L64" s="14">
        <f t="shared" ca="1" si="24"/>
        <v>0.90400000000000003</v>
      </c>
      <c r="M64" s="22">
        <f t="shared" ca="1" si="32"/>
        <v>5.1231800000000272</v>
      </c>
      <c r="N64" s="37">
        <f t="shared" ca="1" si="25"/>
        <v>1</v>
      </c>
      <c r="O64" s="37">
        <f t="shared" ca="1" si="26"/>
        <v>0</v>
      </c>
      <c r="Q64" s="22">
        <f t="shared" si="27"/>
        <v>7.8</v>
      </c>
      <c r="R64" s="22">
        <f t="shared" ca="1" si="28"/>
        <v>103.19399999999999</v>
      </c>
      <c r="S64" s="22">
        <f ca="1">IF(Q64="","",IF(Q64=0,0,SUMPRODUCT(OFFSET(M$18,MATCH(MIN(Q$18:Q$137),Q$18:Q$137,0),0,COUNT(M$18:M64)-MATCH(MIN(Q$18:Q$137),Q$18:Q$137,0),1),OFFSET(M$18,MATCH(MIN(Q$18:Q$137),Q$18:Q$137,0),1,COUNT(M$18:M64)-MATCH(MIN(Q$18:Q$137),Q$18:Q$137,0),1))*$T$6))</f>
        <v>201.24092520000002</v>
      </c>
      <c r="T64" s="22">
        <f t="shared" ca="1" si="29"/>
        <v>304.43492520000001</v>
      </c>
      <c r="V64" s="22">
        <f ca="1">IF(Q64="","",IF(Q64=0,0,SUMPRODUCT(OFFSET(M$18,MATCH(MIN(Q$18:Q$137),Q$18:Q$137,0),0,COUNT(M$18:M64)-MATCH(MIN(Q$18:Q$137),Q$18:Q$137,0),1),OFFSET(M$18,MATCH(MIN(Q$18:Q$137),Q$18:Q$137,0),2,COUNT(M$18:M64)-MATCH(MIN(Q$18:Q$137),Q$18:Q$137,0),1))*$T$6*$T$14))</f>
        <v>0</v>
      </c>
      <c r="W64" s="29"/>
      <c r="X64" s="23">
        <f t="shared" ca="1" si="13"/>
        <v>22.19887246788991</v>
      </c>
      <c r="Z64" s="15">
        <f t="shared" si="33"/>
        <v>10.450000000000001</v>
      </c>
      <c r="AA64" s="15">
        <f t="shared" si="34"/>
        <v>12.200000000000001</v>
      </c>
      <c r="AC64" s="15">
        <f t="shared" si="35"/>
        <v>45</v>
      </c>
      <c r="AD64" s="15">
        <f t="shared" si="36"/>
        <v>54</v>
      </c>
      <c r="AF64" s="15">
        <f t="shared" ca="1" si="37"/>
        <v>10</v>
      </c>
      <c r="AH64" s="15">
        <f t="shared" si="30"/>
        <v>2</v>
      </c>
      <c r="AI64" s="38">
        <f t="shared" ca="1" si="19"/>
        <v>20.135031716906951</v>
      </c>
      <c r="AJ64" s="29"/>
      <c r="AK64" s="29"/>
      <c r="AL64" s="29"/>
    </row>
    <row r="65" spans="1:38" x14ac:dyDescent="0.2">
      <c r="A65" s="15">
        <v>48</v>
      </c>
      <c r="B65" s="2">
        <f t="shared" si="20"/>
        <v>178.13</v>
      </c>
      <c r="C65" s="25">
        <v>11</v>
      </c>
      <c r="D65" s="25">
        <v>0.96</v>
      </c>
      <c r="E65" s="25">
        <v>29.95</v>
      </c>
      <c r="F65" s="3" t="str">
        <f t="shared" ca="1" si="21"/>
        <v>ИГЭ-2</v>
      </c>
      <c r="G65" s="30" t="str">
        <f t="shared" ca="1" si="22"/>
        <v>пыл.-глинист.</v>
      </c>
      <c r="I65" s="13">
        <f t="shared" ca="1" si="31"/>
        <v>938</v>
      </c>
      <c r="J65" s="14">
        <f t="shared" ca="1" si="23"/>
        <v>0.9</v>
      </c>
      <c r="L65" s="14">
        <f t="shared" ca="1" si="24"/>
        <v>0.876</v>
      </c>
      <c r="M65" s="22">
        <f t="shared" ca="1" si="32"/>
        <v>5.1231799999999819</v>
      </c>
      <c r="N65" s="37">
        <f t="shared" ca="1" si="25"/>
        <v>1</v>
      </c>
      <c r="O65" s="37">
        <f t="shared" ca="1" si="26"/>
        <v>0</v>
      </c>
      <c r="Q65" s="22">
        <f t="shared" si="27"/>
        <v>8</v>
      </c>
      <c r="R65" s="22">
        <f t="shared" ca="1" si="28"/>
        <v>103.41449999999999</v>
      </c>
      <c r="S65" s="22">
        <f ca="1">IF(Q65="","",IF(Q65=0,0,SUMPRODUCT(OFFSET(M$18,MATCH(MIN(Q$18:Q$137),Q$18:Q$137,0),0,COUNT(M$18:M65)-MATCH(MIN(Q$18:Q$137),Q$18:Q$137,0),1),OFFSET(M$18,MATCH(MIN(Q$18:Q$137),Q$18:Q$137,0),1,COUNT(M$18:M65)-MATCH(MIN(Q$18:Q$137),Q$18:Q$137,0),1))*$T$6))</f>
        <v>208.41337720000001</v>
      </c>
      <c r="T65" s="22">
        <f t="shared" ca="1" si="29"/>
        <v>311.82787719999999</v>
      </c>
      <c r="V65" s="22">
        <f ca="1">IF(Q65="","",IF(Q65=0,0,SUMPRODUCT(OFFSET(M$18,MATCH(MIN(Q$18:Q$137),Q$18:Q$137,0),0,COUNT(M$18:M65)-MATCH(MIN(Q$18:Q$137),Q$18:Q$137,0),1),OFFSET(M$18,MATCH(MIN(Q$18:Q$137),Q$18:Q$137,0),2,COUNT(M$18:M65)-MATCH(MIN(Q$18:Q$137),Q$18:Q$137,0),1))*$T$6*$T$14))</f>
        <v>0</v>
      </c>
      <c r="W65" s="29"/>
      <c r="X65" s="23">
        <f t="shared" ca="1" si="13"/>
        <v>22.734388558613659</v>
      </c>
      <c r="Z65" s="15">
        <f t="shared" si="33"/>
        <v>10.65</v>
      </c>
      <c r="AA65" s="15">
        <f t="shared" si="34"/>
        <v>12.4</v>
      </c>
      <c r="AC65" s="15">
        <f t="shared" si="35"/>
        <v>45</v>
      </c>
      <c r="AD65" s="15">
        <f t="shared" si="36"/>
        <v>55</v>
      </c>
      <c r="AF65" s="15">
        <f t="shared" ca="1" si="37"/>
        <v>11</v>
      </c>
      <c r="AH65" s="15">
        <f t="shared" si="30"/>
        <v>2</v>
      </c>
      <c r="AI65" s="38">
        <f t="shared" ca="1" si="19"/>
        <v>20.620760597382009</v>
      </c>
      <c r="AJ65" s="29"/>
      <c r="AK65" s="29"/>
      <c r="AL65" s="29"/>
    </row>
    <row r="66" spans="1:38" x14ac:dyDescent="0.2">
      <c r="A66" s="15">
        <v>49</v>
      </c>
      <c r="B66" s="2">
        <f t="shared" si="20"/>
        <v>177.93</v>
      </c>
      <c r="C66" s="25">
        <v>11.2</v>
      </c>
      <c r="D66" s="25">
        <v>0.96</v>
      </c>
      <c r="E66" s="25">
        <v>43.77</v>
      </c>
      <c r="F66" s="3" t="str">
        <f t="shared" ca="1" si="21"/>
        <v>ИГЭ-2</v>
      </c>
      <c r="G66" s="30" t="str">
        <f t="shared" ca="1" si="22"/>
        <v>пыл.-глинист.</v>
      </c>
      <c r="I66" s="13">
        <f t="shared" ca="1" si="31"/>
        <v>949</v>
      </c>
      <c r="J66" s="14">
        <f t="shared" ca="1" si="23"/>
        <v>0.9</v>
      </c>
      <c r="L66" s="14">
        <f t="shared" ca="1" si="24"/>
        <v>0.72199999999999998</v>
      </c>
      <c r="M66" s="22">
        <f t="shared" ca="1" si="32"/>
        <v>5.78381399999998</v>
      </c>
      <c r="N66" s="37">
        <f t="shared" ca="1" si="25"/>
        <v>1</v>
      </c>
      <c r="O66" s="37">
        <f t="shared" ca="1" si="26"/>
        <v>0</v>
      </c>
      <c r="Q66" s="22">
        <f t="shared" si="27"/>
        <v>8.1999999999999993</v>
      </c>
      <c r="R66" s="22">
        <f t="shared" ca="1" si="28"/>
        <v>104.62724999999999</v>
      </c>
      <c r="S66" s="22">
        <f ca="1">IF(Q66="","",IF(Q66=0,0,SUMPRODUCT(OFFSET(M$18,MATCH(MIN(Q$18:Q$137),Q$18:Q$137,0),0,COUNT(M$18:M66)-MATCH(MIN(Q$18:Q$137),Q$18:Q$137,0),1),OFFSET(M$18,MATCH(MIN(Q$18:Q$137),Q$18:Q$137,0),1,COUNT(M$18:M66)-MATCH(MIN(Q$18:Q$137),Q$18:Q$137,0),1))*$T$6))</f>
        <v>216.51071679999998</v>
      </c>
      <c r="T66" s="22">
        <f t="shared" ca="1" si="29"/>
        <v>321.13796679999996</v>
      </c>
      <c r="V66" s="22">
        <f ca="1">IF(Q66="","",IF(Q66=0,0,SUMPRODUCT(OFFSET(M$18,MATCH(MIN(Q$18:Q$137),Q$18:Q$137,0),0,COUNT(M$18:M66)-MATCH(MIN(Q$18:Q$137),Q$18:Q$137,0),1),OFFSET(M$18,MATCH(MIN(Q$18:Q$137),Q$18:Q$137,0),2,COUNT(M$18:M66)-MATCH(MIN(Q$18:Q$137),Q$18:Q$137,0),1))*$T$6*$T$14))</f>
        <v>0</v>
      </c>
      <c r="W66" s="29"/>
      <c r="X66" s="23">
        <f t="shared" ca="1" si="13"/>
        <v>23.426246145769618</v>
      </c>
      <c r="Z66" s="15">
        <f t="shared" si="33"/>
        <v>10.85</v>
      </c>
      <c r="AA66" s="15">
        <f t="shared" si="34"/>
        <v>12.6</v>
      </c>
      <c r="AC66" s="15">
        <f t="shared" si="35"/>
        <v>46</v>
      </c>
      <c r="AD66" s="15">
        <f t="shared" si="36"/>
        <v>56</v>
      </c>
      <c r="AF66" s="15">
        <f t="shared" ca="1" si="37"/>
        <v>11</v>
      </c>
      <c r="AH66" s="15">
        <f t="shared" si="30"/>
        <v>2</v>
      </c>
      <c r="AI66" s="38">
        <f t="shared" ca="1" si="19"/>
        <v>21.24829582382732</v>
      </c>
      <c r="AJ66" s="29"/>
      <c r="AK66" s="29"/>
      <c r="AL66" s="29"/>
    </row>
    <row r="67" spans="1:38" x14ac:dyDescent="0.2">
      <c r="A67" s="15">
        <v>50</v>
      </c>
      <c r="B67" s="2">
        <f t="shared" si="20"/>
        <v>177.73</v>
      </c>
      <c r="C67" s="25">
        <v>11.4</v>
      </c>
      <c r="D67" s="25">
        <v>0.96</v>
      </c>
      <c r="E67" s="25">
        <v>32.25</v>
      </c>
      <c r="F67" s="3" t="str">
        <f t="shared" ca="1" si="21"/>
        <v>ИГЭ-2</v>
      </c>
      <c r="G67" s="30" t="str">
        <f t="shared" ca="1" si="22"/>
        <v>пыл.-глинист.</v>
      </c>
      <c r="I67" s="13">
        <f t="shared" ca="1" si="31"/>
        <v>972</v>
      </c>
      <c r="J67" s="14">
        <f t="shared" ca="1" si="23"/>
        <v>0.9</v>
      </c>
      <c r="L67" s="14">
        <f t="shared" ca="1" si="24"/>
        <v>0.84699999999999998</v>
      </c>
      <c r="M67" s="22">
        <f t="shared" ca="1" si="32"/>
        <v>5.8917690000000311</v>
      </c>
      <c r="N67" s="37">
        <f t="shared" ca="1" si="25"/>
        <v>1</v>
      </c>
      <c r="O67" s="37">
        <f t="shared" ca="1" si="26"/>
        <v>0</v>
      </c>
      <c r="Q67" s="22">
        <f t="shared" si="27"/>
        <v>8.4</v>
      </c>
      <c r="R67" s="22">
        <f t="shared" ca="1" si="28"/>
        <v>107.163</v>
      </c>
      <c r="S67" s="22">
        <f ca="1">IF(Q67="","",IF(Q67=0,0,SUMPRODUCT(OFFSET(M$18,MATCH(MIN(Q$18:Q$137),Q$18:Q$137,0),0,COUNT(M$18:M67)-MATCH(MIN(Q$18:Q$137),Q$18:Q$137,0),1),OFFSET(M$18,MATCH(MIN(Q$18:Q$137),Q$18:Q$137,0),1,COUNT(M$18:M67)-MATCH(MIN(Q$18:Q$137),Q$18:Q$137,0),1))*$T$6))</f>
        <v>224.75919340000002</v>
      </c>
      <c r="T67" s="22">
        <f t="shared" ca="1" si="29"/>
        <v>331.92219340000003</v>
      </c>
      <c r="V67" s="22">
        <f ca="1">IF(Q67="","",IF(Q67=0,0,SUMPRODUCT(OFFSET(M$18,MATCH(MIN(Q$18:Q$137),Q$18:Q$137,0),0,COUNT(M$18:M67)-MATCH(MIN(Q$18:Q$137),Q$18:Q$137,0),1),OFFSET(M$18,MATCH(MIN(Q$18:Q$137),Q$18:Q$137,0),2,COUNT(M$18:M67)-MATCH(MIN(Q$18:Q$137),Q$18:Q$137,0),1))*$T$6*$T$14))</f>
        <v>0</v>
      </c>
      <c r="W67" s="29"/>
      <c r="X67" s="23">
        <f t="shared" ca="1" si="13"/>
        <v>24.238318778797144</v>
      </c>
      <c r="Z67" s="15">
        <f t="shared" si="33"/>
        <v>11.05</v>
      </c>
      <c r="AA67" s="15">
        <f t="shared" si="34"/>
        <v>12.8</v>
      </c>
      <c r="AC67" s="15">
        <f t="shared" si="35"/>
        <v>48</v>
      </c>
      <c r="AD67" s="15">
        <f t="shared" si="36"/>
        <v>57</v>
      </c>
      <c r="AF67" s="15">
        <f t="shared" ca="1" si="37"/>
        <v>10</v>
      </c>
      <c r="AH67" s="15">
        <f t="shared" si="30"/>
        <v>2</v>
      </c>
      <c r="AI67" s="38">
        <f t="shared" ca="1" si="19"/>
        <v>21.984869640632333</v>
      </c>
      <c r="AJ67" s="29"/>
      <c r="AK67" s="29"/>
      <c r="AL67" s="29"/>
    </row>
    <row r="68" spans="1:38" x14ac:dyDescent="0.2">
      <c r="A68" s="15">
        <v>51</v>
      </c>
      <c r="B68" s="2">
        <f t="shared" si="20"/>
        <v>177.53</v>
      </c>
      <c r="C68" s="25">
        <v>11.6</v>
      </c>
      <c r="D68" s="25">
        <v>0.96</v>
      </c>
      <c r="E68" s="25">
        <v>29.95</v>
      </c>
      <c r="F68" s="3" t="str">
        <f t="shared" ca="1" si="21"/>
        <v>ИГЭ-2</v>
      </c>
      <c r="G68" s="30" t="str">
        <f t="shared" ca="1" si="22"/>
        <v>пыл.-глинист.</v>
      </c>
      <c r="I68" s="13">
        <f t="shared" ca="1" si="31"/>
        <v>971</v>
      </c>
      <c r="J68" s="14">
        <f t="shared" ca="1" si="23"/>
        <v>0.9</v>
      </c>
      <c r="L68" s="14">
        <f t="shared" ca="1" si="24"/>
        <v>0.876</v>
      </c>
      <c r="M68" s="22">
        <f t="shared" ca="1" si="32"/>
        <v>5.3551949999999806</v>
      </c>
      <c r="N68" s="37">
        <f t="shared" ca="1" si="25"/>
        <v>1</v>
      </c>
      <c r="O68" s="37">
        <f t="shared" ca="1" si="26"/>
        <v>0</v>
      </c>
      <c r="Q68" s="22">
        <f t="shared" si="27"/>
        <v>8.6</v>
      </c>
      <c r="R68" s="22">
        <f t="shared" ca="1" si="28"/>
        <v>107.05274999999999</v>
      </c>
      <c r="S68" s="22">
        <f ca="1">IF(Q68="","",IF(Q68=0,0,SUMPRODUCT(OFFSET(M$18,MATCH(MIN(Q$18:Q$137),Q$18:Q$137,0),0,COUNT(M$18:M68)-MATCH(MIN(Q$18:Q$137),Q$18:Q$137,0),1),OFFSET(M$18,MATCH(MIN(Q$18:Q$137),Q$18:Q$137,0),1,COUNT(M$18:M68)-MATCH(MIN(Q$18:Q$137),Q$18:Q$137,0),1))*$T$6))</f>
        <v>232.25646639999999</v>
      </c>
      <c r="T68" s="22">
        <f t="shared" ca="1" si="29"/>
        <v>339.30921639999997</v>
      </c>
      <c r="V68" s="22">
        <f ca="1">IF(Q68="","",IF(Q68=0,0,SUMPRODUCT(OFFSET(M$18,MATCH(MIN(Q$18:Q$137),Q$18:Q$137,0),0,COUNT(M$18:M68)-MATCH(MIN(Q$18:Q$137),Q$18:Q$137,0),1),OFFSET(M$18,MATCH(MIN(Q$18:Q$137),Q$18:Q$137,0),2,COUNT(M$18:M68)-MATCH(MIN(Q$18:Q$137),Q$18:Q$137,0),1))*$T$6*$T$14))</f>
        <v>0</v>
      </c>
      <c r="W68" s="29"/>
      <c r="X68" s="23">
        <f t="shared" ca="1" si="13"/>
        <v>24.773351362894999</v>
      </c>
      <c r="Z68" s="15">
        <f t="shared" si="33"/>
        <v>11.25</v>
      </c>
      <c r="AA68" s="15">
        <f t="shared" si="34"/>
        <v>13</v>
      </c>
      <c r="AC68" s="15">
        <f t="shared" si="35"/>
        <v>48</v>
      </c>
      <c r="AD68" s="15">
        <f t="shared" si="36"/>
        <v>58</v>
      </c>
      <c r="AF68" s="15">
        <f t="shared" ca="1" si="37"/>
        <v>11</v>
      </c>
      <c r="AH68" s="15">
        <f t="shared" si="30"/>
        <v>2</v>
      </c>
      <c r="AI68" s="38">
        <f t="shared" ca="1" si="19"/>
        <v>22.470159966344671</v>
      </c>
      <c r="AJ68" s="29"/>
      <c r="AK68" s="29"/>
      <c r="AL68" s="29"/>
    </row>
    <row r="69" spans="1:38" x14ac:dyDescent="0.2">
      <c r="A69" s="15">
        <v>52</v>
      </c>
      <c r="B69" s="2">
        <f t="shared" si="20"/>
        <v>177.33</v>
      </c>
      <c r="C69" s="25">
        <v>11.8</v>
      </c>
      <c r="D69" s="25">
        <v>0.96</v>
      </c>
      <c r="E69" s="25">
        <v>29.95</v>
      </c>
      <c r="F69" s="3" t="str">
        <f t="shared" ca="1" si="21"/>
        <v>ИГЭ-2</v>
      </c>
      <c r="G69" s="30" t="str">
        <f t="shared" ca="1" si="22"/>
        <v>пыл.-глинист.</v>
      </c>
      <c r="I69" s="13">
        <f t="shared" ca="1" si="31"/>
        <v>996</v>
      </c>
      <c r="J69" s="14">
        <f t="shared" ca="1" si="23"/>
        <v>0.9</v>
      </c>
      <c r="L69" s="14">
        <f t="shared" ca="1" si="24"/>
        <v>0.876</v>
      </c>
      <c r="M69" s="22">
        <f t="shared" ca="1" si="32"/>
        <v>5.2472400000000281</v>
      </c>
      <c r="N69" s="37">
        <f t="shared" ca="1" si="25"/>
        <v>1</v>
      </c>
      <c r="O69" s="37">
        <f t="shared" ca="1" si="26"/>
        <v>0</v>
      </c>
      <c r="Q69" s="22">
        <f t="shared" si="27"/>
        <v>8.8000000000000007</v>
      </c>
      <c r="R69" s="22">
        <f t="shared" ca="1" si="28"/>
        <v>109.80899999999998</v>
      </c>
      <c r="S69" s="22">
        <f ca="1">IF(Q69="","",IF(Q69=0,0,SUMPRODUCT(OFFSET(M$18,MATCH(MIN(Q$18:Q$137),Q$18:Q$137,0),0,COUNT(M$18:M69)-MATCH(MIN(Q$18:Q$137),Q$18:Q$137,0),1),OFFSET(M$18,MATCH(MIN(Q$18:Q$137),Q$18:Q$137,0),1,COUNT(M$18:M69)-MATCH(MIN(Q$18:Q$137),Q$18:Q$137,0),1))*$T$6))</f>
        <v>239.60260240000005</v>
      </c>
      <c r="T69" s="22">
        <f t="shared" ca="1" si="29"/>
        <v>349.41160240000005</v>
      </c>
      <c r="V69" s="22">
        <f ca="1">IF(Q69="","",IF(Q69=0,0,SUMPRODUCT(OFFSET(M$18,MATCH(MIN(Q$18:Q$137),Q$18:Q$137,0),0,COUNT(M$18:M69)-MATCH(MIN(Q$18:Q$137),Q$18:Q$137,0),1),OFFSET(M$18,MATCH(MIN(Q$18:Q$137),Q$18:Q$137,0),2,COUNT(M$18:M69)-MATCH(MIN(Q$18:Q$137),Q$18:Q$137,0),1))*$T$6*$T$14))</f>
        <v>0</v>
      </c>
      <c r="W69" s="29"/>
      <c r="X69" s="23">
        <f t="shared" ca="1" si="13"/>
        <v>25.529820277268094</v>
      </c>
      <c r="Z69" s="15">
        <f t="shared" si="33"/>
        <v>11.450000000000001</v>
      </c>
      <c r="AA69" s="15">
        <f t="shared" si="34"/>
        <v>13.200000000000001</v>
      </c>
      <c r="AC69" s="15">
        <f t="shared" si="35"/>
        <v>50</v>
      </c>
      <c r="AD69" s="15">
        <f t="shared" si="36"/>
        <v>59</v>
      </c>
      <c r="AF69" s="15">
        <f t="shared" ca="1" si="37"/>
        <v>10</v>
      </c>
      <c r="AH69" s="15">
        <f t="shared" si="30"/>
        <v>2</v>
      </c>
      <c r="AI69" s="38">
        <f t="shared" ca="1" si="19"/>
        <v>23.156299571218231</v>
      </c>
      <c r="AJ69" s="29"/>
      <c r="AK69" s="29"/>
      <c r="AL69" s="29"/>
    </row>
    <row r="70" spans="1:38" x14ac:dyDescent="0.2">
      <c r="A70" s="15">
        <v>53</v>
      </c>
      <c r="B70" s="2">
        <f t="shared" si="20"/>
        <v>177.13</v>
      </c>
      <c r="C70" s="25">
        <v>12</v>
      </c>
      <c r="D70" s="25">
        <v>0.96</v>
      </c>
      <c r="E70" s="25">
        <v>25.34</v>
      </c>
      <c r="F70" s="3" t="str">
        <f t="shared" ca="1" si="21"/>
        <v>ИГЭ-2</v>
      </c>
      <c r="G70" s="30" t="str">
        <f t="shared" ca="1" si="22"/>
        <v>пыл.-глинист.</v>
      </c>
      <c r="I70" s="13">
        <f t="shared" ca="1" si="31"/>
        <v>993</v>
      </c>
      <c r="J70" s="14">
        <f t="shared" ca="1" si="23"/>
        <v>0.9</v>
      </c>
      <c r="L70" s="14">
        <f t="shared" ca="1" si="24"/>
        <v>0.93300000000000005</v>
      </c>
      <c r="M70" s="22">
        <f t="shared" ca="1" si="32"/>
        <v>4.9878419999999828</v>
      </c>
      <c r="N70" s="37">
        <f t="shared" ca="1" si="25"/>
        <v>1</v>
      </c>
      <c r="O70" s="37">
        <f t="shared" ca="1" si="26"/>
        <v>0</v>
      </c>
      <c r="Q70" s="22">
        <f t="shared" si="27"/>
        <v>9</v>
      </c>
      <c r="R70" s="22">
        <f t="shared" ca="1" si="28"/>
        <v>109.47824999999999</v>
      </c>
      <c r="S70" s="22">
        <f ca="1">IF(Q70="","",IF(Q70=0,0,SUMPRODUCT(OFFSET(M$18,MATCH(MIN(Q$18:Q$137),Q$18:Q$137,0),0,COUNT(M$18:M70)-MATCH(MIN(Q$18:Q$137),Q$18:Q$137,0),1),OFFSET(M$18,MATCH(MIN(Q$18:Q$137),Q$18:Q$137,0),1,COUNT(M$18:M70)-MATCH(MIN(Q$18:Q$137),Q$18:Q$137,0),1))*$T$6))</f>
        <v>246.58558120000001</v>
      </c>
      <c r="T70" s="22">
        <f t="shared" ca="1" si="29"/>
        <v>356.06383119999998</v>
      </c>
      <c r="V70" s="22">
        <f ca="1">IF(Q70="","",IF(Q70=0,0,SUMPRODUCT(OFFSET(M$18,MATCH(MIN(Q$18:Q$137),Q$18:Q$137,0),0,COUNT(M$18:M70)-MATCH(MIN(Q$18:Q$137),Q$18:Q$137,0),1),OFFSET(M$18,MATCH(MIN(Q$18:Q$137),Q$18:Q$137,0),2,COUNT(M$18:M70)-MATCH(MIN(Q$18:Q$137),Q$18:Q$137,0),1))*$T$6*$T$14))</f>
        <v>0</v>
      </c>
      <c r="W70" s="29"/>
      <c r="X70" s="23">
        <f t="shared" ca="1" si="13"/>
        <v>26.004930806320079</v>
      </c>
      <c r="Z70" s="15">
        <f t="shared" si="33"/>
        <v>11.65</v>
      </c>
      <c r="AA70" s="15">
        <f t="shared" si="34"/>
        <v>13.4</v>
      </c>
      <c r="AC70" s="15">
        <f t="shared" si="35"/>
        <v>50</v>
      </c>
      <c r="AD70" s="15">
        <f t="shared" si="36"/>
        <v>60</v>
      </c>
      <c r="AF70" s="15">
        <f t="shared" ca="1" si="37"/>
        <v>11</v>
      </c>
      <c r="AH70" s="15">
        <f t="shared" si="30"/>
        <v>2</v>
      </c>
      <c r="AI70" s="38">
        <f t="shared" ca="1" si="19"/>
        <v>23.587238826594177</v>
      </c>
      <c r="AJ70" s="29"/>
      <c r="AK70" s="29"/>
      <c r="AL70" s="29"/>
    </row>
    <row r="71" spans="1:38" x14ac:dyDescent="0.2">
      <c r="A71" s="15">
        <v>54</v>
      </c>
      <c r="B71" s="2">
        <f t="shared" si="20"/>
        <v>176.93</v>
      </c>
      <c r="C71" s="25">
        <v>12.2</v>
      </c>
      <c r="D71" s="25">
        <v>0.96</v>
      </c>
      <c r="E71" s="25">
        <v>25.34</v>
      </c>
      <c r="F71" s="3" t="str">
        <f t="shared" ca="1" si="21"/>
        <v>ИГЭ-2</v>
      </c>
      <c r="G71" s="30" t="str">
        <f t="shared" ca="1" si="22"/>
        <v>пыл.-глинист.</v>
      </c>
      <c r="I71" s="13">
        <f t="shared" ca="1" si="31"/>
        <v>982</v>
      </c>
      <c r="J71" s="14">
        <f t="shared" ca="1" si="23"/>
        <v>0.9</v>
      </c>
      <c r="L71" s="14">
        <f t="shared" ca="1" si="24"/>
        <v>0.93300000000000005</v>
      </c>
      <c r="M71" s="22">
        <f t="shared" ca="1" si="32"/>
        <v>4.7284439999999837</v>
      </c>
      <c r="N71" s="37">
        <f t="shared" ca="1" si="25"/>
        <v>1</v>
      </c>
      <c r="O71" s="37">
        <f t="shared" ca="1" si="26"/>
        <v>0</v>
      </c>
      <c r="Q71" s="22">
        <f t="shared" si="27"/>
        <v>9.1999999999999993</v>
      </c>
      <c r="R71" s="22">
        <f t="shared" ca="1" si="28"/>
        <v>108.26549999999999</v>
      </c>
      <c r="S71" s="22">
        <f ca="1">IF(Q71="","",IF(Q71=0,0,SUMPRODUCT(OFFSET(M$18,MATCH(MIN(Q$18:Q$137),Q$18:Q$137,0),0,COUNT(M$18:M71)-MATCH(MIN(Q$18:Q$137),Q$18:Q$137,0),1),OFFSET(M$18,MATCH(MIN(Q$18:Q$137),Q$18:Q$137,0),1,COUNT(M$18:M71)-MATCH(MIN(Q$18:Q$137),Q$18:Q$137,0),1))*$T$6))</f>
        <v>253.2054028</v>
      </c>
      <c r="T71" s="22">
        <f t="shared" ca="1" si="29"/>
        <v>361.47090279999998</v>
      </c>
      <c r="V71" s="22">
        <f ca="1">IF(Q71="","",IF(Q71=0,0,SUMPRODUCT(OFFSET(M$18,MATCH(MIN(Q$18:Q$137),Q$18:Q$137,0),0,COUNT(M$18:M71)-MATCH(MIN(Q$18:Q$137),Q$18:Q$137,0),1),OFFSET(M$18,MATCH(MIN(Q$18:Q$137),Q$18:Q$137,0),2,COUNT(M$18:M71)-MATCH(MIN(Q$18:Q$137),Q$18:Q$137,0),1))*$T$6*$T$14))</f>
        <v>0</v>
      </c>
      <c r="W71" s="29"/>
      <c r="X71" s="23">
        <f t="shared" ca="1" si="13"/>
        <v>26.378499463812439</v>
      </c>
      <c r="Z71" s="15">
        <f t="shared" si="33"/>
        <v>11.85</v>
      </c>
      <c r="AA71" s="15">
        <f t="shared" si="34"/>
        <v>13.6</v>
      </c>
      <c r="AC71" s="15">
        <f t="shared" si="35"/>
        <v>51</v>
      </c>
      <c r="AD71" s="15">
        <f t="shared" si="36"/>
        <v>61</v>
      </c>
      <c r="AF71" s="15">
        <f t="shared" ca="1" si="37"/>
        <v>11</v>
      </c>
      <c r="AH71" s="15">
        <f t="shared" si="30"/>
        <v>2</v>
      </c>
      <c r="AI71" s="38">
        <f t="shared" ca="1" si="19"/>
        <v>23.926076611167744</v>
      </c>
      <c r="AJ71" s="29"/>
      <c r="AK71" s="29"/>
      <c r="AL71" s="29"/>
    </row>
    <row r="72" spans="1:38" x14ac:dyDescent="0.2">
      <c r="A72" s="15">
        <v>55</v>
      </c>
      <c r="B72" s="2">
        <f t="shared" si="20"/>
        <v>176.73</v>
      </c>
      <c r="C72" s="25">
        <v>12.4</v>
      </c>
      <c r="D72" s="25">
        <v>0.96</v>
      </c>
      <c r="E72" s="25">
        <v>25.34</v>
      </c>
      <c r="F72" s="3" t="str">
        <f t="shared" ca="1" si="21"/>
        <v>ИГЭ-2</v>
      </c>
      <c r="G72" s="30" t="str">
        <f t="shared" ca="1" si="22"/>
        <v>пыл.-глинист.</v>
      </c>
      <c r="I72" s="13">
        <f t="shared" ca="1" si="31"/>
        <v>972</v>
      </c>
      <c r="J72" s="14">
        <f t="shared" ca="1" si="23"/>
        <v>0.9</v>
      </c>
      <c r="L72" s="14">
        <f t="shared" ca="1" si="24"/>
        <v>0.93300000000000005</v>
      </c>
      <c r="M72" s="22">
        <f t="shared" ca="1" si="32"/>
        <v>4.7284440000000254</v>
      </c>
      <c r="N72" s="37">
        <f t="shared" ca="1" si="25"/>
        <v>1</v>
      </c>
      <c r="O72" s="37">
        <f t="shared" ca="1" si="26"/>
        <v>0</v>
      </c>
      <c r="Q72" s="22">
        <f t="shared" si="27"/>
        <v>9.4</v>
      </c>
      <c r="R72" s="22">
        <f t="shared" ca="1" si="28"/>
        <v>107.163</v>
      </c>
      <c r="S72" s="22">
        <f ca="1">IF(Q72="","",IF(Q72=0,0,SUMPRODUCT(OFFSET(M$18,MATCH(MIN(Q$18:Q$137),Q$18:Q$137,0),0,COUNT(M$18:M72)-MATCH(MIN(Q$18:Q$137),Q$18:Q$137,0),1),OFFSET(M$18,MATCH(MIN(Q$18:Q$137),Q$18:Q$137,0),1,COUNT(M$18:M72)-MATCH(MIN(Q$18:Q$137),Q$18:Q$137,0),1))*$T$6))</f>
        <v>259.82522440000002</v>
      </c>
      <c r="T72" s="22">
        <f t="shared" ca="1" si="29"/>
        <v>366.98822440000004</v>
      </c>
      <c r="V72" s="22">
        <f ca="1">IF(Q72="","",IF(Q72=0,0,SUMPRODUCT(OFFSET(M$18,MATCH(MIN(Q$18:Q$137),Q$18:Q$137,0),0,COUNT(M$18:M72)-MATCH(MIN(Q$18:Q$137),Q$18:Q$137,0),1),OFFSET(M$18,MATCH(MIN(Q$18:Q$137),Q$18:Q$137,0),2,COUNT(M$18:M72)-MATCH(MIN(Q$18:Q$137),Q$18:Q$137,0),1))*$T$6*$T$14))</f>
        <v>0</v>
      </c>
      <c r="W72" s="29"/>
      <c r="X72" s="23">
        <f t="shared" ca="1" si="13"/>
        <v>26.761058946992865</v>
      </c>
      <c r="Z72" s="15">
        <f t="shared" si="33"/>
        <v>12.05</v>
      </c>
      <c r="AA72" s="15">
        <f t="shared" si="34"/>
        <v>13.8</v>
      </c>
      <c r="AC72" s="15">
        <f t="shared" si="35"/>
        <v>53</v>
      </c>
      <c r="AD72" s="15">
        <f t="shared" si="36"/>
        <v>62</v>
      </c>
      <c r="AF72" s="15">
        <f t="shared" ca="1" si="37"/>
        <v>10</v>
      </c>
      <c r="AH72" s="15">
        <f t="shared" si="30"/>
        <v>2</v>
      </c>
      <c r="AI72" s="38">
        <f t="shared" ca="1" si="19"/>
        <v>24.27306933967607</v>
      </c>
      <c r="AJ72" s="29"/>
      <c r="AK72" s="29"/>
      <c r="AL72" s="29"/>
    </row>
    <row r="73" spans="1:38" x14ac:dyDescent="0.2">
      <c r="A73" s="15">
        <v>56</v>
      </c>
      <c r="B73" s="2">
        <f t="shared" si="20"/>
        <v>176.53</v>
      </c>
      <c r="C73" s="25">
        <v>12.6</v>
      </c>
      <c r="D73" s="25">
        <v>0.96</v>
      </c>
      <c r="E73" s="25">
        <v>20.73</v>
      </c>
      <c r="F73" s="3" t="str">
        <f t="shared" ca="1" si="21"/>
        <v>ИГЭ-2</v>
      </c>
      <c r="G73" s="30" t="str">
        <f t="shared" ca="1" si="22"/>
        <v>пыл.-глинист.</v>
      </c>
      <c r="I73" s="13">
        <f t="shared" ca="1" si="31"/>
        <v>960</v>
      </c>
      <c r="J73" s="14">
        <f t="shared" ca="1" si="23"/>
        <v>0.9</v>
      </c>
      <c r="L73" s="14">
        <f t="shared" ca="1" si="24"/>
        <v>0.99099999999999999</v>
      </c>
      <c r="M73" s="22">
        <f t="shared" ca="1" si="32"/>
        <v>4.418564999999985</v>
      </c>
      <c r="N73" s="37">
        <f t="shared" ca="1" si="25"/>
        <v>1</v>
      </c>
      <c r="O73" s="37">
        <f t="shared" ca="1" si="26"/>
        <v>0</v>
      </c>
      <c r="Q73" s="22">
        <f t="shared" si="27"/>
        <v>9.6</v>
      </c>
      <c r="R73" s="22">
        <f t="shared" ca="1" si="28"/>
        <v>105.83999999999999</v>
      </c>
      <c r="S73" s="22">
        <f ca="1">IF(Q73="","",IF(Q73=0,0,SUMPRODUCT(OFFSET(M$18,MATCH(MIN(Q$18:Q$137),Q$18:Q$137,0),0,COUNT(M$18:M73)-MATCH(MIN(Q$18:Q$137),Q$18:Q$137,0),1),OFFSET(M$18,MATCH(MIN(Q$18:Q$137),Q$18:Q$137,0),1,COUNT(M$18:M73)-MATCH(MIN(Q$18:Q$137),Q$18:Q$137,0),1))*$T$6))</f>
        <v>266.01121540000003</v>
      </c>
      <c r="T73" s="22">
        <f t="shared" ca="1" si="29"/>
        <v>371.8512154</v>
      </c>
      <c r="V73" s="22">
        <f ca="1">IF(Q73="","",IF(Q73=0,0,SUMPRODUCT(OFFSET(M$18,MATCH(MIN(Q$18:Q$137),Q$18:Q$137,0),0,COUNT(M$18:M73)-MATCH(MIN(Q$18:Q$137),Q$18:Q$137,0),1),OFFSET(M$18,MATCH(MIN(Q$18:Q$137),Q$18:Q$137,0),2,COUNT(M$18:M73)-MATCH(MIN(Q$18:Q$137),Q$18:Q$137,0),1))*$T$6*$T$14))</f>
        <v>0</v>
      </c>
      <c r="W73" s="29"/>
      <c r="X73" s="23">
        <f t="shared" ca="1" si="13"/>
        <v>27.09025813659531</v>
      </c>
      <c r="Z73" s="15">
        <f t="shared" si="33"/>
        <v>12.25</v>
      </c>
      <c r="AA73" s="15">
        <f t="shared" si="34"/>
        <v>14</v>
      </c>
      <c r="AC73" s="15">
        <f t="shared" si="35"/>
        <v>53</v>
      </c>
      <c r="AD73" s="15">
        <f t="shared" si="36"/>
        <v>63</v>
      </c>
      <c r="AF73" s="15">
        <f t="shared" ca="1" si="37"/>
        <v>11</v>
      </c>
      <c r="AH73" s="15">
        <f t="shared" si="30"/>
        <v>2</v>
      </c>
      <c r="AI73" s="38">
        <f t="shared" ca="1" si="19"/>
        <v>24.571662708929988</v>
      </c>
      <c r="AJ73" s="29"/>
      <c r="AK73" s="29"/>
      <c r="AL73" s="29"/>
    </row>
    <row r="74" spans="1:38" x14ac:dyDescent="0.2">
      <c r="A74" s="15">
        <v>57</v>
      </c>
      <c r="B74" s="2">
        <f t="shared" si="20"/>
        <v>176.33</v>
      </c>
      <c r="C74" s="25">
        <v>12.8</v>
      </c>
      <c r="D74" s="25">
        <v>1.08</v>
      </c>
      <c r="E74" s="25">
        <v>20.73</v>
      </c>
      <c r="F74" s="3" t="str">
        <f t="shared" ca="1" si="21"/>
        <v>ИГЭ-2</v>
      </c>
      <c r="G74" s="30" t="str">
        <f t="shared" ca="1" si="22"/>
        <v>пыл.-глинист.</v>
      </c>
      <c r="I74" s="13">
        <f t="shared" ca="1" si="31"/>
        <v>948</v>
      </c>
      <c r="J74" s="14">
        <f t="shared" ca="1" si="23"/>
        <v>0.9</v>
      </c>
      <c r="L74" s="14">
        <f t="shared" ca="1" si="24"/>
        <v>0.99099999999999999</v>
      </c>
      <c r="M74" s="22">
        <f t="shared" ca="1" si="32"/>
        <v>4.1086860000000218</v>
      </c>
      <c r="N74" s="37">
        <f t="shared" ca="1" si="25"/>
        <v>1</v>
      </c>
      <c r="O74" s="37">
        <f t="shared" ca="1" si="26"/>
        <v>0</v>
      </c>
      <c r="Q74" s="22">
        <f t="shared" si="27"/>
        <v>9.8000000000000007</v>
      </c>
      <c r="R74" s="22">
        <f t="shared" ca="1" si="28"/>
        <v>104.517</v>
      </c>
      <c r="S74" s="22">
        <f ca="1">IF(Q74="","",IF(Q74=0,0,SUMPRODUCT(OFFSET(M$18,MATCH(MIN(Q$18:Q$137),Q$18:Q$137,0),0,COUNT(M$18:M74)-MATCH(MIN(Q$18:Q$137),Q$18:Q$137,0),1),OFFSET(M$18,MATCH(MIN(Q$18:Q$137),Q$18:Q$137,0),1,COUNT(M$18:M74)-MATCH(MIN(Q$18:Q$137),Q$18:Q$137,0),1))*$T$6))</f>
        <v>271.76337580000006</v>
      </c>
      <c r="T74" s="22">
        <f t="shared" ca="1" si="29"/>
        <v>376.28037580000006</v>
      </c>
      <c r="V74" s="22">
        <f ca="1">IF(Q74="","",IF(Q74=0,0,SUMPRODUCT(OFFSET(M$18,MATCH(MIN(Q$18:Q$137),Q$18:Q$137,0),0,COUNT(M$18:M74)-MATCH(MIN(Q$18:Q$137),Q$18:Q$137,0),1),OFFSET(M$18,MATCH(MIN(Q$18:Q$137),Q$18:Q$137,0),2,COUNT(M$18:M74)-MATCH(MIN(Q$18:Q$137),Q$18:Q$137,0),1))*$T$6*$T$14))</f>
        <v>0</v>
      </c>
      <c r="W74" s="29"/>
      <c r="X74" s="23">
        <f t="shared" ca="1" si="13"/>
        <v>27.384078683995924</v>
      </c>
      <c r="Z74" s="15">
        <f t="shared" si="33"/>
        <v>12.450000000000001</v>
      </c>
      <c r="AA74" s="15">
        <f t="shared" si="34"/>
        <v>14.200000000000001</v>
      </c>
      <c r="AC74" s="15">
        <f t="shared" si="35"/>
        <v>55</v>
      </c>
      <c r="AD74" s="15">
        <f t="shared" si="36"/>
        <v>64</v>
      </c>
      <c r="AF74" s="15">
        <f t="shared" ca="1" si="37"/>
        <v>10</v>
      </c>
      <c r="AH74" s="15">
        <f t="shared" si="30"/>
        <v>2</v>
      </c>
      <c r="AI74" s="38">
        <f t="shared" ca="1" si="19"/>
        <v>24.838166606799025</v>
      </c>
      <c r="AJ74" s="29"/>
      <c r="AK74" s="29"/>
      <c r="AL74" s="29"/>
    </row>
    <row r="75" spans="1:38" x14ac:dyDescent="0.2">
      <c r="A75" s="15">
        <v>58</v>
      </c>
      <c r="B75" s="2">
        <f t="shared" si="20"/>
        <v>176.13</v>
      </c>
      <c r="C75" s="25">
        <v>13</v>
      </c>
      <c r="D75" s="25">
        <v>0.96</v>
      </c>
      <c r="E75" s="25">
        <v>23.04</v>
      </c>
      <c r="F75" s="3" t="str">
        <f t="shared" ca="1" si="21"/>
        <v>ИГЭ-2</v>
      </c>
      <c r="G75" s="30" t="str">
        <f t="shared" ca="1" si="22"/>
        <v>пыл.-глинист.</v>
      </c>
      <c r="I75" s="13">
        <f t="shared" ca="1" si="31"/>
        <v>960</v>
      </c>
      <c r="J75" s="14">
        <f t="shared" ca="1" si="23"/>
        <v>0.9</v>
      </c>
      <c r="L75" s="14">
        <f t="shared" ca="1" si="24"/>
        <v>0.96199999999999997</v>
      </c>
      <c r="M75" s="22">
        <f t="shared" ca="1" si="32"/>
        <v>4.2707909999999849</v>
      </c>
      <c r="N75" s="37">
        <f t="shared" ca="1" si="25"/>
        <v>1</v>
      </c>
      <c r="O75" s="37">
        <f t="shared" ca="1" si="26"/>
        <v>0</v>
      </c>
      <c r="Q75" s="22">
        <f t="shared" si="27"/>
        <v>10</v>
      </c>
      <c r="R75" s="22">
        <f t="shared" ca="1" si="28"/>
        <v>105.83999999999999</v>
      </c>
      <c r="S75" s="22">
        <f ca="1">IF(Q75="","",IF(Q75=0,0,SUMPRODUCT(OFFSET(M$18,MATCH(MIN(Q$18:Q$137),Q$18:Q$137,0),0,COUNT(M$18:M75)-MATCH(MIN(Q$18:Q$137),Q$18:Q$137,0),1),OFFSET(M$18,MATCH(MIN(Q$18:Q$137),Q$18:Q$137,0),1,COUNT(M$18:M75)-MATCH(MIN(Q$18:Q$137),Q$18:Q$137,0),1))*$T$6))</f>
        <v>277.74248319999998</v>
      </c>
      <c r="T75" s="22">
        <f t="shared" ca="1" si="29"/>
        <v>383.58248319999996</v>
      </c>
      <c r="V75" s="22">
        <f ca="1">IF(Q75="","",IF(Q75=0,0,SUMPRODUCT(OFFSET(M$18,MATCH(MIN(Q$18:Q$137),Q$18:Q$137,0),0,COUNT(M$18:M75)-MATCH(MIN(Q$18:Q$137),Q$18:Q$137,0),1),OFFSET(M$18,MATCH(MIN(Q$18:Q$137),Q$18:Q$137,0),2,COUNT(M$18:M75)-MATCH(MIN(Q$18:Q$137),Q$18:Q$137,0),1))*$T$6*$T$14))</f>
        <v>0</v>
      </c>
      <c r="W75" s="29"/>
      <c r="X75" s="23">
        <f t="shared" ca="1" si="13"/>
        <v>27.912186448521911</v>
      </c>
      <c r="Z75" s="15">
        <f t="shared" si="33"/>
        <v>12.65</v>
      </c>
      <c r="AA75" s="15">
        <f t="shared" si="34"/>
        <v>14.4</v>
      </c>
      <c r="AC75" s="15">
        <f t="shared" si="35"/>
        <v>55</v>
      </c>
      <c r="AD75" s="15">
        <f t="shared" si="36"/>
        <v>65</v>
      </c>
      <c r="AF75" s="15">
        <f t="shared" ca="1" si="37"/>
        <v>11</v>
      </c>
      <c r="AH75" s="15">
        <f t="shared" si="30"/>
        <v>2</v>
      </c>
      <c r="AI75" s="38">
        <f t="shared" ca="1" si="19"/>
        <v>25.317175917026681</v>
      </c>
      <c r="AJ75" s="29"/>
      <c r="AK75" s="29"/>
      <c r="AL75" s="29"/>
    </row>
    <row r="76" spans="1:38" x14ac:dyDescent="0.2">
      <c r="A76" s="15">
        <v>59</v>
      </c>
      <c r="B76" s="2">
        <f t="shared" si="20"/>
        <v>175.93</v>
      </c>
      <c r="C76" s="25">
        <v>13.2</v>
      </c>
      <c r="D76" s="25">
        <v>1.2</v>
      </c>
      <c r="E76" s="25">
        <v>41.47</v>
      </c>
      <c r="F76" s="3" t="str">
        <f t="shared" ca="1" si="21"/>
        <v>ИГЭ-2</v>
      </c>
      <c r="G76" s="30" t="str">
        <f t="shared" ca="1" si="22"/>
        <v>пыл.-глинист.</v>
      </c>
      <c r="I76" s="13">
        <f t="shared" ca="1" si="31"/>
        <v>993</v>
      </c>
      <c r="J76" s="14">
        <f t="shared" ca="1" si="23"/>
        <v>0.9</v>
      </c>
      <c r="L76" s="14">
        <f t="shared" ca="1" si="24"/>
        <v>0.73899999999999999</v>
      </c>
      <c r="M76" s="22">
        <f t="shared" ca="1" si="32"/>
        <v>5.2810809999999808</v>
      </c>
      <c r="N76" s="37">
        <f t="shared" ca="1" si="25"/>
        <v>1</v>
      </c>
      <c r="O76" s="37">
        <f t="shared" ca="1" si="26"/>
        <v>0</v>
      </c>
      <c r="Q76" s="22">
        <f t="shared" si="27"/>
        <v>10.199999999999999</v>
      </c>
      <c r="R76" s="22">
        <f t="shared" ca="1" si="28"/>
        <v>109.47824999999999</v>
      </c>
      <c r="S76" s="22">
        <f ca="1">IF(Q76="","",IF(Q76=0,0,SUMPRODUCT(OFFSET(M$18,MATCH(MIN(Q$18:Q$137),Q$18:Q$137,0),0,COUNT(M$18:M76)-MATCH(MIN(Q$18:Q$137),Q$18:Q$137,0),1),OFFSET(M$18,MATCH(MIN(Q$18:Q$137),Q$18:Q$137,0),1,COUNT(M$18:M76)-MATCH(MIN(Q$18:Q$137),Q$18:Q$137,0),1))*$T$6))</f>
        <v>285.13599659999994</v>
      </c>
      <c r="T76" s="22">
        <f t="shared" ca="1" si="29"/>
        <v>394.61424659999994</v>
      </c>
      <c r="V76" s="22">
        <f ca="1">IF(Q76="","",IF(Q76=0,0,SUMPRODUCT(OFFSET(M$18,MATCH(MIN(Q$18:Q$137),Q$18:Q$137,0),0,COUNT(M$18:M76)-MATCH(MIN(Q$18:Q$137),Q$18:Q$137,0),1),OFFSET(M$18,MATCH(MIN(Q$18:Q$137),Q$18:Q$137,0),2,COUNT(M$18:M76)-MATCH(MIN(Q$18:Q$137),Q$18:Q$137,0),1))*$T$6*$T$14))</f>
        <v>0</v>
      </c>
      <c r="W76" s="29"/>
      <c r="X76" s="23">
        <f t="shared" ca="1" si="13"/>
        <v>28.744445568807333</v>
      </c>
      <c r="Z76" s="15">
        <f t="shared" si="33"/>
        <v>12.85</v>
      </c>
      <c r="AA76" s="15">
        <f t="shared" si="34"/>
        <v>14.6</v>
      </c>
      <c r="AC76" s="15">
        <f t="shared" si="35"/>
        <v>56</v>
      </c>
      <c r="AD76" s="15">
        <f t="shared" si="36"/>
        <v>66</v>
      </c>
      <c r="AF76" s="15">
        <f t="shared" ca="1" si="37"/>
        <v>11</v>
      </c>
      <c r="AH76" s="15">
        <f t="shared" si="30"/>
        <v>2</v>
      </c>
      <c r="AI76" s="38">
        <f t="shared" ca="1" si="19"/>
        <v>26.072059472841122</v>
      </c>
      <c r="AJ76" s="29"/>
      <c r="AK76" s="29"/>
      <c r="AL76" s="29"/>
    </row>
    <row r="77" spans="1:38" x14ac:dyDescent="0.2">
      <c r="A77" s="15">
        <v>60</v>
      </c>
      <c r="B77" s="2">
        <f t="shared" si="20"/>
        <v>175.73</v>
      </c>
      <c r="C77" s="25">
        <v>13.4</v>
      </c>
      <c r="D77" s="25">
        <v>0.96</v>
      </c>
      <c r="E77" s="25">
        <v>29.95</v>
      </c>
      <c r="F77" s="3" t="str">
        <f t="shared" ca="1" si="21"/>
        <v>ИГЭ-2</v>
      </c>
      <c r="G77" s="30" t="str">
        <f t="shared" ca="1" si="22"/>
        <v>пыл.-глинист.</v>
      </c>
      <c r="I77" s="13">
        <f t="shared" ca="1" si="31"/>
        <v>1032</v>
      </c>
      <c r="J77" s="14">
        <f t="shared" ca="1" si="23"/>
        <v>0.89800000000000002</v>
      </c>
      <c r="L77" s="14">
        <f t="shared" ca="1" si="24"/>
        <v>0.876</v>
      </c>
      <c r="M77" s="22">
        <f t="shared" ca="1" si="32"/>
        <v>5.6882530000000306</v>
      </c>
      <c r="N77" s="37">
        <f t="shared" ca="1" si="25"/>
        <v>1</v>
      </c>
      <c r="O77" s="37">
        <f t="shared" ca="1" si="26"/>
        <v>0</v>
      </c>
      <c r="Q77" s="22">
        <f t="shared" si="27"/>
        <v>10.4</v>
      </c>
      <c r="R77" s="22">
        <f t="shared" ca="1" si="28"/>
        <v>113.52515999999999</v>
      </c>
      <c r="S77" s="22">
        <f ca="1">IF(Q77="","",IF(Q77=0,0,SUMPRODUCT(OFFSET(M$18,MATCH(MIN(Q$18:Q$137),Q$18:Q$137,0),0,COUNT(M$18:M77)-MATCH(MIN(Q$18:Q$137),Q$18:Q$137,0),1),OFFSET(M$18,MATCH(MIN(Q$18:Q$137),Q$18:Q$137,0),1,COUNT(M$18:M77)-MATCH(MIN(Q$18:Q$137),Q$18:Q$137,0),1))*$T$6))</f>
        <v>293.09955080000003</v>
      </c>
      <c r="T77" s="22">
        <f t="shared" ca="1" si="29"/>
        <v>406.6247108</v>
      </c>
      <c r="V77" s="22">
        <f ca="1">IF(Q77="","",IF(Q77=0,0,SUMPRODUCT(OFFSET(M$18,MATCH(MIN(Q$18:Q$137),Q$18:Q$137,0),0,COUNT(M$18:M77)-MATCH(MIN(Q$18:Q$137),Q$18:Q$137,0),1),OFFSET(M$18,MATCH(MIN(Q$18:Q$137),Q$18:Q$137,0),2,COUNT(M$18:M77)-MATCH(MIN(Q$18:Q$137),Q$18:Q$137,0),1))*$T$6*$T$14))</f>
        <v>0</v>
      </c>
      <c r="W77" s="29"/>
      <c r="X77" s="23">
        <f t="shared" ca="1" si="13"/>
        <v>29.656517190621816</v>
      </c>
      <c r="Z77" s="15">
        <f t="shared" si="33"/>
        <v>13.05</v>
      </c>
      <c r="AA77" s="15">
        <f t="shared" si="34"/>
        <v>14.8</v>
      </c>
      <c r="AC77" s="15">
        <f t="shared" si="35"/>
        <v>58</v>
      </c>
      <c r="AD77" s="15">
        <f t="shared" si="36"/>
        <v>67</v>
      </c>
      <c r="AF77" s="15">
        <f t="shared" ca="1" si="37"/>
        <v>10</v>
      </c>
      <c r="AH77" s="15">
        <f t="shared" si="30"/>
        <v>2</v>
      </c>
      <c r="AI77" s="38">
        <f t="shared" ca="1" si="19"/>
        <v>26.899335320291904</v>
      </c>
      <c r="AJ77" s="29"/>
      <c r="AK77" s="29"/>
      <c r="AL77" s="29"/>
    </row>
    <row r="78" spans="1:38" x14ac:dyDescent="0.2">
      <c r="A78" s="15">
        <v>61</v>
      </c>
      <c r="B78" s="2">
        <f t="shared" si="20"/>
        <v>175.53</v>
      </c>
      <c r="C78" s="25">
        <v>13.6</v>
      </c>
      <c r="D78" s="25">
        <v>0.84</v>
      </c>
      <c r="E78" s="25">
        <v>18.43</v>
      </c>
      <c r="F78" s="3" t="str">
        <f t="shared" ca="1" si="21"/>
        <v>ИГЭ-2</v>
      </c>
      <c r="G78" s="30" t="str">
        <f t="shared" ca="1" si="22"/>
        <v>пыл.-глинист.</v>
      </c>
      <c r="I78" s="13">
        <f t="shared" ca="1" si="31"/>
        <v>1080</v>
      </c>
      <c r="J78" s="14">
        <f t="shared" ca="1" si="23"/>
        <v>0.89500000000000002</v>
      </c>
      <c r="L78" s="14">
        <f t="shared" ca="1" si="24"/>
        <v>1</v>
      </c>
      <c r="M78" s="22">
        <f t="shared" ca="1" si="32"/>
        <v>4.4666199999999847</v>
      </c>
      <c r="N78" s="37">
        <f t="shared" ca="1" si="25"/>
        <v>1</v>
      </c>
      <c r="O78" s="37">
        <f t="shared" ca="1" si="26"/>
        <v>0</v>
      </c>
      <c r="Q78" s="22">
        <f t="shared" si="27"/>
        <v>10.6</v>
      </c>
      <c r="R78" s="22">
        <f t="shared" ca="1" si="28"/>
        <v>118.40849999999999</v>
      </c>
      <c r="S78" s="22">
        <f ca="1">IF(Q78="","",IF(Q78=0,0,SUMPRODUCT(OFFSET(M$18,MATCH(MIN(Q$18:Q$137),Q$18:Q$137,0),0,COUNT(M$18:M78)-MATCH(MIN(Q$18:Q$137),Q$18:Q$137,0),1),OFFSET(M$18,MATCH(MIN(Q$18:Q$137),Q$18:Q$137,0),1,COUNT(M$18:M78)-MATCH(MIN(Q$18:Q$137),Q$18:Q$137,0),1))*$T$6))</f>
        <v>299.35281879999997</v>
      </c>
      <c r="T78" s="22">
        <f t="shared" ca="1" si="29"/>
        <v>417.76131879999997</v>
      </c>
      <c r="V78" s="22">
        <f ca="1">IF(Q78="","",IF(Q78=0,0,SUMPRODUCT(OFFSET(M$18,MATCH(MIN(Q$18:Q$137),Q$18:Q$137,0),0,COUNT(M$18:M78)-MATCH(MIN(Q$18:Q$137),Q$18:Q$137,0),1),OFFSET(M$18,MATCH(MIN(Q$18:Q$137),Q$18:Q$137,0),2,COUNT(M$18:M78)-MATCH(MIN(Q$18:Q$137),Q$18:Q$137,0),1))*$T$6*$T$14))</f>
        <v>0</v>
      </c>
      <c r="W78" s="29"/>
      <c r="X78" s="23">
        <f t="shared" ca="1" si="13"/>
        <v>30.497326329255856</v>
      </c>
      <c r="Z78" s="15">
        <f t="shared" si="33"/>
        <v>13.25</v>
      </c>
      <c r="AA78" s="15">
        <f t="shared" si="34"/>
        <v>15</v>
      </c>
      <c r="AC78" s="15">
        <f t="shared" si="35"/>
        <v>58</v>
      </c>
      <c r="AD78" s="15">
        <f t="shared" si="36"/>
        <v>68</v>
      </c>
      <c r="AF78" s="15">
        <f t="shared" ca="1" si="37"/>
        <v>11</v>
      </c>
      <c r="AH78" s="15">
        <f t="shared" si="30"/>
        <v>2</v>
      </c>
      <c r="AI78" s="38">
        <f t="shared" ca="1" si="19"/>
        <v>27.6619739947899</v>
      </c>
      <c r="AJ78" s="29"/>
      <c r="AK78" s="29"/>
      <c r="AL78" s="29"/>
    </row>
    <row r="79" spans="1:38" x14ac:dyDescent="0.2">
      <c r="A79" s="15">
        <v>62</v>
      </c>
      <c r="B79" s="2">
        <f t="shared" si="20"/>
        <v>175.33</v>
      </c>
      <c r="C79" s="25">
        <v>13.8</v>
      </c>
      <c r="D79" s="25">
        <v>0.84</v>
      </c>
      <c r="E79" s="25">
        <v>11.52</v>
      </c>
      <c r="F79" s="3" t="str">
        <f t="shared" ca="1" si="21"/>
        <v>ИГЭ-2</v>
      </c>
      <c r="G79" s="30" t="str">
        <f t="shared" ca="1" si="22"/>
        <v>пыл.-глинист.</v>
      </c>
      <c r="I79" s="13">
        <f t="shared" ca="1" si="31"/>
        <v>1140</v>
      </c>
      <c r="J79" s="14">
        <f t="shared" ca="1" si="23"/>
        <v>0.89100000000000001</v>
      </c>
      <c r="L79" s="14">
        <f t="shared" ca="1" si="24"/>
        <v>1</v>
      </c>
      <c r="M79" s="22">
        <f t="shared" ca="1" si="32"/>
        <v>2.9950000000000161</v>
      </c>
      <c r="N79" s="37">
        <f t="shared" ca="1" si="25"/>
        <v>1</v>
      </c>
      <c r="O79" s="37">
        <f t="shared" ca="1" si="26"/>
        <v>0</v>
      </c>
      <c r="Q79" s="22">
        <f t="shared" si="27"/>
        <v>10.8</v>
      </c>
      <c r="R79" s="22">
        <f t="shared" ca="1" si="28"/>
        <v>124.42814999999999</v>
      </c>
      <c r="S79" s="22">
        <f ca="1">IF(Q79="","",IF(Q79=0,0,SUMPRODUCT(OFFSET(M$18,MATCH(MIN(Q$18:Q$137),Q$18:Q$137,0),0,COUNT(M$18:M79)-MATCH(MIN(Q$18:Q$137),Q$18:Q$137,0),1),OFFSET(M$18,MATCH(MIN(Q$18:Q$137),Q$18:Q$137,0),1,COUNT(M$18:M79)-MATCH(MIN(Q$18:Q$137),Q$18:Q$137,0),1))*$T$6))</f>
        <v>303.54581880000001</v>
      </c>
      <c r="T79" s="22">
        <f t="shared" ca="1" si="29"/>
        <v>427.97396879999997</v>
      </c>
      <c r="V79" s="22">
        <f ca="1">IF(Q79="","",IF(Q79=0,0,SUMPRODUCT(OFFSET(M$18,MATCH(MIN(Q$18:Q$137),Q$18:Q$137,0),0,COUNT(M$18:M79)-MATCH(MIN(Q$18:Q$137),Q$18:Q$137,0),1),OFFSET(M$18,MATCH(MIN(Q$18:Q$137),Q$18:Q$137,0),2,COUNT(M$18:M79)-MATCH(MIN(Q$18:Q$137),Q$18:Q$137,0),1))*$T$6*$T$14))</f>
        <v>0</v>
      </c>
      <c r="W79" s="29"/>
      <c r="X79" s="23">
        <f t="shared" ca="1" si="13"/>
        <v>31.262787211009169</v>
      </c>
      <c r="Z79" s="15">
        <f t="shared" si="33"/>
        <v>13.450000000000001</v>
      </c>
      <c r="AA79" s="15">
        <f t="shared" si="34"/>
        <v>15.200000000000001</v>
      </c>
      <c r="AC79" s="15">
        <f t="shared" si="35"/>
        <v>60</v>
      </c>
      <c r="AD79" s="15">
        <f t="shared" si="36"/>
        <v>69</v>
      </c>
      <c r="AF79" s="15">
        <f t="shared" ca="1" si="37"/>
        <v>10</v>
      </c>
      <c r="AH79" s="15">
        <f t="shared" si="30"/>
        <v>2</v>
      </c>
      <c r="AI79" s="38">
        <f t="shared" ca="1" si="19"/>
        <v>28.356269579146645</v>
      </c>
      <c r="AJ79" s="29"/>
      <c r="AK79" s="29"/>
      <c r="AL79" s="29"/>
    </row>
    <row r="80" spans="1:38" x14ac:dyDescent="0.2">
      <c r="A80" s="15">
        <v>63</v>
      </c>
      <c r="B80" s="2">
        <f t="shared" si="20"/>
        <v>175.13</v>
      </c>
      <c r="C80" s="25">
        <v>14</v>
      </c>
      <c r="D80" s="25">
        <v>0.84</v>
      </c>
      <c r="E80" s="25">
        <v>9.2200000000000006</v>
      </c>
      <c r="F80" s="3" t="str">
        <f t="shared" ca="1" si="21"/>
        <v>ИГЭ-2</v>
      </c>
      <c r="G80" s="30" t="str">
        <f t="shared" ca="1" si="22"/>
        <v>пыл.-глинист.</v>
      </c>
      <c r="I80" s="13">
        <f t="shared" ca="1" si="31"/>
        <v>1189</v>
      </c>
      <c r="J80" s="14">
        <f t="shared" ca="1" si="23"/>
        <v>0.88700000000000001</v>
      </c>
      <c r="L80" s="14">
        <f t="shared" ca="1" si="24"/>
        <v>1</v>
      </c>
      <c r="M80" s="22">
        <f t="shared" ca="1" si="32"/>
        <v>2.0739999999999927</v>
      </c>
      <c r="N80" s="37">
        <f t="shared" ca="1" si="25"/>
        <v>1</v>
      </c>
      <c r="O80" s="37">
        <f t="shared" ca="1" si="26"/>
        <v>0</v>
      </c>
      <c r="Q80" s="22">
        <f t="shared" si="27"/>
        <v>11</v>
      </c>
      <c r="R80" s="22">
        <f t="shared" ca="1" si="28"/>
        <v>129.19376749999998</v>
      </c>
      <c r="S80" s="22">
        <f ca="1">IF(Q80="","",IF(Q80=0,0,SUMPRODUCT(OFFSET(M$18,MATCH(MIN(Q$18:Q$137),Q$18:Q$137,0),0,COUNT(M$18:M80)-MATCH(MIN(Q$18:Q$137),Q$18:Q$137,0),1),OFFSET(M$18,MATCH(MIN(Q$18:Q$137),Q$18:Q$137,0),1,COUNT(M$18:M80)-MATCH(MIN(Q$18:Q$137),Q$18:Q$137,0),1))*$T$6))</f>
        <v>306.44941879999999</v>
      </c>
      <c r="T80" s="22">
        <f t="shared" ca="1" si="29"/>
        <v>435.64318629999997</v>
      </c>
      <c r="V80" s="22">
        <f ca="1">IF(Q80="","",IF(Q80=0,0,SUMPRODUCT(OFFSET(M$18,MATCH(MIN(Q$18:Q$137),Q$18:Q$137,0),0,COUNT(M$18:M80)-MATCH(MIN(Q$18:Q$137),Q$18:Q$137,0),1),OFFSET(M$18,MATCH(MIN(Q$18:Q$137),Q$18:Q$137,0),2,COUNT(M$18:M80)-MATCH(MIN(Q$18:Q$137),Q$18:Q$137,0),1))*$T$6*$T$14))</f>
        <v>0</v>
      </c>
      <c r="W80" s="29"/>
      <c r="X80" s="23">
        <f t="shared" ca="1" si="13"/>
        <v>31.820832598369005</v>
      </c>
      <c r="Z80" s="15">
        <f t="shared" si="33"/>
        <v>13.65</v>
      </c>
      <c r="AA80" s="15">
        <f t="shared" si="34"/>
        <v>15.4</v>
      </c>
      <c r="AC80" s="15">
        <f t="shared" si="35"/>
        <v>60</v>
      </c>
      <c r="AD80" s="15">
        <f t="shared" si="36"/>
        <v>70</v>
      </c>
      <c r="AF80" s="15">
        <f t="shared" ca="1" si="37"/>
        <v>11</v>
      </c>
      <c r="AH80" s="15">
        <f t="shared" si="30"/>
        <v>2</v>
      </c>
      <c r="AI80" s="38">
        <f t="shared" ca="1" si="19"/>
        <v>28.862433195799554</v>
      </c>
      <c r="AJ80" s="29"/>
      <c r="AK80" s="29"/>
      <c r="AL80" s="29"/>
    </row>
    <row r="81" spans="1:38" x14ac:dyDescent="0.2">
      <c r="A81" s="15">
        <v>64</v>
      </c>
      <c r="B81" s="2">
        <f t="shared" si="20"/>
        <v>174.93</v>
      </c>
      <c r="C81" s="25">
        <v>14.2</v>
      </c>
      <c r="D81" s="25">
        <v>0.84</v>
      </c>
      <c r="E81" s="25">
        <v>11.52</v>
      </c>
      <c r="F81" s="3" t="str">
        <f t="shared" ca="1" si="21"/>
        <v>ИГЭ-3</v>
      </c>
      <c r="G81" s="30" t="str">
        <f t="shared" ca="1" si="22"/>
        <v>пыл.-глинист.</v>
      </c>
      <c r="I81" s="13">
        <f t="shared" ca="1" si="31"/>
        <v>1265</v>
      </c>
      <c r="J81" s="14">
        <f t="shared" ca="1" si="23"/>
        <v>0.88200000000000001</v>
      </c>
      <c r="L81" s="14">
        <f t="shared" ca="1" si="24"/>
        <v>1</v>
      </c>
      <c r="M81" s="22">
        <f t="shared" ca="1" si="32"/>
        <v>2.0739999999999927</v>
      </c>
      <c r="N81" s="37">
        <f t="shared" ca="1" si="25"/>
        <v>1</v>
      </c>
      <c r="O81" s="37">
        <f t="shared" ca="1" si="26"/>
        <v>0</v>
      </c>
      <c r="Q81" s="22">
        <f t="shared" si="27"/>
        <v>11.2</v>
      </c>
      <c r="R81" s="22">
        <f t="shared" ca="1" si="28"/>
        <v>136.67692499999998</v>
      </c>
      <c r="S81" s="22">
        <f ca="1">IF(Q81="","",IF(Q81=0,0,SUMPRODUCT(OFFSET(M$18,MATCH(MIN(Q$18:Q$137),Q$18:Q$137,0),0,COUNT(M$18:M81)-MATCH(MIN(Q$18:Q$137),Q$18:Q$137,0),1),OFFSET(M$18,MATCH(MIN(Q$18:Q$137),Q$18:Q$137,0),1,COUNT(M$18:M81)-MATCH(MIN(Q$18:Q$137),Q$18:Q$137,0),1))*$T$6))</f>
        <v>309.35301879999992</v>
      </c>
      <c r="T81" s="22">
        <f t="shared" ca="1" si="29"/>
        <v>446.0299437999999</v>
      </c>
      <c r="V81" s="22">
        <f ca="1">IF(Q81="","",IF(Q81=0,0,SUMPRODUCT(OFFSET(M$18,MATCH(MIN(Q$18:Q$137),Q$18:Q$137,0),0,COUNT(M$18:M81)-MATCH(MIN(Q$18:Q$137),Q$18:Q$137,0),1),OFFSET(M$18,MATCH(MIN(Q$18:Q$137),Q$18:Q$137,0),2,COUNT(M$18:M81)-MATCH(MIN(Q$18:Q$137),Q$18:Q$137,0),1))*$T$6*$T$14))</f>
        <v>0</v>
      </c>
      <c r="W81" s="29"/>
      <c r="X81" s="23">
        <f t="shared" ca="1" si="13"/>
        <v>32.600491849133533</v>
      </c>
      <c r="Z81" s="15">
        <f t="shared" si="33"/>
        <v>13.85</v>
      </c>
      <c r="AA81" s="15">
        <f t="shared" si="34"/>
        <v>15.6</v>
      </c>
      <c r="AC81" s="15">
        <f t="shared" si="35"/>
        <v>61</v>
      </c>
      <c r="AD81" s="15">
        <f t="shared" si="36"/>
        <v>71</v>
      </c>
      <c r="AF81" s="15">
        <f t="shared" ca="1" si="37"/>
        <v>11</v>
      </c>
      <c r="AH81" s="15">
        <f t="shared" si="30"/>
        <v>3</v>
      </c>
      <c r="AI81" s="38">
        <f t="shared" ca="1" si="19"/>
        <v>29.569607119395503</v>
      </c>
      <c r="AJ81" s="29"/>
      <c r="AK81" s="29"/>
      <c r="AL81" s="29"/>
    </row>
    <row r="82" spans="1:38" x14ac:dyDescent="0.2">
      <c r="A82" s="15">
        <v>65</v>
      </c>
      <c r="B82" s="2">
        <f t="shared" ref="B82:B110" si="38">IF(C82="","",ROUND($D$6-C82,2))</f>
        <v>174.73</v>
      </c>
      <c r="C82" s="25">
        <v>14.4</v>
      </c>
      <c r="D82" s="25">
        <v>1.08</v>
      </c>
      <c r="E82" s="25">
        <v>9.2200000000000006</v>
      </c>
      <c r="F82" s="3" t="str">
        <f t="shared" ref="F82:F137" ca="1" si="39">IF(C82="","",OFFSET($C$5,MATCH(B82,D$6:D$15,-1),0,1,1))</f>
        <v>ИГЭ-3</v>
      </c>
      <c r="G82" s="30" t="str">
        <f t="shared" ref="G82:G137" ca="1" si="40">IF(C82="","",OFFSET($E$5,MATCH(B82,D$6:D$15,-1),0,1,1))</f>
        <v>пыл.-глинист.</v>
      </c>
      <c r="I82" s="13">
        <f t="shared" ca="1" si="31"/>
        <v>1416</v>
      </c>
      <c r="J82" s="14">
        <f t="shared" ref="J82:J135" ca="1" si="41">IF(I82="","",IF(I82&lt;=1000,0.9,IF(I82&lt;=2500,ROUND(0.967-0.000067*I82,3),IF(I82&lt;=5000,ROUND(0.95-0.00006*I82,3),IF(I82&lt;=7500,ROUND(0.85-0.00004*I82,3),IF(I82&lt;=10000,ROUND(0.85-0.00004*I82,3),IF(I82&lt;=15000,ROUND(0.65-0.00002*I82,3),IF(I82&lt;=30000,0.5-0.00001*I82,0.2))))))))</f>
        <v>0.872</v>
      </c>
      <c r="L82" s="14">
        <f t="shared" ref="L82:L100" ca="1" si="42">IF(G82="","",IF(G82="песчаный",IF(E82&lt;=20,0.75,IF(E82&lt;=40,ROUND(0.9-0.0075*E82,3),IF(E82&lt;=120,ROUND(0.7-0.0025*E82,3),0.4))),IF(E82&lt;=20,1,IF(E82&lt;=40,ROUND(1.25-0.0125*E82,3),IF(E82&lt;=80,ROUND(1.05-0.0075*E82,3),IF(E82&lt;=100,ROUND(0.65-0.0025*E82,3),IF(E82&lt;=120,ROUND(0.9-0.005*E82,3),0.3)))))))</f>
        <v>1</v>
      </c>
      <c r="M82" s="22">
        <f t="shared" ca="1" si="32"/>
        <v>2.0740000000000114</v>
      </c>
      <c r="N82" s="37">
        <f t="shared" ref="N82:N100" ca="1" si="43">IF(C82="","",IF(OFFSET($C$5,MATCH(B82,D$6:D$15,-1),4,1,1)="",1,0))</f>
        <v>1</v>
      </c>
      <c r="O82" s="37">
        <f t="shared" ref="O82:O100" ca="1" si="44">IF(C82="","",IF(OFFSET($C$5,MATCH(B82,D$6:D$15,-1),4,1,1)="тип II",1,0))</f>
        <v>0</v>
      </c>
      <c r="Q82" s="22">
        <f t="shared" ref="Q82:Q100" si="45">IF(C82="","",IF(ROUND(($D$6-FLOOR($D$6-$T$8,$C$19-$C$18))-B82,2)&lt;0,"",ROUND(($D$6-FLOOR($D$6-$T$8,$C$19-$C$18))-B82,2)))</f>
        <v>11.4</v>
      </c>
      <c r="R82" s="22">
        <f t="shared" ref="R82:R100" ca="1" si="46">IF(Q82="","",J82*I82*$T$7)</f>
        <v>151.25711999999999</v>
      </c>
      <c r="S82" s="22">
        <f ca="1">IF(Q82="","",IF(Q82=0,0,SUMPRODUCT(OFFSET(M$18,MATCH(MIN(Q$18:Q$137),Q$18:Q$137,0),0,COUNT(M$18:M82)-MATCH(MIN(Q$18:Q$137),Q$18:Q$137,0),1),OFFSET(M$18,MATCH(MIN(Q$18:Q$137),Q$18:Q$137,0),1,COUNT(M$18:M82)-MATCH(MIN(Q$18:Q$137),Q$18:Q$137,0),1))*$T$6))</f>
        <v>312.25661879999996</v>
      </c>
      <c r="T82" s="22">
        <f t="shared" ref="T82:T100" ca="1" si="47">IF(Q82="","",R82+S82)</f>
        <v>463.51373879999994</v>
      </c>
      <c r="V82" s="22">
        <f ca="1">IF(Q82="","",IF(Q82=0,0,SUMPRODUCT(OFFSET(M$18,MATCH(MIN(Q$18:Q$137),Q$18:Q$137,0),0,COUNT(M$18:M82)-MATCH(MIN(Q$18:Q$137),Q$18:Q$137,0),1),OFFSET(M$18,MATCH(MIN(Q$18:Q$137),Q$18:Q$137,0),2,COUNT(M$18:M82)-MATCH(MIN(Q$18:Q$137),Q$18:Q$137,0),1))*$T$6*$T$14))</f>
        <v>0</v>
      </c>
      <c r="W82" s="29"/>
      <c r="X82" s="23">
        <f t="shared" ca="1" si="13"/>
        <v>33.958910529051984</v>
      </c>
      <c r="Z82" s="15">
        <f t="shared" si="33"/>
        <v>14.05</v>
      </c>
      <c r="AA82" s="15">
        <f t="shared" si="34"/>
        <v>15.8</v>
      </c>
      <c r="AC82" s="15">
        <f t="shared" si="35"/>
        <v>63</v>
      </c>
      <c r="AD82" s="15">
        <f t="shared" si="36"/>
        <v>72</v>
      </c>
      <c r="AF82" s="15">
        <f t="shared" ca="1" si="37"/>
        <v>10</v>
      </c>
      <c r="AH82" s="15">
        <f t="shared" ref="AH82:AH100" si="48">MATCH(B82,D$6:D$15,-1)</f>
        <v>3</v>
      </c>
      <c r="AI82" s="38">
        <f t="shared" ca="1" si="19"/>
        <v>30.801732906169605</v>
      </c>
      <c r="AJ82" s="29"/>
      <c r="AK82" s="29"/>
      <c r="AL82" s="29"/>
    </row>
    <row r="83" spans="1:38" x14ac:dyDescent="0.2">
      <c r="A83" s="15">
        <v>66</v>
      </c>
      <c r="B83" s="2">
        <f t="shared" si="38"/>
        <v>174.53</v>
      </c>
      <c r="C83" s="25">
        <v>14.6</v>
      </c>
      <c r="D83" s="25">
        <v>1.32</v>
      </c>
      <c r="E83" s="25">
        <v>11.52</v>
      </c>
      <c r="F83" s="3" t="str">
        <f t="shared" ca="1" si="39"/>
        <v>ИГЭ-3</v>
      </c>
      <c r="G83" s="30" t="str">
        <f t="shared" ca="1" si="40"/>
        <v>пыл.-глинист.</v>
      </c>
      <c r="I83" s="13">
        <f t="shared" ref="I83:I100" ca="1" si="49">IF(D83="","",ROUND(AVERAGE(OFFSET($D$17,MATCH(MAX(FLOOR(C83-$T$5,(C83-C82)),C$18),C$18:C$137),0,MATCH(MIN(CEILING(C83+4*$T$5,(C83-C82)),C$137),C$18:C$137)-MATCH(MAX(FLOOR(C83-$T$5,(C83-C82)),C$18),C$18:C$137)+1,1))*1000,0))</f>
        <v>1451</v>
      </c>
      <c r="J83" s="14">
        <f t="shared" ca="1" si="41"/>
        <v>0.87</v>
      </c>
      <c r="L83" s="14">
        <f t="shared" ca="1" si="42"/>
        <v>1</v>
      </c>
      <c r="M83" s="22">
        <f t="shared" ref="M83:M100" ca="1" si="50">IF(L83="","",(C83-C82)*SUMPRODUCT(E82:E83,L82:L83)/2)</f>
        <v>2.0739999999999927</v>
      </c>
      <c r="N83" s="37">
        <f t="shared" ca="1" si="43"/>
        <v>1</v>
      </c>
      <c r="O83" s="37">
        <f t="shared" ca="1" si="44"/>
        <v>0</v>
      </c>
      <c r="Q83" s="22">
        <f t="shared" si="45"/>
        <v>11.6</v>
      </c>
      <c r="R83" s="22">
        <f t="shared" ca="1" si="46"/>
        <v>154.64032499999996</v>
      </c>
      <c r="S83" s="22">
        <f ca="1">IF(Q83="","",IF(Q83=0,0,SUMPRODUCT(OFFSET(M$18,MATCH(MIN(Q$18:Q$137),Q$18:Q$137,0),0,COUNT(M$18:M83)-MATCH(MIN(Q$18:Q$137),Q$18:Q$137,0),1),OFFSET(M$18,MATCH(MIN(Q$18:Q$137),Q$18:Q$137,0),1,COUNT(M$18:M83)-MATCH(MIN(Q$18:Q$137),Q$18:Q$137,0),1))*$T$6))</f>
        <v>315.16021879999994</v>
      </c>
      <c r="T83" s="22">
        <f t="shared" ca="1" si="47"/>
        <v>469.8005437999999</v>
      </c>
      <c r="V83" s="22">
        <f ca="1">IF(Q83="","",IF(Q83=0,0,SUMPRODUCT(OFFSET(M$18,MATCH(MIN(Q$18:Q$137),Q$18:Q$137,0),0,COUNT(M$18:M83)-MATCH(MIN(Q$18:Q$137),Q$18:Q$137,0),1),OFFSET(M$18,MATCH(MIN(Q$18:Q$137),Q$18:Q$137,0),2,COUNT(M$18:M83)-MATCH(MIN(Q$18:Q$137),Q$18:Q$137,0),1))*$T$6*$T$14))</f>
        <v>0</v>
      </c>
      <c r="W83" s="29"/>
      <c r="X83" s="23">
        <f t="shared" ref="X83:X100" ca="1" si="51">IF(Q83="","",MAX(0,(T83/1.25-V83)/9.81-2.5*1.1*$T$7*Q83))</f>
        <v>34.404220952089695</v>
      </c>
      <c r="Z83" s="15">
        <f t="shared" ref="Z83:Z100" si="52">C83-T$5</f>
        <v>14.25</v>
      </c>
      <c r="AA83" s="15">
        <f t="shared" ref="AA83:AA100" si="53">C83+4*T$5</f>
        <v>16</v>
      </c>
      <c r="AC83" s="15">
        <f t="shared" ref="AC83:AC100" si="54">MATCH(MAX(FLOOR(C83-$T$5,(C83-C82)),C$18),C$18:C$137)</f>
        <v>63</v>
      </c>
      <c r="AD83" s="15">
        <f t="shared" ref="AD83:AD100" si="55">MATCH(MIN(CEILING(C83+4*$T$5,(C83-C82)),C$137),C$18:C$137)</f>
        <v>73</v>
      </c>
      <c r="AF83" s="15">
        <f t="shared" ref="AF83:AF100" ca="1" si="56">COUNT(OFFSET($D$17,AC83,0,AD83-AC83+1,1))</f>
        <v>11</v>
      </c>
      <c r="AH83" s="15">
        <f t="shared" si="48"/>
        <v>3</v>
      </c>
      <c r="AI83" s="38">
        <f t="shared" ca="1" si="19"/>
        <v>31.205642586929432</v>
      </c>
      <c r="AJ83" s="29"/>
      <c r="AK83" s="29"/>
      <c r="AL83" s="29"/>
    </row>
    <row r="84" spans="1:38" x14ac:dyDescent="0.2">
      <c r="A84" s="15">
        <v>67</v>
      </c>
      <c r="B84" s="2">
        <f t="shared" si="38"/>
        <v>174.33</v>
      </c>
      <c r="C84" s="25">
        <v>14.8</v>
      </c>
      <c r="D84" s="25">
        <v>1.44</v>
      </c>
      <c r="E84" s="25">
        <v>18.43</v>
      </c>
      <c r="F84" s="3" t="str">
        <f t="shared" ca="1" si="39"/>
        <v>ИГЭ-3</v>
      </c>
      <c r="G84" s="30" t="str">
        <f t="shared" ca="1" si="40"/>
        <v>пыл.-глинист.</v>
      </c>
      <c r="I84" s="13">
        <f t="shared" ca="1" si="49"/>
        <v>1632</v>
      </c>
      <c r="J84" s="14">
        <f t="shared" ca="1" si="41"/>
        <v>0.85799999999999998</v>
      </c>
      <c r="L84" s="14">
        <f t="shared" ca="1" si="42"/>
        <v>1</v>
      </c>
      <c r="M84" s="22">
        <f t="shared" ca="1" si="50"/>
        <v>2.9950000000000161</v>
      </c>
      <c r="N84" s="37">
        <f t="shared" ca="1" si="43"/>
        <v>1</v>
      </c>
      <c r="O84" s="37">
        <f t="shared" ca="1" si="44"/>
        <v>0</v>
      </c>
      <c r="Q84" s="22">
        <f t="shared" si="45"/>
        <v>11.8</v>
      </c>
      <c r="R84" s="22">
        <f t="shared" ca="1" si="46"/>
        <v>171.53135999999998</v>
      </c>
      <c r="S84" s="22">
        <f ca="1">IF(Q84="","",IF(Q84=0,0,SUMPRODUCT(OFFSET(M$18,MATCH(MIN(Q$18:Q$137),Q$18:Q$137,0),0,COUNT(M$18:M84)-MATCH(MIN(Q$18:Q$137),Q$18:Q$137,0),1),OFFSET(M$18,MATCH(MIN(Q$18:Q$137),Q$18:Q$137,0),1,COUNT(M$18:M84)-MATCH(MIN(Q$18:Q$137),Q$18:Q$137,0),1))*$T$6))</f>
        <v>319.35321879999992</v>
      </c>
      <c r="T84" s="22">
        <f t="shared" ca="1" si="47"/>
        <v>490.88457879999987</v>
      </c>
      <c r="V84" s="22">
        <f ca="1">IF(Q84="","",IF(Q84=0,0,SUMPRODUCT(OFFSET(M$18,MATCH(MIN(Q$18:Q$137),Q$18:Q$137,0),0,COUNT(M$18:M84)-MATCH(MIN(Q$18:Q$137),Q$18:Q$137,0),1),OFFSET(M$18,MATCH(MIN(Q$18:Q$137),Q$18:Q$137,0),2,COUNT(M$18:M84)-MATCH(MIN(Q$18:Q$137),Q$18:Q$137,0),1))*$T$6*$T$14))</f>
        <v>0</v>
      </c>
      <c r="W84" s="29"/>
      <c r="X84" s="23">
        <f t="shared" ca="1" si="51"/>
        <v>36.056237185524964</v>
      </c>
      <c r="Z84" s="15">
        <f t="shared" si="52"/>
        <v>14.450000000000001</v>
      </c>
      <c r="AA84" s="15">
        <f t="shared" si="53"/>
        <v>16.2</v>
      </c>
      <c r="AC84" s="15">
        <f t="shared" si="54"/>
        <v>65</v>
      </c>
      <c r="AD84" s="15">
        <f t="shared" si="55"/>
        <v>74</v>
      </c>
      <c r="AF84" s="15">
        <f t="shared" ca="1" si="56"/>
        <v>10</v>
      </c>
      <c r="AH84" s="15">
        <f t="shared" si="48"/>
        <v>3</v>
      </c>
      <c r="AI84" s="38">
        <f t="shared" ref="AI84:AI137" ca="1" si="57">X84/T$5/T$5/9</f>
        <v>32.704070009546456</v>
      </c>
      <c r="AJ84" s="29"/>
      <c r="AK84" s="29"/>
      <c r="AL84" s="29"/>
    </row>
    <row r="85" spans="1:38" x14ac:dyDescent="0.2">
      <c r="A85" s="15">
        <v>68</v>
      </c>
      <c r="B85" s="2">
        <f t="shared" si="38"/>
        <v>174.13</v>
      </c>
      <c r="C85" s="25">
        <v>15</v>
      </c>
      <c r="D85" s="25">
        <v>1.56</v>
      </c>
      <c r="E85" s="25">
        <v>16.13</v>
      </c>
      <c r="F85" s="3" t="str">
        <f t="shared" ca="1" si="39"/>
        <v>ИГЭ-3</v>
      </c>
      <c r="G85" s="30" t="str">
        <f t="shared" ca="1" si="40"/>
        <v>пыл.-глинист.</v>
      </c>
      <c r="I85" s="13">
        <f t="shared" ca="1" si="49"/>
        <v>1667</v>
      </c>
      <c r="J85" s="14">
        <f t="shared" ca="1" si="41"/>
        <v>0.85499999999999998</v>
      </c>
      <c r="L85" s="14">
        <f t="shared" ca="1" si="42"/>
        <v>1</v>
      </c>
      <c r="M85" s="22">
        <f t="shared" ca="1" si="50"/>
        <v>3.455999999999988</v>
      </c>
      <c r="N85" s="37">
        <f t="shared" ca="1" si="43"/>
        <v>1</v>
      </c>
      <c r="O85" s="37">
        <f t="shared" ca="1" si="44"/>
        <v>0</v>
      </c>
      <c r="Q85" s="22">
        <f t="shared" si="45"/>
        <v>12</v>
      </c>
      <c r="R85" s="22">
        <f t="shared" ca="1" si="46"/>
        <v>174.59741249999999</v>
      </c>
      <c r="S85" s="22">
        <f ca="1">IF(Q85="","",IF(Q85=0,0,SUMPRODUCT(OFFSET(M$18,MATCH(MIN(Q$18:Q$137),Q$18:Q$137,0),0,COUNT(M$18:M85)-MATCH(MIN(Q$18:Q$137),Q$18:Q$137,0),1),OFFSET(M$18,MATCH(MIN(Q$18:Q$137),Q$18:Q$137,0),1,COUNT(M$18:M85)-MATCH(MIN(Q$18:Q$137),Q$18:Q$137,0),1))*$T$6))</f>
        <v>324.1916187999999</v>
      </c>
      <c r="T85" s="22">
        <f t="shared" ca="1" si="47"/>
        <v>498.78903129999992</v>
      </c>
      <c r="V85" s="22">
        <f ca="1">IF(Q85="","",IF(Q85=0,0,SUMPRODUCT(OFFSET(M$18,MATCH(MIN(Q$18:Q$137),Q$18:Q$137,0),0,COUNT(M$18:M85)-MATCH(MIN(Q$18:Q$137),Q$18:Q$137,0),1),OFFSET(M$18,MATCH(MIN(Q$18:Q$137),Q$18:Q$137,0),2,COUNT(M$18:M85)-MATCH(MIN(Q$18:Q$137),Q$18:Q$137,0),1))*$T$6*$T$14))</f>
        <v>0</v>
      </c>
      <c r="W85" s="29"/>
      <c r="X85" s="23">
        <f t="shared" ca="1" si="51"/>
        <v>36.633465855249739</v>
      </c>
      <c r="Z85" s="15">
        <f t="shared" si="52"/>
        <v>14.65</v>
      </c>
      <c r="AA85" s="15">
        <f t="shared" si="53"/>
        <v>16.399999999999999</v>
      </c>
      <c r="AC85" s="15">
        <f t="shared" si="54"/>
        <v>65</v>
      </c>
      <c r="AD85" s="15">
        <f t="shared" si="55"/>
        <v>75</v>
      </c>
      <c r="AF85" s="15">
        <f t="shared" ca="1" si="56"/>
        <v>11</v>
      </c>
      <c r="AH85" s="15">
        <f t="shared" si="48"/>
        <v>3</v>
      </c>
      <c r="AI85" s="38">
        <f t="shared" ca="1" si="57"/>
        <v>33.227633428797951</v>
      </c>
      <c r="AJ85" s="29"/>
      <c r="AK85" s="29"/>
      <c r="AL85" s="29"/>
    </row>
    <row r="86" spans="1:38" x14ac:dyDescent="0.2">
      <c r="A86" s="15">
        <v>69</v>
      </c>
      <c r="B86" s="2">
        <f t="shared" si="38"/>
        <v>173.93</v>
      </c>
      <c r="C86" s="25">
        <v>15.2</v>
      </c>
      <c r="D86" s="25">
        <v>1.68</v>
      </c>
      <c r="E86" s="25">
        <v>50.68</v>
      </c>
      <c r="F86" s="3" t="str">
        <f t="shared" ca="1" si="39"/>
        <v>ИГЭ-3</v>
      </c>
      <c r="G86" s="30" t="str">
        <f t="shared" ca="1" si="40"/>
        <v>пыл.-глинист.</v>
      </c>
      <c r="I86" s="13">
        <f t="shared" ca="1" si="49"/>
        <v>1776</v>
      </c>
      <c r="J86" s="14">
        <f t="shared" ca="1" si="41"/>
        <v>0.84799999999999998</v>
      </c>
      <c r="L86" s="14">
        <f t="shared" ca="1" si="42"/>
        <v>0.67</v>
      </c>
      <c r="M86" s="22">
        <f t="shared" ca="1" si="50"/>
        <v>5.0085599999999824</v>
      </c>
      <c r="N86" s="37">
        <f t="shared" ca="1" si="43"/>
        <v>1</v>
      </c>
      <c r="O86" s="37">
        <f t="shared" ca="1" si="44"/>
        <v>0</v>
      </c>
      <c r="Q86" s="22">
        <f t="shared" si="45"/>
        <v>12.2</v>
      </c>
      <c r="R86" s="22">
        <f t="shared" ca="1" si="46"/>
        <v>184.49087999999998</v>
      </c>
      <c r="S86" s="22">
        <f ca="1">IF(Q86="","",IF(Q86=0,0,SUMPRODUCT(OFFSET(M$18,MATCH(MIN(Q$18:Q$137),Q$18:Q$137,0),0,COUNT(M$18:M86)-MATCH(MIN(Q$18:Q$137),Q$18:Q$137,0),1),OFFSET(M$18,MATCH(MIN(Q$18:Q$137),Q$18:Q$137,0),1,COUNT(M$18:M86)-MATCH(MIN(Q$18:Q$137),Q$18:Q$137,0),1))*$T$6))</f>
        <v>331.20360279999989</v>
      </c>
      <c r="T86" s="22">
        <f t="shared" ca="1" si="47"/>
        <v>515.69448279999983</v>
      </c>
      <c r="V86" s="22">
        <f ca="1">IF(Q86="","",IF(Q86=0,0,SUMPRODUCT(OFFSET(M$18,MATCH(MIN(Q$18:Q$137),Q$18:Q$137,0),0,COUNT(M$18:M86)-MATCH(MIN(Q$18:Q$137),Q$18:Q$137,0),1),OFFSET(M$18,MATCH(MIN(Q$18:Q$137),Q$18:Q$137,0),2,COUNT(M$18:M86)-MATCH(MIN(Q$18:Q$137),Q$18:Q$137,0),1))*$T$6*$T$14))</f>
        <v>0</v>
      </c>
      <c r="W86" s="29"/>
      <c r="X86" s="23">
        <f t="shared" ca="1" si="51"/>
        <v>37.944720946992845</v>
      </c>
      <c r="Z86" s="15">
        <f t="shared" si="52"/>
        <v>14.85</v>
      </c>
      <c r="AA86" s="15">
        <f t="shared" si="53"/>
        <v>16.599999999999998</v>
      </c>
      <c r="AC86" s="15">
        <f t="shared" si="54"/>
        <v>66</v>
      </c>
      <c r="AD86" s="15">
        <f t="shared" si="55"/>
        <v>76</v>
      </c>
      <c r="AF86" s="15">
        <f t="shared" ca="1" si="56"/>
        <v>11</v>
      </c>
      <c r="AH86" s="15">
        <f t="shared" si="48"/>
        <v>3</v>
      </c>
      <c r="AI86" s="38">
        <f t="shared" ca="1" si="57"/>
        <v>34.416980450787165</v>
      </c>
      <c r="AJ86" s="29"/>
      <c r="AK86" s="29"/>
      <c r="AL86" s="29"/>
    </row>
    <row r="87" spans="1:38" x14ac:dyDescent="0.2">
      <c r="A87" s="15">
        <v>70</v>
      </c>
      <c r="B87" s="2">
        <f t="shared" si="38"/>
        <v>173.73</v>
      </c>
      <c r="C87" s="25">
        <v>15.4</v>
      </c>
      <c r="D87" s="25">
        <v>1.68</v>
      </c>
      <c r="E87" s="25">
        <v>29.95</v>
      </c>
      <c r="F87" s="3" t="str">
        <f t="shared" ca="1" si="39"/>
        <v>ИГЭ-3</v>
      </c>
      <c r="G87" s="30" t="str">
        <f t="shared" ca="1" si="40"/>
        <v>пыл.-глинист.</v>
      </c>
      <c r="I87" s="13">
        <f t="shared" ca="1" si="49"/>
        <v>1918</v>
      </c>
      <c r="J87" s="14">
        <f t="shared" ca="1" si="41"/>
        <v>0.83799999999999997</v>
      </c>
      <c r="L87" s="14">
        <f t="shared" ca="1" si="42"/>
        <v>0.876</v>
      </c>
      <c r="M87" s="22">
        <f t="shared" ca="1" si="50"/>
        <v>6.0191800000000324</v>
      </c>
      <c r="N87" s="37">
        <f t="shared" ca="1" si="43"/>
        <v>1</v>
      </c>
      <c r="O87" s="37">
        <f t="shared" ca="1" si="44"/>
        <v>0</v>
      </c>
      <c r="Q87" s="22">
        <f t="shared" si="45"/>
        <v>12.4</v>
      </c>
      <c r="R87" s="22">
        <f t="shared" ca="1" si="46"/>
        <v>196.89228999999995</v>
      </c>
      <c r="S87" s="22">
        <f ca="1">IF(Q87="","",IF(Q87=0,0,SUMPRODUCT(OFFSET(M$18,MATCH(MIN(Q$18:Q$137),Q$18:Q$137,0),0,COUNT(M$18:M87)-MATCH(MIN(Q$18:Q$137),Q$18:Q$137,0),1),OFFSET(M$18,MATCH(MIN(Q$18:Q$137),Q$18:Q$137,0),1,COUNT(M$18:M87)-MATCH(MIN(Q$18:Q$137),Q$18:Q$137,0),1))*$T$6))</f>
        <v>339.63045479999994</v>
      </c>
      <c r="T87" s="22">
        <f t="shared" ca="1" si="47"/>
        <v>536.52274479999983</v>
      </c>
      <c r="V87" s="22">
        <f ca="1">IF(Q87="","",IF(Q87=0,0,SUMPRODUCT(OFFSET(M$18,MATCH(MIN(Q$18:Q$137),Q$18:Q$137,0),0,COUNT(M$18:M87)-MATCH(MIN(Q$18:Q$137),Q$18:Q$137,0),1),OFFSET(M$18,MATCH(MIN(Q$18:Q$137),Q$18:Q$137,0),2,COUNT(M$18:M87)-MATCH(MIN(Q$18:Q$137),Q$18:Q$137,0),1))*$T$6*$T$14))</f>
        <v>0</v>
      </c>
      <c r="W87" s="29"/>
      <c r="X87" s="23">
        <f t="shared" ca="1" si="51"/>
        <v>39.575879035677865</v>
      </c>
      <c r="Z87" s="15">
        <f t="shared" si="52"/>
        <v>15.05</v>
      </c>
      <c r="AA87" s="15">
        <f t="shared" si="53"/>
        <v>16.8</v>
      </c>
      <c r="AC87" s="15">
        <f t="shared" si="54"/>
        <v>68</v>
      </c>
      <c r="AD87" s="15">
        <f t="shared" si="55"/>
        <v>77</v>
      </c>
      <c r="AF87" s="15">
        <f t="shared" ca="1" si="56"/>
        <v>10</v>
      </c>
      <c r="AH87" s="15">
        <f t="shared" si="48"/>
        <v>3</v>
      </c>
      <c r="AI87" s="38">
        <f t="shared" ca="1" si="57"/>
        <v>35.89648892124977</v>
      </c>
      <c r="AJ87" s="29"/>
      <c r="AK87" s="29"/>
      <c r="AL87" s="29"/>
    </row>
    <row r="88" spans="1:38" x14ac:dyDescent="0.2">
      <c r="A88" s="15">
        <v>71</v>
      </c>
      <c r="B88" s="2">
        <f t="shared" si="38"/>
        <v>173.53</v>
      </c>
      <c r="C88" s="25">
        <v>15.6</v>
      </c>
      <c r="D88" s="25">
        <v>1.8</v>
      </c>
      <c r="E88" s="25">
        <v>27.65</v>
      </c>
      <c r="F88" s="3" t="str">
        <f t="shared" ca="1" si="39"/>
        <v>ИГЭ-3</v>
      </c>
      <c r="G88" s="30" t="str">
        <f t="shared" ca="1" si="40"/>
        <v>пыл.-глинист.</v>
      </c>
      <c r="I88" s="13">
        <f t="shared" ca="1" si="49"/>
        <v>1918</v>
      </c>
      <c r="J88" s="14">
        <f t="shared" ca="1" si="41"/>
        <v>0.83799999999999997</v>
      </c>
      <c r="L88" s="14">
        <f t="shared" ca="1" si="42"/>
        <v>0.90400000000000003</v>
      </c>
      <c r="M88" s="22">
        <f t="shared" ca="1" si="50"/>
        <v>5.1231799999999819</v>
      </c>
      <c r="N88" s="37">
        <f t="shared" ca="1" si="43"/>
        <v>1</v>
      </c>
      <c r="O88" s="37">
        <f t="shared" ca="1" si="44"/>
        <v>0</v>
      </c>
      <c r="Q88" s="22">
        <f t="shared" si="45"/>
        <v>12.6</v>
      </c>
      <c r="R88" s="22">
        <f t="shared" ca="1" si="46"/>
        <v>196.89228999999995</v>
      </c>
      <c r="S88" s="22">
        <f ca="1">IF(Q88="","",IF(Q88=0,0,SUMPRODUCT(OFFSET(M$18,MATCH(MIN(Q$18:Q$137),Q$18:Q$137,0),0,COUNT(M$18:M88)-MATCH(MIN(Q$18:Q$137),Q$18:Q$137,0),1),OFFSET(M$18,MATCH(MIN(Q$18:Q$137),Q$18:Q$137,0),1,COUNT(M$18:M88)-MATCH(MIN(Q$18:Q$137),Q$18:Q$137,0),1))*$T$6))</f>
        <v>346.80290679999996</v>
      </c>
      <c r="T88" s="22">
        <f t="shared" ca="1" si="47"/>
        <v>543.69519679999985</v>
      </c>
      <c r="V88" s="22">
        <f ca="1">IF(Q88="","",IF(Q88=0,0,SUMPRODUCT(OFFSET(M$18,MATCH(MIN(Q$18:Q$137),Q$18:Q$137,0),0,COUNT(M$18:M88)-MATCH(MIN(Q$18:Q$137),Q$18:Q$137,0),1),OFFSET(M$18,MATCH(MIN(Q$18:Q$137),Q$18:Q$137,0),2,COUNT(M$18:M88)-MATCH(MIN(Q$18:Q$137),Q$18:Q$137,0),1))*$T$6*$T$14))</f>
        <v>0</v>
      </c>
      <c r="W88" s="29"/>
      <c r="X88" s="23">
        <f t="shared" ca="1" si="51"/>
        <v>40.093413475025471</v>
      </c>
      <c r="Z88" s="15">
        <f t="shared" si="52"/>
        <v>15.25</v>
      </c>
      <c r="AA88" s="15">
        <f t="shared" si="53"/>
        <v>17</v>
      </c>
      <c r="AC88" s="15">
        <f t="shared" si="54"/>
        <v>68</v>
      </c>
      <c r="AD88" s="15">
        <f t="shared" si="55"/>
        <v>78</v>
      </c>
      <c r="AF88" s="15">
        <f t="shared" ca="1" si="56"/>
        <v>11</v>
      </c>
      <c r="AH88" s="15">
        <f t="shared" si="48"/>
        <v>3</v>
      </c>
      <c r="AI88" s="38">
        <f t="shared" ca="1" si="57"/>
        <v>36.36590791385531</v>
      </c>
      <c r="AJ88" s="29"/>
      <c r="AK88" s="29"/>
      <c r="AL88" s="29"/>
    </row>
    <row r="89" spans="1:38" x14ac:dyDescent="0.2">
      <c r="A89" s="15">
        <v>72</v>
      </c>
      <c r="B89" s="2">
        <f t="shared" si="38"/>
        <v>173.33</v>
      </c>
      <c r="C89" s="25">
        <v>15.8</v>
      </c>
      <c r="D89" s="25">
        <v>1.92</v>
      </c>
      <c r="E89" s="25">
        <v>34.56</v>
      </c>
      <c r="F89" s="3" t="str">
        <f t="shared" ca="1" si="39"/>
        <v>ИГЭ-3</v>
      </c>
      <c r="G89" s="30" t="str">
        <f t="shared" ca="1" si="40"/>
        <v>пыл.-глинист.</v>
      </c>
      <c r="I89" s="13">
        <f t="shared" ca="1" si="49"/>
        <v>2002</v>
      </c>
      <c r="J89" s="14">
        <f t="shared" ca="1" si="41"/>
        <v>0.83299999999999996</v>
      </c>
      <c r="L89" s="14">
        <f t="shared" ca="1" si="42"/>
        <v>0.81799999999999995</v>
      </c>
      <c r="M89" s="22">
        <f t="shared" ca="1" si="50"/>
        <v>5.3265680000000284</v>
      </c>
      <c r="N89" s="37">
        <f t="shared" ca="1" si="43"/>
        <v>1</v>
      </c>
      <c r="O89" s="37">
        <f t="shared" ca="1" si="44"/>
        <v>0</v>
      </c>
      <c r="Q89" s="22">
        <f t="shared" si="45"/>
        <v>12.8</v>
      </c>
      <c r="R89" s="22">
        <f t="shared" ca="1" si="46"/>
        <v>204.28908499999997</v>
      </c>
      <c r="S89" s="22">
        <f ca="1">IF(Q89="","",IF(Q89=0,0,SUMPRODUCT(OFFSET(M$18,MATCH(MIN(Q$18:Q$137),Q$18:Q$137,0),0,COUNT(M$18:M89)-MATCH(MIN(Q$18:Q$137),Q$18:Q$137,0),1),OFFSET(M$18,MATCH(MIN(Q$18:Q$137),Q$18:Q$137,0),1,COUNT(M$18:M89)-MATCH(MIN(Q$18:Q$137),Q$18:Q$137,0),1))*$T$6))</f>
        <v>354.26010200000002</v>
      </c>
      <c r="T89" s="22">
        <f t="shared" ca="1" si="47"/>
        <v>558.54918699999996</v>
      </c>
      <c r="V89" s="22">
        <f ca="1">IF(Q89="","",IF(Q89=0,0,SUMPRODUCT(OFFSET(M$18,MATCH(MIN(Q$18:Q$137),Q$18:Q$137,0),0,COUNT(M$18:M89)-MATCH(MIN(Q$18:Q$137),Q$18:Q$137,0),1),OFFSET(M$18,MATCH(MIN(Q$18:Q$137),Q$18:Q$137,0),2,COUNT(M$18:M89)-MATCH(MIN(Q$18:Q$137),Q$18:Q$137,0),1))*$T$6*$T$14))</f>
        <v>0</v>
      </c>
      <c r="W89" s="29"/>
      <c r="X89" s="23">
        <f t="shared" ca="1" si="51"/>
        <v>41.237373047910296</v>
      </c>
      <c r="Z89" s="15">
        <f t="shared" si="52"/>
        <v>15.450000000000001</v>
      </c>
      <c r="AA89" s="15">
        <f t="shared" si="53"/>
        <v>17.2</v>
      </c>
      <c r="AC89" s="15">
        <f t="shared" si="54"/>
        <v>70</v>
      </c>
      <c r="AD89" s="15">
        <f t="shared" si="55"/>
        <v>79</v>
      </c>
      <c r="AF89" s="15">
        <f t="shared" ca="1" si="56"/>
        <v>10</v>
      </c>
      <c r="AH89" s="15">
        <f t="shared" si="48"/>
        <v>3</v>
      </c>
      <c r="AI89" s="38">
        <f t="shared" ca="1" si="57"/>
        <v>37.403512968626124</v>
      </c>
      <c r="AJ89" s="29"/>
      <c r="AK89" s="29"/>
      <c r="AL89" s="29"/>
    </row>
    <row r="90" spans="1:38" x14ac:dyDescent="0.2">
      <c r="A90" s="15">
        <v>73</v>
      </c>
      <c r="B90" s="2">
        <f t="shared" si="38"/>
        <v>173.13</v>
      </c>
      <c r="C90" s="25">
        <v>16</v>
      </c>
      <c r="D90" s="25">
        <v>1.8</v>
      </c>
      <c r="E90" s="25">
        <v>43.77</v>
      </c>
      <c r="F90" s="3" t="str">
        <f t="shared" ca="1" si="39"/>
        <v>ИГЭ-3</v>
      </c>
      <c r="G90" s="30" t="str">
        <f t="shared" ca="1" si="40"/>
        <v>пыл.-глинист.</v>
      </c>
      <c r="I90" s="13">
        <f t="shared" ca="1" si="49"/>
        <v>1983</v>
      </c>
      <c r="J90" s="14">
        <f t="shared" ca="1" si="41"/>
        <v>0.83399999999999996</v>
      </c>
      <c r="L90" s="14">
        <f t="shared" ca="1" si="42"/>
        <v>0.72199999999999998</v>
      </c>
      <c r="M90" s="22">
        <f t="shared" ca="1" si="50"/>
        <v>5.9872019999999795</v>
      </c>
      <c r="N90" s="37">
        <f t="shared" ca="1" si="43"/>
        <v>1</v>
      </c>
      <c r="O90" s="37">
        <f t="shared" ca="1" si="44"/>
        <v>0</v>
      </c>
      <c r="Q90" s="22">
        <f t="shared" si="45"/>
        <v>13</v>
      </c>
      <c r="R90" s="22">
        <f t="shared" ca="1" si="46"/>
        <v>202.59319499999995</v>
      </c>
      <c r="S90" s="22">
        <f ca="1">IF(Q90="","",IF(Q90=0,0,SUMPRODUCT(OFFSET(M$18,MATCH(MIN(Q$18:Q$137),Q$18:Q$137,0),0,COUNT(M$18:M90)-MATCH(MIN(Q$18:Q$137),Q$18:Q$137,0),1),OFFSET(M$18,MATCH(MIN(Q$18:Q$137),Q$18:Q$137,0),1,COUNT(M$18:M90)-MATCH(MIN(Q$18:Q$137),Q$18:Q$137,0),1))*$T$6))</f>
        <v>362.64218479999994</v>
      </c>
      <c r="T90" s="22">
        <f t="shared" ca="1" si="47"/>
        <v>565.23537979999992</v>
      </c>
      <c r="V90" s="22">
        <f ca="1">IF(Q90="","",IF(Q90=0,0,SUMPRODUCT(OFFSET(M$18,MATCH(MIN(Q$18:Q$137),Q$18:Q$137,0),0,COUNT(M$18:M90)-MATCH(MIN(Q$18:Q$137),Q$18:Q$137,0),1),OFFSET(M$18,MATCH(MIN(Q$18:Q$137),Q$18:Q$137,0),2,COUNT(M$18:M90)-MATCH(MIN(Q$18:Q$137),Q$18:Q$137,0),1))*$T$6*$T$14))</f>
        <v>0</v>
      </c>
      <c r="W90" s="29"/>
      <c r="X90" s="23">
        <f t="shared" ca="1" si="51"/>
        <v>41.715253322120276</v>
      </c>
      <c r="Z90" s="15">
        <f t="shared" si="52"/>
        <v>15.65</v>
      </c>
      <c r="AA90" s="15">
        <f t="shared" si="53"/>
        <v>17.399999999999999</v>
      </c>
      <c r="AC90" s="15">
        <f t="shared" si="54"/>
        <v>70</v>
      </c>
      <c r="AD90" s="15">
        <f t="shared" si="55"/>
        <v>80</v>
      </c>
      <c r="AF90" s="15">
        <f t="shared" ca="1" si="56"/>
        <v>11</v>
      </c>
      <c r="AH90" s="15">
        <f t="shared" si="48"/>
        <v>3</v>
      </c>
      <c r="AI90" s="38">
        <f t="shared" ca="1" si="57"/>
        <v>37.836964464508192</v>
      </c>
      <c r="AJ90" s="29"/>
      <c r="AK90" s="29"/>
      <c r="AL90" s="29"/>
    </row>
    <row r="91" spans="1:38" x14ac:dyDescent="0.2">
      <c r="A91" s="15">
        <v>74</v>
      </c>
      <c r="B91" s="2">
        <f t="shared" si="38"/>
        <v>172.93</v>
      </c>
      <c r="C91" s="25">
        <v>16.2</v>
      </c>
      <c r="D91" s="25">
        <v>2.04</v>
      </c>
      <c r="E91" s="25">
        <v>43.77</v>
      </c>
      <c r="F91" s="3" t="str">
        <f t="shared" ca="1" si="39"/>
        <v>ИГЭ-3</v>
      </c>
      <c r="G91" s="30" t="str">
        <f t="shared" ca="1" si="40"/>
        <v>пыл.-глинист.</v>
      </c>
      <c r="I91" s="13">
        <f t="shared" ca="1" si="49"/>
        <v>1983</v>
      </c>
      <c r="J91" s="14">
        <f t="shared" ca="1" si="41"/>
        <v>0.83399999999999996</v>
      </c>
      <c r="L91" s="14">
        <f t="shared" ca="1" si="42"/>
        <v>0.72199999999999998</v>
      </c>
      <c r="M91" s="22">
        <f t="shared" ca="1" si="50"/>
        <v>6.3203879999999781</v>
      </c>
      <c r="N91" s="37">
        <f t="shared" ca="1" si="43"/>
        <v>1</v>
      </c>
      <c r="O91" s="37">
        <f t="shared" ca="1" si="44"/>
        <v>0</v>
      </c>
      <c r="Q91" s="22">
        <f t="shared" si="45"/>
        <v>13.2</v>
      </c>
      <c r="R91" s="22">
        <f t="shared" ca="1" si="46"/>
        <v>202.59319499999995</v>
      </c>
      <c r="S91" s="22">
        <f ca="1">IF(Q91="","",IF(Q91=0,0,SUMPRODUCT(OFFSET(M$18,MATCH(MIN(Q$18:Q$137),Q$18:Q$137,0),0,COUNT(M$18:M91)-MATCH(MIN(Q$18:Q$137),Q$18:Q$137,0),1),OFFSET(M$18,MATCH(MIN(Q$18:Q$137),Q$18:Q$137,0),1,COUNT(M$18:M91)-MATCH(MIN(Q$18:Q$137),Q$18:Q$137,0),1))*$T$6))</f>
        <v>371.49072799999993</v>
      </c>
      <c r="T91" s="22">
        <f t="shared" ca="1" si="47"/>
        <v>574.08392299999991</v>
      </c>
      <c r="V91" s="22">
        <f ca="1">IF(Q91="","",IF(Q91=0,0,SUMPRODUCT(OFFSET(M$18,MATCH(MIN(Q$18:Q$137),Q$18:Q$137,0),0,COUNT(M$18:M91)-MATCH(MIN(Q$18:Q$137),Q$18:Q$137,0),1),OFFSET(M$18,MATCH(MIN(Q$18:Q$137),Q$18:Q$137,0),2,COUNT(M$18:M91)-MATCH(MIN(Q$18:Q$137),Q$18:Q$137,0),1))*$T$6*$T$14))</f>
        <v>0</v>
      </c>
      <c r="W91" s="29"/>
      <c r="X91" s="23">
        <f t="shared" ca="1" si="51"/>
        <v>42.369472059123332</v>
      </c>
      <c r="Z91" s="15">
        <f t="shared" si="52"/>
        <v>15.85</v>
      </c>
      <c r="AA91" s="15">
        <f t="shared" si="53"/>
        <v>17.599999999999998</v>
      </c>
      <c r="AC91" s="15">
        <f t="shared" si="54"/>
        <v>71</v>
      </c>
      <c r="AD91" s="15">
        <f t="shared" si="55"/>
        <v>81</v>
      </c>
      <c r="AF91" s="15">
        <f t="shared" ca="1" si="56"/>
        <v>11</v>
      </c>
      <c r="AH91" s="15">
        <f t="shared" si="48"/>
        <v>3</v>
      </c>
      <c r="AI91" s="38">
        <f t="shared" ca="1" si="57"/>
        <v>38.430360144329562</v>
      </c>
      <c r="AJ91" s="29"/>
      <c r="AK91" s="29"/>
      <c r="AL91" s="29"/>
    </row>
    <row r="92" spans="1:38" x14ac:dyDescent="0.2">
      <c r="A92" s="15">
        <v>75</v>
      </c>
      <c r="B92" s="2">
        <f t="shared" si="38"/>
        <v>172.73</v>
      </c>
      <c r="C92" s="25">
        <v>16.399999999999999</v>
      </c>
      <c r="D92" s="25">
        <v>2.016</v>
      </c>
      <c r="E92" s="25">
        <v>46.08</v>
      </c>
      <c r="F92" s="3" t="str">
        <f t="shared" ca="1" si="39"/>
        <v>ИГЭ-3</v>
      </c>
      <c r="G92" s="30" t="str">
        <f t="shared" ca="1" si="40"/>
        <v>пыл.-глинист.</v>
      </c>
      <c r="I92" s="13">
        <f t="shared" ca="1" si="49"/>
        <v>1972</v>
      </c>
      <c r="J92" s="14">
        <f t="shared" ca="1" si="41"/>
        <v>0.83499999999999996</v>
      </c>
      <c r="L92" s="14">
        <f t="shared" ca="1" si="42"/>
        <v>0.70399999999999996</v>
      </c>
      <c r="M92" s="22">
        <f t="shared" ca="1" si="50"/>
        <v>6.4042259999999773</v>
      </c>
      <c r="N92" s="37">
        <f t="shared" ca="1" si="43"/>
        <v>1</v>
      </c>
      <c r="O92" s="37">
        <f t="shared" ca="1" si="44"/>
        <v>0</v>
      </c>
      <c r="Q92" s="22">
        <f t="shared" si="45"/>
        <v>13.4</v>
      </c>
      <c r="R92" s="22">
        <f t="shared" ca="1" si="46"/>
        <v>201.71094999999997</v>
      </c>
      <c r="S92" s="22">
        <f ca="1">IF(Q92="","",IF(Q92=0,0,SUMPRODUCT(OFFSET(M$18,MATCH(MIN(Q$18:Q$137),Q$18:Q$137,0),0,COUNT(M$18:M92)-MATCH(MIN(Q$18:Q$137),Q$18:Q$137,0),1),OFFSET(M$18,MATCH(MIN(Q$18:Q$137),Q$18:Q$137,0),1,COUNT(M$18:M92)-MATCH(MIN(Q$18:Q$137),Q$18:Q$137,0),1))*$T$6))</f>
        <v>380.4566443999999</v>
      </c>
      <c r="T92" s="22">
        <f t="shared" ca="1" si="47"/>
        <v>582.16759439999987</v>
      </c>
      <c r="V92" s="22">
        <f ca="1">IF(Q92="","",IF(Q92=0,0,SUMPRODUCT(OFFSET(M$18,MATCH(MIN(Q$18:Q$137),Q$18:Q$137,0),0,COUNT(M$18:M92)-MATCH(MIN(Q$18:Q$137),Q$18:Q$137,0),1),OFFSET(M$18,MATCH(MIN(Q$18:Q$137),Q$18:Q$137,0),2,COUNT(M$18:M92)-MATCH(MIN(Q$18:Q$137),Q$18:Q$137,0),1))*$T$6*$T$14))</f>
        <v>0</v>
      </c>
      <c r="W92" s="29"/>
      <c r="X92" s="23">
        <f t="shared" ca="1" si="51"/>
        <v>42.961315929663598</v>
      </c>
      <c r="Z92" s="15">
        <f t="shared" si="52"/>
        <v>16.049999999999997</v>
      </c>
      <c r="AA92" s="15">
        <f t="shared" si="53"/>
        <v>17.799999999999997</v>
      </c>
      <c r="AC92" s="15">
        <f t="shared" si="54"/>
        <v>72</v>
      </c>
      <c r="AD92" s="15">
        <f t="shared" si="55"/>
        <v>82</v>
      </c>
      <c r="AF92" s="15">
        <f t="shared" ca="1" si="56"/>
        <v>11</v>
      </c>
      <c r="AH92" s="15">
        <f t="shared" si="48"/>
        <v>3</v>
      </c>
      <c r="AI92" s="38">
        <f t="shared" ca="1" si="57"/>
        <v>38.967179981554288</v>
      </c>
      <c r="AJ92" s="29"/>
      <c r="AK92" s="29"/>
      <c r="AL92" s="29"/>
    </row>
    <row r="93" spans="1:38" x14ac:dyDescent="0.2">
      <c r="A93" s="15">
        <v>76</v>
      </c>
      <c r="B93" s="2">
        <f t="shared" si="38"/>
        <v>172.53</v>
      </c>
      <c r="C93" s="25">
        <v>16.600000000000001</v>
      </c>
      <c r="D93" s="25">
        <v>2.2799999999999998</v>
      </c>
      <c r="E93" s="25">
        <v>48.38</v>
      </c>
      <c r="F93" s="3" t="str">
        <f t="shared" ca="1" si="39"/>
        <v>ИГЭ-3</v>
      </c>
      <c r="G93" s="30" t="str">
        <f t="shared" ca="1" si="40"/>
        <v>пыл.-глинист.</v>
      </c>
      <c r="I93" s="13">
        <f t="shared" ca="1" si="49"/>
        <v>1978</v>
      </c>
      <c r="J93" s="14">
        <f t="shared" ca="1" si="41"/>
        <v>0.83399999999999996</v>
      </c>
      <c r="L93" s="14">
        <f t="shared" ca="1" si="42"/>
        <v>0.68700000000000006</v>
      </c>
      <c r="M93" s="22">
        <f t="shared" ca="1" si="50"/>
        <v>6.5677380000000936</v>
      </c>
      <c r="N93" s="37">
        <f t="shared" ca="1" si="43"/>
        <v>1</v>
      </c>
      <c r="O93" s="37">
        <f t="shared" ca="1" si="44"/>
        <v>0</v>
      </c>
      <c r="Q93" s="22">
        <f t="shared" si="45"/>
        <v>13.6</v>
      </c>
      <c r="R93" s="22">
        <f t="shared" ca="1" si="46"/>
        <v>202.08236999999994</v>
      </c>
      <c r="S93" s="22">
        <f ca="1">IF(Q93="","",IF(Q93=0,0,SUMPRODUCT(OFFSET(M$18,MATCH(MIN(Q$18:Q$137),Q$18:Q$137,0),0,COUNT(M$18:M93)-MATCH(MIN(Q$18:Q$137),Q$18:Q$137,0),1),OFFSET(M$18,MATCH(MIN(Q$18:Q$137),Q$18:Q$137,0),1,COUNT(M$18:M93)-MATCH(MIN(Q$18:Q$137),Q$18:Q$137,0),1))*$T$6))</f>
        <v>389.65147760000002</v>
      </c>
      <c r="T93" s="22">
        <f t="shared" ca="1" si="47"/>
        <v>591.73384759999999</v>
      </c>
      <c r="V93" s="22">
        <f ca="1">IF(Q93="","",IF(Q93=0,0,SUMPRODUCT(OFFSET(M$18,MATCH(MIN(Q$18:Q$137),Q$18:Q$137,0),0,COUNT(M$18:M93)-MATCH(MIN(Q$18:Q$137),Q$18:Q$137,0),1),OFFSET(M$18,MATCH(MIN(Q$18:Q$137),Q$18:Q$137,0),2,COUNT(M$18:M93)-MATCH(MIN(Q$18:Q$137),Q$18:Q$137,0),1))*$T$6*$T$14))</f>
        <v>0</v>
      </c>
      <c r="W93" s="29"/>
      <c r="X93" s="23">
        <f t="shared" ca="1" si="51"/>
        <v>43.674063514780833</v>
      </c>
      <c r="Z93" s="15">
        <f t="shared" si="52"/>
        <v>16.25</v>
      </c>
      <c r="AA93" s="15">
        <f t="shared" si="53"/>
        <v>18</v>
      </c>
      <c r="AC93" s="15">
        <f t="shared" si="54"/>
        <v>74</v>
      </c>
      <c r="AD93" s="15">
        <f t="shared" si="55"/>
        <v>83</v>
      </c>
      <c r="AF93" s="15">
        <f t="shared" ca="1" si="56"/>
        <v>10</v>
      </c>
      <c r="AH93" s="15">
        <f t="shared" si="48"/>
        <v>3</v>
      </c>
      <c r="AI93" s="38">
        <f t="shared" ca="1" si="57"/>
        <v>39.613663051955406</v>
      </c>
      <c r="AJ93" s="29"/>
      <c r="AK93" s="29"/>
      <c r="AL93" s="29"/>
    </row>
    <row r="94" spans="1:38" x14ac:dyDescent="0.2">
      <c r="A94" s="15">
        <v>77</v>
      </c>
      <c r="B94" s="2">
        <f t="shared" si="38"/>
        <v>172.33</v>
      </c>
      <c r="C94" s="25">
        <v>16.8</v>
      </c>
      <c r="D94" s="25">
        <v>2.4</v>
      </c>
      <c r="E94" s="25">
        <v>69.12</v>
      </c>
      <c r="F94" s="3" t="str">
        <f t="shared" ca="1" si="39"/>
        <v>ИГЭ-3</v>
      </c>
      <c r="G94" s="30" t="str">
        <f t="shared" ca="1" si="40"/>
        <v>пыл.-глинист.</v>
      </c>
      <c r="I94" s="13">
        <f t="shared" ca="1" si="49"/>
        <v>2016</v>
      </c>
      <c r="J94" s="14">
        <f t="shared" ca="1" si="41"/>
        <v>0.83199999999999996</v>
      </c>
      <c r="L94" s="14">
        <f t="shared" ca="1" si="42"/>
        <v>0.53200000000000003</v>
      </c>
      <c r="M94" s="22">
        <f t="shared" ca="1" si="50"/>
        <v>7.0008899999999761</v>
      </c>
      <c r="N94" s="37">
        <f t="shared" ca="1" si="43"/>
        <v>1</v>
      </c>
      <c r="O94" s="37">
        <f t="shared" ca="1" si="44"/>
        <v>0</v>
      </c>
      <c r="Q94" s="22">
        <f t="shared" si="45"/>
        <v>13.8</v>
      </c>
      <c r="R94" s="22">
        <f t="shared" ca="1" si="46"/>
        <v>205.47071999999997</v>
      </c>
      <c r="S94" s="22">
        <f ca="1">IF(Q94="","",IF(Q94=0,0,SUMPRODUCT(OFFSET(M$18,MATCH(MIN(Q$18:Q$137),Q$18:Q$137,0),0,COUNT(M$18:M94)-MATCH(MIN(Q$18:Q$137),Q$18:Q$137,0),1),OFFSET(M$18,MATCH(MIN(Q$18:Q$137),Q$18:Q$137,0),1,COUNT(M$18:M94)-MATCH(MIN(Q$18:Q$137),Q$18:Q$137,0),1))*$T$6))</f>
        <v>399.45272359999996</v>
      </c>
      <c r="T94" s="22">
        <f t="shared" ca="1" si="47"/>
        <v>604.92344359999993</v>
      </c>
      <c r="V94" s="22">
        <f ca="1">IF(Q94="","",IF(Q94=0,0,SUMPRODUCT(OFFSET(M$18,MATCH(MIN(Q$18:Q$137),Q$18:Q$137,0),0,COUNT(M$18:M94)-MATCH(MIN(Q$18:Q$137),Q$18:Q$137,0),1),OFFSET(M$18,MATCH(MIN(Q$18:Q$137),Q$18:Q$137,0),2,COUNT(M$18:M94)-MATCH(MIN(Q$18:Q$137),Q$18:Q$137,0),1))*$T$6*$T$14))</f>
        <v>0</v>
      </c>
      <c r="W94" s="29"/>
      <c r="X94" s="23">
        <f t="shared" ca="1" si="51"/>
        <v>44.682292673802237</v>
      </c>
      <c r="Z94" s="15">
        <f t="shared" si="52"/>
        <v>16.45</v>
      </c>
      <c r="AA94" s="15">
        <f t="shared" si="53"/>
        <v>18.2</v>
      </c>
      <c r="AC94" s="15">
        <f t="shared" si="54"/>
        <v>74</v>
      </c>
      <c r="AD94" s="15">
        <f t="shared" si="55"/>
        <v>84</v>
      </c>
      <c r="AF94" s="15">
        <f t="shared" ca="1" si="56"/>
        <v>11</v>
      </c>
      <c r="AH94" s="15">
        <f t="shared" si="48"/>
        <v>3</v>
      </c>
      <c r="AI94" s="38">
        <f t="shared" ca="1" si="57"/>
        <v>40.528156620228792</v>
      </c>
      <c r="AJ94" s="29"/>
      <c r="AK94" s="29"/>
      <c r="AL94" s="29"/>
    </row>
    <row r="95" spans="1:38" x14ac:dyDescent="0.2">
      <c r="A95" s="15">
        <v>78</v>
      </c>
      <c r="B95" s="2">
        <f t="shared" si="38"/>
        <v>172.13</v>
      </c>
      <c r="C95" s="25">
        <v>17</v>
      </c>
      <c r="D95" s="25">
        <v>1.92</v>
      </c>
      <c r="E95" s="25">
        <v>66.81</v>
      </c>
      <c r="F95" s="3" t="str">
        <f t="shared" ca="1" si="39"/>
        <v>ИГЭ-3</v>
      </c>
      <c r="G95" s="30" t="str">
        <f t="shared" ca="1" si="40"/>
        <v>пыл.-глинист.</v>
      </c>
      <c r="I95" s="13">
        <f t="shared" ca="1" si="49"/>
        <v>2038</v>
      </c>
      <c r="J95" s="14">
        <f t="shared" ca="1" si="41"/>
        <v>0.83</v>
      </c>
      <c r="L95" s="14">
        <f t="shared" ca="1" si="42"/>
        <v>0.54900000000000004</v>
      </c>
      <c r="M95" s="22">
        <f t="shared" ca="1" si="50"/>
        <v>7.3450529999999752</v>
      </c>
      <c r="N95" s="37">
        <f t="shared" ca="1" si="43"/>
        <v>1</v>
      </c>
      <c r="O95" s="37">
        <f t="shared" ca="1" si="44"/>
        <v>0</v>
      </c>
      <c r="Q95" s="22">
        <f t="shared" si="45"/>
        <v>14</v>
      </c>
      <c r="R95" s="22">
        <f t="shared" ca="1" si="46"/>
        <v>207.21364999999997</v>
      </c>
      <c r="S95" s="22">
        <f ca="1">IF(Q95="","",IF(Q95=0,0,SUMPRODUCT(OFFSET(M$18,MATCH(MIN(Q$18:Q$137),Q$18:Q$137,0),0,COUNT(M$18:M95)-MATCH(MIN(Q$18:Q$137),Q$18:Q$137,0),1),OFFSET(M$18,MATCH(MIN(Q$18:Q$137),Q$18:Q$137,0),1,COUNT(M$18:M95)-MATCH(MIN(Q$18:Q$137),Q$18:Q$137,0),1))*$T$6))</f>
        <v>409.73579779999989</v>
      </c>
      <c r="T95" s="22">
        <f t="shared" ca="1" si="47"/>
        <v>616.94944779999992</v>
      </c>
      <c r="V95" s="22">
        <f ca="1">IF(Q95="","",IF(Q95=0,0,SUMPRODUCT(OFFSET(M$18,MATCH(MIN(Q$18:Q$137),Q$18:Q$137,0),0,COUNT(M$18:M95)-MATCH(MIN(Q$18:Q$137),Q$18:Q$137,0),1),OFFSET(M$18,MATCH(MIN(Q$18:Q$137),Q$18:Q$137,0),2,COUNT(M$18:M95)-MATCH(MIN(Q$18:Q$137),Q$18:Q$137,0),1))*$T$6*$T$14))</f>
        <v>0</v>
      </c>
      <c r="W95" s="29"/>
      <c r="X95" s="23">
        <f t="shared" ca="1" si="51"/>
        <v>45.595631573904171</v>
      </c>
      <c r="Z95" s="15">
        <f t="shared" si="52"/>
        <v>16.649999999999999</v>
      </c>
      <c r="AA95" s="15">
        <f t="shared" si="53"/>
        <v>18.399999999999999</v>
      </c>
      <c r="AC95" s="15">
        <f t="shared" si="54"/>
        <v>75</v>
      </c>
      <c r="AD95" s="15">
        <f t="shared" si="55"/>
        <v>85</v>
      </c>
      <c r="AF95" s="15">
        <f t="shared" ca="1" si="56"/>
        <v>11</v>
      </c>
      <c r="AH95" s="15">
        <f t="shared" si="48"/>
        <v>3</v>
      </c>
      <c r="AI95" s="38">
        <f t="shared" ca="1" si="57"/>
        <v>41.356581926443695</v>
      </c>
      <c r="AJ95" s="29"/>
      <c r="AK95" s="29"/>
      <c r="AL95" s="29"/>
    </row>
    <row r="96" spans="1:38" x14ac:dyDescent="0.2">
      <c r="A96" s="15">
        <v>79</v>
      </c>
      <c r="B96" s="2">
        <f t="shared" si="38"/>
        <v>171.93</v>
      </c>
      <c r="C96" s="25">
        <v>17.2</v>
      </c>
      <c r="D96" s="25">
        <v>2.16</v>
      </c>
      <c r="E96" s="25">
        <v>64.510000000000005</v>
      </c>
      <c r="F96" s="3" t="str">
        <f t="shared" ca="1" si="39"/>
        <v>ИГЭ-3</v>
      </c>
      <c r="G96" s="30" t="str">
        <f t="shared" ca="1" si="40"/>
        <v>пыл.-глинист.</v>
      </c>
      <c r="I96" s="13">
        <f t="shared" ca="1" si="49"/>
        <v>2051</v>
      </c>
      <c r="J96" s="14">
        <f t="shared" ca="1" si="41"/>
        <v>0.83</v>
      </c>
      <c r="L96" s="14">
        <f t="shared" ca="1" si="42"/>
        <v>0.56599999999999995</v>
      </c>
      <c r="M96" s="22">
        <f t="shared" ca="1" si="50"/>
        <v>7.3191349999999744</v>
      </c>
      <c r="N96" s="37">
        <f t="shared" ca="1" si="43"/>
        <v>1</v>
      </c>
      <c r="O96" s="37">
        <f t="shared" ca="1" si="44"/>
        <v>0</v>
      </c>
      <c r="Q96" s="22">
        <f t="shared" si="45"/>
        <v>14.2</v>
      </c>
      <c r="R96" s="22">
        <f t="shared" ca="1" si="46"/>
        <v>208.53542499999998</v>
      </c>
      <c r="S96" s="22">
        <f ca="1">IF(Q96="","",IF(Q96=0,0,SUMPRODUCT(OFFSET(M$18,MATCH(MIN(Q$18:Q$137),Q$18:Q$137,0),0,COUNT(M$18:M96)-MATCH(MIN(Q$18:Q$137),Q$18:Q$137,0),1),OFFSET(M$18,MATCH(MIN(Q$18:Q$137),Q$18:Q$137,0),1,COUNT(M$18:M96)-MATCH(MIN(Q$18:Q$137),Q$18:Q$137,0),1))*$T$6))</f>
        <v>419.98258679999986</v>
      </c>
      <c r="T96" s="22">
        <f t="shared" ca="1" si="47"/>
        <v>628.51801179999984</v>
      </c>
      <c r="V96" s="22">
        <f ca="1">IF(Q96="","",IF(Q96=0,0,SUMPRODUCT(OFFSET(M$18,MATCH(MIN(Q$18:Q$137),Q$18:Q$137,0),0,COUNT(M$18:M96)-MATCH(MIN(Q$18:Q$137),Q$18:Q$137,0),1),OFFSET(M$18,MATCH(MIN(Q$18:Q$137),Q$18:Q$137,0),2,COUNT(M$18:M96)-MATCH(MIN(Q$18:Q$137),Q$18:Q$137,0),1))*$T$6*$T$14))</f>
        <v>0</v>
      </c>
      <c r="W96" s="29"/>
      <c r="X96" s="23">
        <f t="shared" ca="1" si="51"/>
        <v>46.471666482161041</v>
      </c>
      <c r="Z96" s="15">
        <f t="shared" si="52"/>
        <v>16.849999999999998</v>
      </c>
      <c r="AA96" s="15">
        <f t="shared" si="53"/>
        <v>18.599999999999998</v>
      </c>
      <c r="AC96" s="15">
        <f t="shared" si="54"/>
        <v>76</v>
      </c>
      <c r="AD96" s="15">
        <f t="shared" si="55"/>
        <v>86</v>
      </c>
      <c r="AF96" s="15">
        <f t="shared" ca="1" si="56"/>
        <v>11</v>
      </c>
      <c r="AH96" s="15">
        <f t="shared" si="48"/>
        <v>3</v>
      </c>
      <c r="AI96" s="38">
        <f t="shared" ca="1" si="57"/>
        <v>42.151171412390973</v>
      </c>
      <c r="AJ96" s="29"/>
      <c r="AK96" s="29"/>
      <c r="AL96" s="29"/>
    </row>
    <row r="97" spans="1:38" x14ac:dyDescent="0.2">
      <c r="A97" s="15">
        <v>80</v>
      </c>
      <c r="B97" s="2">
        <f t="shared" si="38"/>
        <v>171.73</v>
      </c>
      <c r="C97" s="25">
        <v>17.399999999999999</v>
      </c>
      <c r="D97" s="25">
        <v>1.8</v>
      </c>
      <c r="E97" s="25">
        <v>43.77</v>
      </c>
      <c r="F97" s="3" t="str">
        <f t="shared" ca="1" si="39"/>
        <v>ИГЭ-3</v>
      </c>
      <c r="G97" s="30" t="str">
        <f t="shared" ca="1" si="40"/>
        <v>пыл.-глинист.</v>
      </c>
      <c r="I97" s="13">
        <f t="shared" ca="1" si="49"/>
        <v>2029</v>
      </c>
      <c r="J97" s="14">
        <f t="shared" ca="1" si="41"/>
        <v>0.83099999999999996</v>
      </c>
      <c r="L97" s="14">
        <f t="shared" ca="1" si="42"/>
        <v>0.72199999999999998</v>
      </c>
      <c r="M97" s="22">
        <f t="shared" ca="1" si="50"/>
        <v>6.8114599999999754</v>
      </c>
      <c r="N97" s="37">
        <f t="shared" ca="1" si="43"/>
        <v>1</v>
      </c>
      <c r="O97" s="37">
        <f t="shared" ca="1" si="44"/>
        <v>0</v>
      </c>
      <c r="Q97" s="22">
        <f t="shared" si="45"/>
        <v>14.4</v>
      </c>
      <c r="R97" s="22">
        <f t="shared" ca="1" si="46"/>
        <v>206.54712749999996</v>
      </c>
      <c r="S97" s="22">
        <f ca="1">IF(Q97="","",IF(Q97=0,0,SUMPRODUCT(OFFSET(M$18,MATCH(MIN(Q$18:Q$137),Q$18:Q$137,0),0,COUNT(M$18:M97)-MATCH(MIN(Q$18:Q$137),Q$18:Q$137,0),1),OFFSET(M$18,MATCH(MIN(Q$18:Q$137),Q$18:Q$137,0),1,COUNT(M$18:M97)-MATCH(MIN(Q$18:Q$137),Q$18:Q$137,0),1))*$T$6))</f>
        <v>429.51863079999981</v>
      </c>
      <c r="T97" s="22">
        <f t="shared" ca="1" si="47"/>
        <v>636.06575829999974</v>
      </c>
      <c r="V97" s="22">
        <f ca="1">IF(Q97="","",IF(Q97=0,0,SUMPRODUCT(OFFSET(M$18,MATCH(MIN(Q$18:Q$137),Q$18:Q$137,0),0,COUNT(M$18:M97)-MATCH(MIN(Q$18:Q$137),Q$18:Q$137,0),1),OFFSET(M$18,MATCH(MIN(Q$18:Q$137),Q$18:Q$137,0),2,COUNT(M$18:M97)-MATCH(MIN(Q$18:Q$137),Q$18:Q$137,0),1))*$T$6*$T$14))</f>
        <v>0</v>
      </c>
      <c r="W97" s="29"/>
      <c r="X97" s="23">
        <f t="shared" ca="1" si="51"/>
        <v>47.019805977573881</v>
      </c>
      <c r="Z97" s="15">
        <f t="shared" si="52"/>
        <v>17.049999999999997</v>
      </c>
      <c r="AA97" s="15">
        <f t="shared" si="53"/>
        <v>18.799999999999997</v>
      </c>
      <c r="AC97" s="15">
        <f t="shared" si="54"/>
        <v>77</v>
      </c>
      <c r="AD97" s="15">
        <f t="shared" si="55"/>
        <v>87</v>
      </c>
      <c r="AF97" s="15">
        <f t="shared" ca="1" si="56"/>
        <v>11</v>
      </c>
      <c r="AH97" s="15">
        <f t="shared" si="48"/>
        <v>3</v>
      </c>
      <c r="AI97" s="38">
        <f t="shared" ca="1" si="57"/>
        <v>42.648350093037536</v>
      </c>
      <c r="AJ97" s="29"/>
      <c r="AK97" s="29"/>
      <c r="AL97" s="29"/>
    </row>
    <row r="98" spans="1:38" x14ac:dyDescent="0.2">
      <c r="A98" s="15">
        <v>81</v>
      </c>
      <c r="B98" s="2">
        <f t="shared" si="38"/>
        <v>171.53</v>
      </c>
      <c r="C98" s="25">
        <v>17.600000000000001</v>
      </c>
      <c r="D98" s="25">
        <v>1.68</v>
      </c>
      <c r="E98" s="25">
        <v>29.95</v>
      </c>
      <c r="F98" s="3" t="str">
        <f t="shared" ca="1" si="39"/>
        <v>ИГЭ-3</v>
      </c>
      <c r="G98" s="30" t="str">
        <f t="shared" ca="1" si="40"/>
        <v>пыл.-глинист.</v>
      </c>
      <c r="I98" s="13">
        <f t="shared" ca="1" si="49"/>
        <v>1992</v>
      </c>
      <c r="J98" s="14">
        <f t="shared" ca="1" si="41"/>
        <v>0.83399999999999996</v>
      </c>
      <c r="L98" s="14">
        <f t="shared" ca="1" si="42"/>
        <v>0.876</v>
      </c>
      <c r="M98" s="22">
        <f t="shared" ca="1" si="50"/>
        <v>5.7838140000000822</v>
      </c>
      <c r="N98" s="37">
        <f t="shared" ca="1" si="43"/>
        <v>1</v>
      </c>
      <c r="O98" s="37">
        <f t="shared" ca="1" si="44"/>
        <v>0</v>
      </c>
      <c r="Q98" s="22">
        <f t="shared" si="45"/>
        <v>14.6</v>
      </c>
      <c r="R98" s="22">
        <f t="shared" ca="1" si="46"/>
        <v>203.51267999999996</v>
      </c>
      <c r="S98" s="22">
        <f ca="1">IF(Q98="","",IF(Q98=0,0,SUMPRODUCT(OFFSET(M$18,MATCH(MIN(Q$18:Q$137),Q$18:Q$137,0),0,COUNT(M$18:M98)-MATCH(MIN(Q$18:Q$137),Q$18:Q$137,0),1),OFFSET(M$18,MATCH(MIN(Q$18:Q$137),Q$18:Q$137,0),1,COUNT(M$18:M98)-MATCH(MIN(Q$18:Q$137),Q$18:Q$137,0),1))*$T$6))</f>
        <v>437.61597039999987</v>
      </c>
      <c r="T98" s="22">
        <f t="shared" ca="1" si="47"/>
        <v>641.12865039999986</v>
      </c>
      <c r="V98" s="22">
        <f ca="1">IF(Q98="","",IF(Q98=0,0,SUMPRODUCT(OFFSET(M$18,MATCH(MIN(Q$18:Q$137),Q$18:Q$137,0),0,COUNT(M$18:M98)-MATCH(MIN(Q$18:Q$137),Q$18:Q$137,0),1),OFFSET(M$18,MATCH(MIN(Q$18:Q$137),Q$18:Q$137,0),2,COUNT(M$18:M98)-MATCH(MIN(Q$18:Q$137),Q$18:Q$137,0),1))*$T$6*$T$14))</f>
        <v>0</v>
      </c>
      <c r="W98" s="29"/>
      <c r="X98" s="23">
        <f t="shared" ca="1" si="51"/>
        <v>47.365306989806314</v>
      </c>
      <c r="Z98" s="15">
        <f t="shared" si="52"/>
        <v>17.25</v>
      </c>
      <c r="AA98" s="15">
        <f t="shared" si="53"/>
        <v>19</v>
      </c>
      <c r="AC98" s="15">
        <f t="shared" si="54"/>
        <v>79</v>
      </c>
      <c r="AD98" s="15">
        <f t="shared" si="55"/>
        <v>88</v>
      </c>
      <c r="AF98" s="15">
        <f t="shared" ca="1" si="56"/>
        <v>10</v>
      </c>
      <c r="AH98" s="15">
        <f t="shared" si="48"/>
        <v>3</v>
      </c>
      <c r="AI98" s="38">
        <f t="shared" ca="1" si="57"/>
        <v>42.961729695969453</v>
      </c>
      <c r="AJ98" s="29"/>
      <c r="AK98" s="29"/>
      <c r="AL98" s="29"/>
    </row>
    <row r="99" spans="1:38" x14ac:dyDescent="0.2">
      <c r="A99" s="15">
        <v>82</v>
      </c>
      <c r="B99" s="2">
        <f t="shared" si="38"/>
        <v>171.33</v>
      </c>
      <c r="C99" s="25">
        <v>17.8</v>
      </c>
      <c r="D99" s="25">
        <v>1.68</v>
      </c>
      <c r="E99" s="25">
        <v>23.04</v>
      </c>
      <c r="F99" s="3" t="str">
        <f t="shared" ca="1" si="39"/>
        <v>ИГЭ-3</v>
      </c>
      <c r="G99" s="30" t="str">
        <f t="shared" ca="1" si="40"/>
        <v>пыл.-глинист.</v>
      </c>
      <c r="I99" s="13">
        <f t="shared" ca="1" si="49"/>
        <v>2051</v>
      </c>
      <c r="J99" s="14">
        <f t="shared" ca="1" si="41"/>
        <v>0.83</v>
      </c>
      <c r="L99" s="14">
        <f t="shared" ca="1" si="42"/>
        <v>0.96199999999999997</v>
      </c>
      <c r="M99" s="22">
        <f t="shared" ca="1" si="50"/>
        <v>4.8400679999999818</v>
      </c>
      <c r="N99" s="37">
        <f t="shared" ca="1" si="43"/>
        <v>1</v>
      </c>
      <c r="O99" s="37">
        <f t="shared" ca="1" si="44"/>
        <v>0</v>
      </c>
      <c r="Q99" s="22">
        <f t="shared" si="45"/>
        <v>14.8</v>
      </c>
      <c r="R99" s="22">
        <f t="shared" ca="1" si="46"/>
        <v>208.53542499999998</v>
      </c>
      <c r="S99" s="22">
        <f ca="1">IF(Q99="","",IF(Q99=0,0,SUMPRODUCT(OFFSET(M$18,MATCH(MIN(Q$18:Q$137),Q$18:Q$137,0),0,COUNT(M$18:M99)-MATCH(MIN(Q$18:Q$137),Q$18:Q$137,0),1),OFFSET(M$18,MATCH(MIN(Q$18:Q$137),Q$18:Q$137,0),1,COUNT(M$18:M99)-MATCH(MIN(Q$18:Q$137),Q$18:Q$137,0),1))*$T$6))</f>
        <v>444.39206559999985</v>
      </c>
      <c r="T99" s="22">
        <f t="shared" ca="1" si="47"/>
        <v>652.92749059999983</v>
      </c>
      <c r="V99" s="22">
        <f ca="1">IF(Q99="","",IF(Q99=0,0,SUMPRODUCT(OFFSET(M$18,MATCH(MIN(Q$18:Q$137),Q$18:Q$137,0),0,COUNT(M$18:M99)-MATCH(MIN(Q$18:Q$137),Q$18:Q$137,0),1),OFFSET(M$18,MATCH(MIN(Q$18:Q$137),Q$18:Q$137,0),2,COUNT(M$18:M99)-MATCH(MIN(Q$18:Q$137),Q$18:Q$137,0),1))*$T$6*$T$14))</f>
        <v>0</v>
      </c>
      <c r="W99" s="29"/>
      <c r="X99" s="23">
        <f t="shared" ca="1" si="51"/>
        <v>48.260120793068275</v>
      </c>
      <c r="Z99" s="15">
        <f t="shared" si="52"/>
        <v>17.45</v>
      </c>
      <c r="AA99" s="15">
        <f t="shared" si="53"/>
        <v>19.2</v>
      </c>
      <c r="AC99" s="15">
        <f t="shared" si="54"/>
        <v>79</v>
      </c>
      <c r="AD99" s="15">
        <f t="shared" si="55"/>
        <v>89</v>
      </c>
      <c r="AF99" s="15">
        <f t="shared" ca="1" si="56"/>
        <v>11</v>
      </c>
      <c r="AH99" s="15">
        <f t="shared" si="48"/>
        <v>3</v>
      </c>
      <c r="AI99" s="38">
        <f t="shared" ca="1" si="57"/>
        <v>43.773352193259207</v>
      </c>
      <c r="AJ99" s="29"/>
      <c r="AK99" s="29"/>
      <c r="AL99" s="29"/>
    </row>
    <row r="100" spans="1:38" x14ac:dyDescent="0.2">
      <c r="A100" s="15">
        <v>83</v>
      </c>
      <c r="B100" s="2">
        <f t="shared" si="38"/>
        <v>171.13</v>
      </c>
      <c r="C100" s="25">
        <v>18</v>
      </c>
      <c r="D100" s="25">
        <v>1.8</v>
      </c>
      <c r="E100" s="25">
        <v>20.73</v>
      </c>
      <c r="F100" s="3" t="str">
        <f t="shared" ca="1" si="39"/>
        <v>ИГЭ-3</v>
      </c>
      <c r="G100" s="30" t="str">
        <f t="shared" ca="1" si="40"/>
        <v>пыл.-глинист.</v>
      </c>
      <c r="I100" s="13">
        <f t="shared" ca="1" si="49"/>
        <v>2084</v>
      </c>
      <c r="J100" s="14">
        <f t="shared" ca="1" si="41"/>
        <v>0.82699999999999996</v>
      </c>
      <c r="L100" s="14">
        <f t="shared" ca="1" si="42"/>
        <v>0.99099999999999999</v>
      </c>
      <c r="M100" s="22">
        <f t="shared" ca="1" si="50"/>
        <v>4.2707909999999849</v>
      </c>
      <c r="N100" s="37">
        <f t="shared" ca="1" si="43"/>
        <v>1</v>
      </c>
      <c r="O100" s="37">
        <f t="shared" ca="1" si="44"/>
        <v>0</v>
      </c>
      <c r="Q100" s="22">
        <f t="shared" si="45"/>
        <v>15</v>
      </c>
      <c r="R100" s="22">
        <f t="shared" ca="1" si="46"/>
        <v>211.12482999999995</v>
      </c>
      <c r="S100" s="22">
        <f ca="1">IF(Q100="","",IF(Q100=0,0,SUMPRODUCT(OFFSET(M$18,MATCH(MIN(Q$18:Q$137),Q$18:Q$137,0),0,COUNT(M$18:M100)-MATCH(MIN(Q$18:Q$137),Q$18:Q$137,0),1),OFFSET(M$18,MATCH(MIN(Q$18:Q$137),Q$18:Q$137,0),1,COUNT(M$18:M100)-MATCH(MIN(Q$18:Q$137),Q$18:Q$137,0),1))*$T$6))</f>
        <v>450.37117299999977</v>
      </c>
      <c r="T100" s="22">
        <f t="shared" ca="1" si="47"/>
        <v>661.49600299999975</v>
      </c>
      <c r="V100" s="22">
        <f ca="1">IF(Q100="","",IF(Q100=0,0,SUMPRODUCT(OFFSET(M$18,MATCH(MIN(Q$18:Q$137),Q$18:Q$137,0),0,COUNT(M$18:M100)-MATCH(MIN(Q$18:Q$137),Q$18:Q$137,0),1),OFFSET(M$18,MATCH(MIN(Q$18:Q$137),Q$18:Q$137,0),2,COUNT(M$18:M100)-MATCH(MIN(Q$18:Q$137),Q$18:Q$137,0),1))*$T$6*$T$14))</f>
        <v>0</v>
      </c>
      <c r="W100" s="29"/>
      <c r="X100" s="23">
        <f t="shared" ca="1" si="51"/>
        <v>48.891503175331273</v>
      </c>
      <c r="Z100" s="15">
        <f t="shared" si="52"/>
        <v>17.649999999999999</v>
      </c>
      <c r="AA100" s="15">
        <f t="shared" si="53"/>
        <v>19.399999999999999</v>
      </c>
      <c r="AC100" s="15">
        <f t="shared" si="54"/>
        <v>80</v>
      </c>
      <c r="AD100" s="15">
        <f t="shared" si="55"/>
        <v>90</v>
      </c>
      <c r="AF100" s="15">
        <f t="shared" ca="1" si="56"/>
        <v>11</v>
      </c>
      <c r="AH100" s="15">
        <f t="shared" si="48"/>
        <v>3</v>
      </c>
      <c r="AI100" s="38">
        <f t="shared" ca="1" si="57"/>
        <v>44.346034626150818</v>
      </c>
      <c r="AJ100" s="29"/>
      <c r="AK100" s="29"/>
      <c r="AL100" s="29"/>
    </row>
    <row r="101" spans="1:38" x14ac:dyDescent="0.2">
      <c r="A101" s="15">
        <v>84</v>
      </c>
      <c r="B101" s="2">
        <f t="shared" si="38"/>
        <v>170.93</v>
      </c>
      <c r="C101" s="25">
        <v>18.2</v>
      </c>
      <c r="D101" s="25">
        <v>2.4</v>
      </c>
      <c r="E101" s="25">
        <v>57.6</v>
      </c>
      <c r="F101" s="3" t="str">
        <f t="shared" ca="1" si="39"/>
        <v>ИГЭ-3</v>
      </c>
      <c r="G101" s="30" t="str">
        <f t="shared" ca="1" si="40"/>
        <v>пыл.-глинист.</v>
      </c>
      <c r="I101" s="13">
        <f t="shared" ref="I101:I135" ca="1" si="58">IF(D101="","",ROUND(AVERAGE(OFFSET($D$17,MATCH(MAX(FLOOR(C101-$T$5,(C101-C100)),C$18),C$18:C$137),0,MATCH(MIN(CEILING(C101+4*$T$5,(C101-C100)),C$137),C$18:C$137)-MATCH(MAX(FLOOR(C101-$T$5,(C101-C100)),C$18),C$18:C$137)+1,1))*1000,0))</f>
        <v>2160</v>
      </c>
      <c r="J101" s="14">
        <f t="shared" ca="1" si="41"/>
        <v>0.82199999999999995</v>
      </c>
      <c r="L101" s="14">
        <f t="shared" ref="L101:L135" ca="1" si="59">IF(G101="","",IF(G101="песчаный",IF(E101&lt;=20,0.75,IF(E101&lt;=40,ROUND(0.9-0.0075*E101,3),IF(E101&lt;=120,ROUND(0.7-0.0025*E101,3),0.4))),IF(E101&lt;=20,1,IF(E101&lt;=40,ROUND(1.25-0.0125*E101,3),IF(E101&lt;=80,ROUND(1.05-0.0075*E101,3),IF(E101&lt;=100,ROUND(0.65-0.0025*E101,3),IF(E101&lt;=120,ROUND(0.9-0.005*E101,3),0.3)))))))</f>
        <v>0.61799999999999999</v>
      </c>
      <c r="M101" s="22">
        <f t="shared" ref="M101:M135" ca="1" si="60">IF(L101="","",(C101-C100)*SUMPRODUCT(E100:E101,L100:L101)/2)</f>
        <v>5.61402299999998</v>
      </c>
      <c r="N101" s="37">
        <f t="shared" ref="N101:N135" ca="1" si="61">IF(C101="","",IF(OFFSET($C$5,MATCH(B101,D$6:D$15,-1),4,1,1)="",1,0))</f>
        <v>1</v>
      </c>
      <c r="O101" s="37">
        <f t="shared" ref="O101:O135" ca="1" si="62">IF(C101="","",IF(OFFSET($C$5,MATCH(B101,D$6:D$15,-1),4,1,1)="тип II",1,0))</f>
        <v>0</v>
      </c>
      <c r="Q101" s="22">
        <f t="shared" ref="Q101:Q135" si="63">IF(C101="","",IF(ROUND(($D$6-FLOOR($D$6-$T$8,$C$19-$C$18))-B101,2)&lt;0,"",ROUND(($D$6-FLOOR($D$6-$T$8,$C$19-$C$18))-B101,2)))</f>
        <v>15.2</v>
      </c>
      <c r="R101" s="22">
        <f t="shared" ref="R101:R135" ca="1" si="64">IF(Q101="","",J101*I101*$T$7)</f>
        <v>217.50119999999998</v>
      </c>
      <c r="S101" s="22">
        <f ca="1">IF(Q101="","",IF(Q101=0,0,SUMPRODUCT(OFFSET(M$18,MATCH(MIN(Q$18:Q$137),Q$18:Q$137,0),0,COUNT(M$18:M101)-MATCH(MIN(Q$18:Q$137),Q$18:Q$137,0),1),OFFSET(M$18,MATCH(MIN(Q$18:Q$137),Q$18:Q$137,0),1,COUNT(M$18:M101)-MATCH(MIN(Q$18:Q$137),Q$18:Q$137,0),1))*$T$6))</f>
        <v>458.23080519999974</v>
      </c>
      <c r="T101" s="22">
        <f t="shared" ref="T101:T135" ca="1" si="65">IF(Q101="","",R101+S101)</f>
        <v>675.73200519999978</v>
      </c>
      <c r="V101" s="22">
        <f ca="1">IF(Q101="","",IF(Q101=0,0,SUMPRODUCT(OFFSET(M$18,MATCH(MIN(Q$18:Q$137),Q$18:Q$137,0),0,COUNT(M$18:M101)-MATCH(MIN(Q$18:Q$137),Q$18:Q$137,0),1),OFFSET(M$18,MATCH(MIN(Q$18:Q$137),Q$18:Q$137,0),2,COUNT(M$18:M101)-MATCH(MIN(Q$18:Q$137),Q$18:Q$137,0),1))*$T$6*$T$14))</f>
        <v>0</v>
      </c>
      <c r="W101" s="29"/>
      <c r="X101" s="23">
        <f t="shared" ref="X101:X135" ca="1" si="66">IF(Q101="","",MAX(0,(T101/1.25-V101)/9.81-2.5*1.1*$T$7*Q101))</f>
        <v>49.98506617329253</v>
      </c>
      <c r="Z101" s="15">
        <f t="shared" ref="Z101:Z135" si="67">C101-T$5</f>
        <v>17.849999999999998</v>
      </c>
      <c r="AA101" s="15">
        <f t="shared" ref="AA101:AA135" si="68">C101+4*T$5</f>
        <v>19.599999999999998</v>
      </c>
      <c r="AC101" s="15">
        <f t="shared" ref="AC101:AC135" si="69">MATCH(MAX(FLOOR(C101-$T$5,(C101-C100)),C$18),C$18:C$137)</f>
        <v>81</v>
      </c>
      <c r="AD101" s="15">
        <f t="shared" ref="AD101:AD135" si="70">MATCH(MIN(CEILING(C101+4*$T$5,(C101-C100)),C$137),C$18:C$137)</f>
        <v>91</v>
      </c>
      <c r="AF101" s="15">
        <f t="shared" ref="AF101:AF135" ca="1" si="71">COUNT(OFFSET($D$17,AC101,0,AD101-AC101+1,1))</f>
        <v>11</v>
      </c>
      <c r="AH101" s="15">
        <f t="shared" ref="AH101:AH135" si="72">MATCH(B101,D$6:D$15,-1)</f>
        <v>3</v>
      </c>
      <c r="AI101" s="38">
        <f t="shared" ca="1" si="57"/>
        <v>45.337928501852645</v>
      </c>
      <c r="AJ101" s="29"/>
      <c r="AK101" s="29"/>
      <c r="AL101" s="29"/>
    </row>
    <row r="102" spans="1:38" x14ac:dyDescent="0.2">
      <c r="A102" s="15">
        <v>85</v>
      </c>
      <c r="B102" s="2">
        <f t="shared" si="38"/>
        <v>170.73</v>
      </c>
      <c r="C102" s="25">
        <v>18.399999999999999</v>
      </c>
      <c r="D102" s="25">
        <v>2.2799999999999998</v>
      </c>
      <c r="E102" s="25">
        <v>50.68</v>
      </c>
      <c r="F102" s="3" t="str">
        <f t="shared" ca="1" si="39"/>
        <v>ИГЭ-3</v>
      </c>
      <c r="G102" s="30" t="str">
        <f t="shared" ca="1" si="40"/>
        <v>пыл.-глинист.</v>
      </c>
      <c r="I102" s="13">
        <f t="shared" ca="1" si="58"/>
        <v>2269</v>
      </c>
      <c r="J102" s="14">
        <f t="shared" ca="1" si="41"/>
        <v>0.81499999999999995</v>
      </c>
      <c r="L102" s="14">
        <f t="shared" ca="1" si="59"/>
        <v>0.67</v>
      </c>
      <c r="M102" s="22">
        <f t="shared" ca="1" si="60"/>
        <v>6.9552399999999759</v>
      </c>
      <c r="N102" s="37">
        <f t="shared" ca="1" si="61"/>
        <v>1</v>
      </c>
      <c r="O102" s="37">
        <f t="shared" ca="1" si="62"/>
        <v>0</v>
      </c>
      <c r="Q102" s="22">
        <f t="shared" si="63"/>
        <v>15.4</v>
      </c>
      <c r="R102" s="22">
        <f t="shared" ca="1" si="64"/>
        <v>226.53128749999996</v>
      </c>
      <c r="S102" s="22">
        <f ca="1">IF(Q102="","",IF(Q102=0,0,SUMPRODUCT(OFFSET(M$18,MATCH(MIN(Q$18:Q$137),Q$18:Q$137,0),0,COUNT(M$18:M102)-MATCH(MIN(Q$18:Q$137),Q$18:Q$137,0),1),OFFSET(M$18,MATCH(MIN(Q$18:Q$137),Q$18:Q$137,0),1,COUNT(M$18:M102)-MATCH(MIN(Q$18:Q$137),Q$18:Q$137,0),1))*$T$6))</f>
        <v>467.96814119999976</v>
      </c>
      <c r="T102" s="22">
        <f t="shared" ca="1" si="65"/>
        <v>694.49942869999973</v>
      </c>
      <c r="V102" s="22">
        <f ca="1">IF(Q102="","",IF(Q102=0,0,SUMPRODUCT(OFFSET(M$18,MATCH(MIN(Q$18:Q$137),Q$18:Q$137,0),0,COUNT(M$18:M102)-MATCH(MIN(Q$18:Q$137),Q$18:Q$137,0),1),OFFSET(M$18,MATCH(MIN(Q$18:Q$137),Q$18:Q$137,0),2,COUNT(M$18:M102)-MATCH(MIN(Q$18:Q$137),Q$18:Q$137,0),1))*$T$6*$T$14))</f>
        <v>0</v>
      </c>
      <c r="W102" s="29"/>
      <c r="X102" s="23">
        <f t="shared" ca="1" si="66"/>
        <v>51.448164037716595</v>
      </c>
      <c r="Z102" s="15">
        <f t="shared" si="67"/>
        <v>18.049999999999997</v>
      </c>
      <c r="AA102" s="15">
        <f t="shared" si="68"/>
        <v>19.799999999999997</v>
      </c>
      <c r="AC102" s="15">
        <f t="shared" si="69"/>
        <v>82</v>
      </c>
      <c r="AD102" s="15">
        <f t="shared" si="70"/>
        <v>92</v>
      </c>
      <c r="AF102" s="15">
        <f t="shared" ca="1" si="71"/>
        <v>11</v>
      </c>
      <c r="AH102" s="15">
        <f t="shared" si="72"/>
        <v>3</v>
      </c>
      <c r="AI102" s="38">
        <f t="shared" ca="1" si="57"/>
        <v>46.665001394754285</v>
      </c>
      <c r="AJ102" s="29"/>
      <c r="AK102" s="29"/>
      <c r="AL102" s="29"/>
    </row>
    <row r="103" spans="1:38" x14ac:dyDescent="0.2">
      <c r="A103" s="15">
        <v>86</v>
      </c>
      <c r="B103" s="2">
        <f t="shared" si="38"/>
        <v>170.53</v>
      </c>
      <c r="C103" s="25">
        <v>18.600000000000001</v>
      </c>
      <c r="D103" s="25">
        <v>2.16</v>
      </c>
      <c r="E103" s="25">
        <v>41.47</v>
      </c>
      <c r="F103" s="3" t="str">
        <f t="shared" ca="1" si="39"/>
        <v>ИГЭ-3</v>
      </c>
      <c r="G103" s="30" t="str">
        <f t="shared" ca="1" si="40"/>
        <v>пыл.-глинист.</v>
      </c>
      <c r="I103" s="13">
        <f t="shared" ca="1" si="58"/>
        <v>2424</v>
      </c>
      <c r="J103" s="14">
        <f t="shared" ca="1" si="41"/>
        <v>0.80500000000000005</v>
      </c>
      <c r="L103" s="14">
        <f t="shared" ca="1" si="59"/>
        <v>0.73899999999999999</v>
      </c>
      <c r="M103" s="22">
        <f t="shared" ca="1" si="60"/>
        <v>6.4601930000000927</v>
      </c>
      <c r="N103" s="37">
        <f t="shared" ca="1" si="61"/>
        <v>1</v>
      </c>
      <c r="O103" s="37">
        <f t="shared" ca="1" si="62"/>
        <v>0</v>
      </c>
      <c r="Q103" s="22">
        <f t="shared" si="63"/>
        <v>15.6</v>
      </c>
      <c r="R103" s="22">
        <f t="shared" ca="1" si="64"/>
        <v>239.0367</v>
      </c>
      <c r="S103" s="22">
        <f ca="1">IF(Q103="","",IF(Q103=0,0,SUMPRODUCT(OFFSET(M$18,MATCH(MIN(Q$18:Q$137),Q$18:Q$137,0),0,COUNT(M$18:M103)-MATCH(MIN(Q$18:Q$137),Q$18:Q$137,0),1),OFFSET(M$18,MATCH(MIN(Q$18:Q$137),Q$18:Q$137,0),1,COUNT(M$18:M103)-MATCH(MIN(Q$18:Q$137),Q$18:Q$137,0),1))*$T$6))</f>
        <v>477.01241139999991</v>
      </c>
      <c r="T103" s="22">
        <f t="shared" ca="1" si="65"/>
        <v>716.0491113999999</v>
      </c>
      <c r="V103" s="22">
        <f ca="1">IF(Q103="","",IF(Q103=0,0,SUMPRODUCT(OFFSET(M$18,MATCH(MIN(Q$18:Q$137),Q$18:Q$137,0),0,COUNT(M$18:M103)-MATCH(MIN(Q$18:Q$137),Q$18:Q$137,0),1),OFFSET(M$18,MATCH(MIN(Q$18:Q$137),Q$18:Q$137,0),2,COUNT(M$18:M103)-MATCH(MIN(Q$18:Q$137),Q$18:Q$137,0),1))*$T$6*$T$14))</f>
        <v>0</v>
      </c>
      <c r="W103" s="29"/>
      <c r="X103" s="23">
        <f t="shared" ca="1" si="66"/>
        <v>53.138153580020372</v>
      </c>
      <c r="Z103" s="15">
        <f t="shared" si="67"/>
        <v>18.25</v>
      </c>
      <c r="AA103" s="15">
        <f t="shared" si="68"/>
        <v>20</v>
      </c>
      <c r="AC103" s="15">
        <f t="shared" si="69"/>
        <v>84</v>
      </c>
      <c r="AD103" s="15">
        <f t="shared" si="70"/>
        <v>93</v>
      </c>
      <c r="AF103" s="15">
        <f t="shared" ca="1" si="71"/>
        <v>10</v>
      </c>
      <c r="AH103" s="15">
        <f t="shared" si="72"/>
        <v>3</v>
      </c>
      <c r="AI103" s="38">
        <f t="shared" ca="1" si="57"/>
        <v>48.197871727909643</v>
      </c>
      <c r="AJ103" s="29"/>
      <c r="AK103" s="29"/>
      <c r="AL103" s="29"/>
    </row>
    <row r="104" spans="1:38" x14ac:dyDescent="0.2">
      <c r="A104" s="15">
        <v>87</v>
      </c>
      <c r="B104" s="2">
        <f t="shared" si="38"/>
        <v>170.33</v>
      </c>
      <c r="C104" s="25">
        <v>18.8</v>
      </c>
      <c r="D104" s="25">
        <v>2.04</v>
      </c>
      <c r="E104" s="25">
        <v>23.04</v>
      </c>
      <c r="F104" s="3" t="str">
        <f t="shared" ca="1" si="39"/>
        <v>ИГЭ-3</v>
      </c>
      <c r="G104" s="30" t="str">
        <f t="shared" ca="1" si="40"/>
        <v>пыл.-глинист.</v>
      </c>
      <c r="I104" s="13">
        <f t="shared" ca="1" si="58"/>
        <v>2424</v>
      </c>
      <c r="J104" s="14">
        <f t="shared" ca="1" si="41"/>
        <v>0.80500000000000005</v>
      </c>
      <c r="L104" s="14">
        <f t="shared" ca="1" si="59"/>
        <v>0.96199999999999997</v>
      </c>
      <c r="M104" s="22">
        <f t="shared" ca="1" si="60"/>
        <v>5.2810809999999808</v>
      </c>
      <c r="N104" s="37">
        <f t="shared" ca="1" si="61"/>
        <v>1</v>
      </c>
      <c r="O104" s="37">
        <f t="shared" ca="1" si="62"/>
        <v>0</v>
      </c>
      <c r="Q104" s="22">
        <f t="shared" si="63"/>
        <v>15.8</v>
      </c>
      <c r="R104" s="22">
        <f t="shared" ca="1" si="64"/>
        <v>239.0367</v>
      </c>
      <c r="S104" s="22">
        <f ca="1">IF(Q104="","",IF(Q104=0,0,SUMPRODUCT(OFFSET(M$18,MATCH(MIN(Q$18:Q$137),Q$18:Q$137,0),0,COUNT(M$18:M104)-MATCH(MIN(Q$18:Q$137),Q$18:Q$137,0),1),OFFSET(M$18,MATCH(MIN(Q$18:Q$137),Q$18:Q$137,0),1,COUNT(M$18:M104)-MATCH(MIN(Q$18:Q$137),Q$18:Q$137,0),1))*$T$6))</f>
        <v>484.40592479999987</v>
      </c>
      <c r="T104" s="22">
        <f t="shared" ca="1" si="65"/>
        <v>723.44262479999986</v>
      </c>
      <c r="V104" s="22">
        <f ca="1">IF(Q104="","",IF(Q104=0,0,SUMPRODUCT(OFFSET(M$18,MATCH(MIN(Q$18:Q$137),Q$18:Q$137,0),0,COUNT(M$18:M104)-MATCH(MIN(Q$18:Q$137),Q$18:Q$137,0),1),OFFSET(M$18,MATCH(MIN(Q$18:Q$137),Q$18:Q$137,0),2,COUNT(M$18:M104)-MATCH(MIN(Q$18:Q$137),Q$18:Q$137,0),1))*$T$6*$T$14))</f>
        <v>0</v>
      </c>
      <c r="W104" s="29"/>
      <c r="X104" s="23">
        <f t="shared" ca="1" si="66"/>
        <v>53.673715452599367</v>
      </c>
      <c r="Z104" s="15">
        <f t="shared" si="67"/>
        <v>18.45</v>
      </c>
      <c r="AA104" s="15">
        <f t="shared" si="68"/>
        <v>20.2</v>
      </c>
      <c r="AC104" s="15">
        <f t="shared" si="69"/>
        <v>84</v>
      </c>
      <c r="AD104" s="15">
        <f t="shared" si="70"/>
        <v>93</v>
      </c>
      <c r="AF104" s="15">
        <f t="shared" ca="1" si="71"/>
        <v>10</v>
      </c>
      <c r="AH104" s="15">
        <f t="shared" si="72"/>
        <v>3</v>
      </c>
      <c r="AI104" s="38">
        <f t="shared" ca="1" si="57"/>
        <v>48.68364213387698</v>
      </c>
      <c r="AJ104" s="29"/>
      <c r="AK104" s="29"/>
      <c r="AL104" s="29"/>
    </row>
    <row r="105" spans="1:38" x14ac:dyDescent="0.2">
      <c r="A105" s="15">
        <v>88</v>
      </c>
      <c r="B105" s="2">
        <f t="shared" si="38"/>
        <v>170.13</v>
      </c>
      <c r="C105" s="25">
        <v>19</v>
      </c>
      <c r="D105" s="25">
        <v>1.92</v>
      </c>
      <c r="E105" s="25">
        <v>18.43</v>
      </c>
      <c r="F105" s="3" t="str">
        <f t="shared" ca="1" si="39"/>
        <v>ИГЭ-3</v>
      </c>
      <c r="G105" s="30" t="str">
        <f t="shared" ca="1" si="40"/>
        <v>пыл.-глинист.</v>
      </c>
      <c r="I105" s="13">
        <f t="shared" ca="1" si="58"/>
        <v>2472</v>
      </c>
      <c r="J105" s="14">
        <f t="shared" ca="1" si="41"/>
        <v>0.80100000000000005</v>
      </c>
      <c r="L105" s="14">
        <f t="shared" ca="1" si="59"/>
        <v>1</v>
      </c>
      <c r="M105" s="22">
        <f t="shared" ca="1" si="60"/>
        <v>4.0594479999999855</v>
      </c>
      <c r="N105" s="37">
        <f t="shared" ca="1" si="61"/>
        <v>1</v>
      </c>
      <c r="O105" s="37">
        <f t="shared" ca="1" si="62"/>
        <v>0</v>
      </c>
      <c r="Q105" s="22">
        <f t="shared" si="63"/>
        <v>16</v>
      </c>
      <c r="R105" s="22">
        <f t="shared" ca="1" si="64"/>
        <v>242.55881999999997</v>
      </c>
      <c r="S105" s="22">
        <f ca="1">IF(Q105="","",IF(Q105=0,0,SUMPRODUCT(OFFSET(M$18,MATCH(MIN(Q$18:Q$137),Q$18:Q$137,0),0,COUNT(M$18:M105)-MATCH(MIN(Q$18:Q$137),Q$18:Q$137,0),1),OFFSET(M$18,MATCH(MIN(Q$18:Q$137),Q$18:Q$137,0),1,COUNT(M$18:M105)-MATCH(MIN(Q$18:Q$137),Q$18:Q$137,0),1))*$T$6))</f>
        <v>490.08915199999984</v>
      </c>
      <c r="T105" s="22">
        <f t="shared" ca="1" si="65"/>
        <v>732.64797199999975</v>
      </c>
      <c r="V105" s="22">
        <f ca="1">IF(Q105="","",IF(Q105=0,0,SUMPRODUCT(OFFSET(M$18,MATCH(MIN(Q$18:Q$137),Q$18:Q$137,0),0,COUNT(M$18:M105)-MATCH(MIN(Q$18:Q$137),Q$18:Q$137,0),1),OFFSET(M$18,MATCH(MIN(Q$18:Q$137),Q$18:Q$137,0),2,COUNT(M$18:M105)-MATCH(MIN(Q$18:Q$137),Q$18:Q$137,0),1))*$T$6*$T$14))</f>
        <v>0</v>
      </c>
      <c r="W105" s="29"/>
      <c r="X105" s="23">
        <f t="shared" ca="1" si="66"/>
        <v>54.357031355759403</v>
      </c>
      <c r="Z105" s="15">
        <f t="shared" si="67"/>
        <v>18.649999999999999</v>
      </c>
      <c r="AA105" s="15">
        <f t="shared" si="68"/>
        <v>20.399999999999999</v>
      </c>
      <c r="AC105" s="15">
        <f t="shared" si="69"/>
        <v>85</v>
      </c>
      <c r="AD105" s="15">
        <f t="shared" si="70"/>
        <v>94</v>
      </c>
      <c r="AF105" s="15">
        <f t="shared" ca="1" si="71"/>
        <v>10</v>
      </c>
      <c r="AH105" s="15">
        <f t="shared" si="72"/>
        <v>3</v>
      </c>
      <c r="AI105" s="38">
        <f t="shared" ca="1" si="57"/>
        <v>49.303429801142322</v>
      </c>
      <c r="AJ105" s="29"/>
      <c r="AK105" s="29"/>
      <c r="AL105" s="29"/>
    </row>
    <row r="106" spans="1:38" x14ac:dyDescent="0.2">
      <c r="A106" s="15">
        <v>89</v>
      </c>
      <c r="B106" s="2">
        <f t="shared" si="38"/>
        <v>169.93</v>
      </c>
      <c r="C106" s="25">
        <v>19.2</v>
      </c>
      <c r="D106" s="25">
        <v>2.64</v>
      </c>
      <c r="E106" s="25">
        <v>32.25</v>
      </c>
      <c r="F106" s="3" t="str">
        <f t="shared" ca="1" si="39"/>
        <v>ИГЭ-3</v>
      </c>
      <c r="G106" s="30" t="str">
        <f t="shared" ca="1" si="40"/>
        <v>пыл.-глинист.</v>
      </c>
      <c r="I106" s="13">
        <f t="shared" ca="1" si="58"/>
        <v>2844</v>
      </c>
      <c r="J106" s="14">
        <f t="shared" ca="1" si="41"/>
        <v>0.77900000000000003</v>
      </c>
      <c r="L106" s="14">
        <f t="shared" ca="1" si="59"/>
        <v>0.84699999999999998</v>
      </c>
      <c r="M106" s="22">
        <f t="shared" ca="1" si="60"/>
        <v>4.5745749999999843</v>
      </c>
      <c r="N106" s="37">
        <f t="shared" ca="1" si="61"/>
        <v>1</v>
      </c>
      <c r="O106" s="37">
        <f t="shared" ca="1" si="62"/>
        <v>0</v>
      </c>
      <c r="Q106" s="22">
        <f t="shared" si="63"/>
        <v>16.2</v>
      </c>
      <c r="R106" s="22">
        <f t="shared" ca="1" si="64"/>
        <v>271.39580999999998</v>
      </c>
      <c r="S106" s="22">
        <f ca="1">IF(Q106="","",IF(Q106=0,0,SUMPRODUCT(OFFSET(M$18,MATCH(MIN(Q$18:Q$137),Q$18:Q$137,0),0,COUNT(M$18:M106)-MATCH(MIN(Q$18:Q$137),Q$18:Q$137,0),1),OFFSET(M$18,MATCH(MIN(Q$18:Q$137),Q$18:Q$137,0),1,COUNT(M$18:M106)-MATCH(MIN(Q$18:Q$137),Q$18:Q$137,0),1))*$T$6))</f>
        <v>496.49355699999984</v>
      </c>
      <c r="T106" s="22">
        <f t="shared" ca="1" si="65"/>
        <v>767.88936699999977</v>
      </c>
      <c r="V106" s="22">
        <f ca="1">IF(Q106="","",IF(Q106=0,0,SUMPRODUCT(OFFSET(M$18,MATCH(MIN(Q$18:Q$137),Q$18:Q$137,0),0,COUNT(M$18:M106)-MATCH(MIN(Q$18:Q$137),Q$18:Q$137,0),1),OFFSET(M$18,MATCH(MIN(Q$18:Q$137),Q$18:Q$137,0),2,COUNT(M$18:M106)-MATCH(MIN(Q$18:Q$137),Q$18:Q$137,0),1))*$T$6*$T$14))</f>
        <v>0</v>
      </c>
      <c r="W106" s="29"/>
      <c r="X106" s="23">
        <f t="shared" ca="1" si="66"/>
        <v>57.163572359836884</v>
      </c>
      <c r="Z106" s="15">
        <f t="shared" si="67"/>
        <v>18.849999999999998</v>
      </c>
      <c r="AA106" s="15">
        <f t="shared" si="68"/>
        <v>20.599999999999998</v>
      </c>
      <c r="AC106" s="15">
        <f t="shared" si="69"/>
        <v>86</v>
      </c>
      <c r="AD106" s="15">
        <f t="shared" si="70"/>
        <v>95</v>
      </c>
      <c r="AF106" s="15">
        <f t="shared" ca="1" si="71"/>
        <v>10</v>
      </c>
      <c r="AH106" s="15">
        <f t="shared" si="72"/>
        <v>3</v>
      </c>
      <c r="AI106" s="38">
        <f t="shared" ca="1" si="57"/>
        <v>51.849045224341857</v>
      </c>
    </row>
    <row r="107" spans="1:38" x14ac:dyDescent="0.2">
      <c r="A107" s="15">
        <v>90</v>
      </c>
      <c r="B107" s="2">
        <f t="shared" si="38"/>
        <v>169.73</v>
      </c>
      <c r="C107" s="25">
        <v>19.399999999999999</v>
      </c>
      <c r="D107" s="25">
        <v>2.52</v>
      </c>
      <c r="E107" s="25">
        <v>25.34</v>
      </c>
      <c r="F107" s="3" t="str">
        <f t="shared" ca="1" si="39"/>
        <v>ИГЭ-3</v>
      </c>
      <c r="G107" s="30" t="str">
        <f t="shared" ca="1" si="40"/>
        <v>пыл.-глинист.</v>
      </c>
      <c r="I107" s="13">
        <f t="shared" ca="1" si="58"/>
        <v>3096</v>
      </c>
      <c r="J107" s="14">
        <f t="shared" ca="1" si="41"/>
        <v>0.76400000000000001</v>
      </c>
      <c r="L107" s="14">
        <f t="shared" ca="1" si="59"/>
        <v>0.93300000000000005</v>
      </c>
      <c r="M107" s="22">
        <f t="shared" ca="1" si="60"/>
        <v>5.0957969999999824</v>
      </c>
      <c r="N107" s="37">
        <f t="shared" ca="1" si="61"/>
        <v>1</v>
      </c>
      <c r="O107" s="37">
        <f t="shared" ca="1" si="62"/>
        <v>0</v>
      </c>
      <c r="Q107" s="22">
        <f t="shared" si="63"/>
        <v>16.399999999999999</v>
      </c>
      <c r="R107" s="22">
        <f t="shared" ca="1" si="64"/>
        <v>289.75463999999999</v>
      </c>
      <c r="S107" s="22">
        <f ca="1">IF(Q107="","",IF(Q107=0,0,SUMPRODUCT(OFFSET(M$18,MATCH(MIN(Q$18:Q$137),Q$18:Q$137,0),0,COUNT(M$18:M107)-MATCH(MIN(Q$18:Q$137),Q$18:Q$137,0),1),OFFSET(M$18,MATCH(MIN(Q$18:Q$137),Q$18:Q$137,0),1,COUNT(M$18:M107)-MATCH(MIN(Q$18:Q$137),Q$18:Q$137,0),1))*$T$6))</f>
        <v>503.62767279999986</v>
      </c>
      <c r="T107" s="22">
        <f t="shared" ca="1" si="65"/>
        <v>793.38231279999991</v>
      </c>
      <c r="V107" s="22">
        <f ca="1">IF(Q107="","",IF(Q107=0,0,SUMPRODUCT(OFFSET(M$18,MATCH(MIN(Q$18:Q$137),Q$18:Q$137,0),0,COUNT(M$18:M107)-MATCH(MIN(Q$18:Q$137),Q$18:Q$137,0),1),OFFSET(M$18,MATCH(MIN(Q$18:Q$137),Q$18:Q$137,0),2,COUNT(M$18:M107)-MATCH(MIN(Q$18:Q$137),Q$18:Q$137,0),1))*$T$6*$T$14))</f>
        <v>0</v>
      </c>
      <c r="W107" s="29"/>
      <c r="X107" s="23">
        <f t="shared" ca="1" si="66"/>
        <v>59.175132797145764</v>
      </c>
      <c r="Z107" s="15">
        <f t="shared" si="67"/>
        <v>19.049999999999997</v>
      </c>
      <c r="AA107" s="15">
        <f t="shared" si="68"/>
        <v>20.799999999999997</v>
      </c>
      <c r="AC107" s="15">
        <f t="shared" si="69"/>
        <v>87</v>
      </c>
      <c r="AD107" s="15">
        <f t="shared" si="70"/>
        <v>96</v>
      </c>
      <c r="AF107" s="15">
        <f t="shared" ca="1" si="71"/>
        <v>10</v>
      </c>
      <c r="AH107" s="15">
        <f t="shared" si="72"/>
        <v>3</v>
      </c>
      <c r="AI107" s="38">
        <f t="shared" ca="1" si="57"/>
        <v>53.673589838680968</v>
      </c>
    </row>
    <row r="108" spans="1:38" x14ac:dyDescent="0.2">
      <c r="A108" s="15">
        <v>91</v>
      </c>
      <c r="B108" s="2">
        <f t="shared" si="38"/>
        <v>169.53</v>
      </c>
      <c r="C108" s="25">
        <v>19.600000000000001</v>
      </c>
      <c r="D108" s="25">
        <v>2.64</v>
      </c>
      <c r="E108" s="25">
        <v>20.73</v>
      </c>
      <c r="F108" s="3" t="str">
        <f t="shared" ca="1" si="39"/>
        <v>ИГЭ-3</v>
      </c>
      <c r="G108" s="30" t="str">
        <f t="shared" ca="1" si="40"/>
        <v>пыл.-глинист.</v>
      </c>
      <c r="I108" s="13">
        <f t="shared" ca="1" si="58"/>
        <v>3708</v>
      </c>
      <c r="J108" s="14">
        <f t="shared" ca="1" si="41"/>
        <v>0.72799999999999998</v>
      </c>
      <c r="L108" s="14">
        <f t="shared" ca="1" si="59"/>
        <v>0.99099999999999999</v>
      </c>
      <c r="M108" s="22">
        <f t="shared" ca="1" si="60"/>
        <v>4.4185650000000631</v>
      </c>
      <c r="N108" s="37">
        <f t="shared" ca="1" si="61"/>
        <v>1</v>
      </c>
      <c r="O108" s="37">
        <f t="shared" ca="1" si="62"/>
        <v>0</v>
      </c>
      <c r="Q108" s="22">
        <f t="shared" si="63"/>
        <v>16.600000000000001</v>
      </c>
      <c r="R108" s="22">
        <f t="shared" ca="1" si="64"/>
        <v>330.67943999999994</v>
      </c>
      <c r="S108" s="22">
        <f ca="1">IF(Q108="","",IF(Q108=0,0,SUMPRODUCT(OFFSET(M$18,MATCH(MIN(Q$18:Q$137),Q$18:Q$137,0),0,COUNT(M$18:M108)-MATCH(MIN(Q$18:Q$137),Q$18:Q$137,0),1),OFFSET(M$18,MATCH(MIN(Q$18:Q$137),Q$18:Q$137,0),1,COUNT(M$18:M108)-MATCH(MIN(Q$18:Q$137),Q$18:Q$137,0),1))*$T$6))</f>
        <v>509.81366379999992</v>
      </c>
      <c r="T108" s="22">
        <f t="shared" ca="1" si="65"/>
        <v>840.49310379999986</v>
      </c>
      <c r="V108" s="22">
        <f ca="1">IF(Q108="","",IF(Q108=0,0,SUMPRODUCT(OFFSET(M$18,MATCH(MIN(Q$18:Q$137),Q$18:Q$137,0),0,COUNT(M$18:M108)-MATCH(MIN(Q$18:Q$137),Q$18:Q$137,0),1),OFFSET(M$18,MATCH(MIN(Q$18:Q$137),Q$18:Q$137,0),2,COUNT(M$18:M108)-MATCH(MIN(Q$18:Q$137),Q$18:Q$137,0),1))*$T$6*$T$14))</f>
        <v>0</v>
      </c>
      <c r="W108" s="29"/>
      <c r="X108" s="23">
        <f t="shared" ca="1" si="66"/>
        <v>62.949616390417923</v>
      </c>
      <c r="Z108" s="15">
        <f t="shared" si="67"/>
        <v>19.25</v>
      </c>
      <c r="AA108" s="15">
        <f t="shared" si="68"/>
        <v>21</v>
      </c>
      <c r="AC108" s="15">
        <f t="shared" si="69"/>
        <v>89</v>
      </c>
      <c r="AD108" s="15">
        <f t="shared" si="70"/>
        <v>98</v>
      </c>
      <c r="AF108" s="15">
        <f t="shared" ca="1" si="71"/>
        <v>10</v>
      </c>
      <c r="AH108" s="15">
        <f t="shared" si="72"/>
        <v>3</v>
      </c>
      <c r="AI108" s="38">
        <f t="shared" ca="1" si="57"/>
        <v>57.09715772373508</v>
      </c>
    </row>
    <row r="109" spans="1:38" x14ac:dyDescent="0.2">
      <c r="A109" s="15">
        <v>92</v>
      </c>
      <c r="B109" s="2">
        <f t="shared" si="38"/>
        <v>169.33</v>
      </c>
      <c r="C109" s="25">
        <v>19.8</v>
      </c>
      <c r="D109" s="25">
        <v>2.88</v>
      </c>
      <c r="E109" s="25">
        <v>25.34</v>
      </c>
      <c r="F109" s="3" t="str">
        <f t="shared" ca="1" si="39"/>
        <v>ИГЭ-3</v>
      </c>
      <c r="G109" s="30" t="str">
        <f t="shared" ca="1" si="40"/>
        <v>пыл.-глинист.</v>
      </c>
      <c r="I109" s="13">
        <f t="shared" ca="1" si="58"/>
        <v>3708</v>
      </c>
      <c r="J109" s="14">
        <f t="shared" ca="1" si="41"/>
        <v>0.72799999999999998</v>
      </c>
      <c r="L109" s="14">
        <f t="shared" ca="1" si="59"/>
        <v>0.93300000000000005</v>
      </c>
      <c r="M109" s="22">
        <f t="shared" ca="1" si="60"/>
        <v>4.418564999999985</v>
      </c>
      <c r="N109" s="37">
        <f t="shared" ca="1" si="61"/>
        <v>1</v>
      </c>
      <c r="O109" s="37">
        <f t="shared" ca="1" si="62"/>
        <v>0</v>
      </c>
      <c r="Q109" s="22">
        <f t="shared" si="63"/>
        <v>16.8</v>
      </c>
      <c r="R109" s="22">
        <f t="shared" ca="1" si="64"/>
        <v>330.67943999999994</v>
      </c>
      <c r="S109" s="22">
        <f ca="1">IF(Q109="","",IF(Q109=0,0,SUMPRODUCT(OFFSET(M$18,MATCH(MIN(Q$18:Q$137),Q$18:Q$137,0),0,COUNT(M$18:M109)-MATCH(MIN(Q$18:Q$137),Q$18:Q$137,0),1),OFFSET(M$18,MATCH(MIN(Q$18:Q$137),Q$18:Q$137,0),1,COUNT(M$18:M109)-MATCH(MIN(Q$18:Q$137),Q$18:Q$137,0),1))*$T$6))</f>
        <v>515.99965479999992</v>
      </c>
      <c r="T109" s="22">
        <f t="shared" ca="1" si="65"/>
        <v>846.6790947999998</v>
      </c>
      <c r="V109" s="22">
        <f ca="1">IF(Q109="","",IF(Q109=0,0,SUMPRODUCT(OFFSET(M$18,MATCH(MIN(Q$18:Q$137),Q$18:Q$137,0),0,COUNT(M$18:M109)-MATCH(MIN(Q$18:Q$137),Q$18:Q$137,0),1),OFFSET(M$18,MATCH(MIN(Q$18:Q$137),Q$18:Q$137,0),2,COUNT(M$18:M109)-MATCH(MIN(Q$18:Q$137),Q$18:Q$137,0),1))*$T$6*$T$14))</f>
        <v>0</v>
      </c>
      <c r="W109" s="29"/>
      <c r="X109" s="23">
        <f t="shared" ca="1" si="66"/>
        <v>63.386705488277251</v>
      </c>
      <c r="Z109" s="15">
        <f t="shared" si="67"/>
        <v>19.45</v>
      </c>
      <c r="AA109" s="15">
        <f t="shared" si="68"/>
        <v>21.2</v>
      </c>
      <c r="AC109" s="15">
        <f t="shared" si="69"/>
        <v>89</v>
      </c>
      <c r="AD109" s="15">
        <f t="shared" si="70"/>
        <v>98</v>
      </c>
      <c r="AF109" s="15">
        <f t="shared" ca="1" si="71"/>
        <v>10</v>
      </c>
      <c r="AH109" s="15">
        <f t="shared" si="72"/>
        <v>3</v>
      </c>
      <c r="AI109" s="38">
        <f t="shared" ca="1" si="57"/>
        <v>57.493610420206124</v>
      </c>
    </row>
    <row r="110" spans="1:38" x14ac:dyDescent="0.2">
      <c r="A110" s="15">
        <v>93</v>
      </c>
      <c r="B110" s="2">
        <f t="shared" si="38"/>
        <v>169.13</v>
      </c>
      <c r="C110" s="25">
        <v>20</v>
      </c>
      <c r="D110" s="25">
        <v>2.76</v>
      </c>
      <c r="E110" s="25">
        <v>23.04</v>
      </c>
      <c r="F110" s="3" t="str">
        <f t="shared" ca="1" si="39"/>
        <v>ИГЭ-3</v>
      </c>
      <c r="G110" s="30" t="str">
        <f t="shared" ca="1" si="40"/>
        <v>пыл.-глинист.</v>
      </c>
      <c r="I110" s="13">
        <f t="shared" ca="1" si="58"/>
        <v>3816</v>
      </c>
      <c r="J110" s="14">
        <f t="shared" ca="1" si="41"/>
        <v>0.72099999999999997</v>
      </c>
      <c r="L110" s="14">
        <f t="shared" ca="1" si="59"/>
        <v>0.96199999999999997</v>
      </c>
      <c r="M110" s="22">
        <f t="shared" ca="1" si="60"/>
        <v>4.5806699999999836</v>
      </c>
      <c r="N110" s="37">
        <f t="shared" ca="1" si="61"/>
        <v>1</v>
      </c>
      <c r="O110" s="37">
        <f t="shared" ca="1" si="62"/>
        <v>0</v>
      </c>
      <c r="Q110" s="22">
        <f t="shared" si="63"/>
        <v>17</v>
      </c>
      <c r="R110" s="22">
        <f t="shared" ca="1" si="64"/>
        <v>337.03865999999994</v>
      </c>
      <c r="S110" s="22">
        <f ca="1">IF(Q110="","",IF(Q110=0,0,SUMPRODUCT(OFFSET(M$18,MATCH(MIN(Q$18:Q$137),Q$18:Q$137,0),0,COUNT(M$18:M110)-MATCH(MIN(Q$18:Q$137),Q$18:Q$137,0),1),OFFSET(M$18,MATCH(MIN(Q$18:Q$137),Q$18:Q$137,0),1,COUNT(M$18:M110)-MATCH(MIN(Q$18:Q$137),Q$18:Q$137,0),1))*$T$6))</f>
        <v>522.41259279999997</v>
      </c>
      <c r="T110" s="22">
        <f t="shared" ca="1" si="65"/>
        <v>859.45125279999991</v>
      </c>
      <c r="V110" s="22">
        <f ca="1">IF(Q110="","",IF(Q110=0,0,SUMPRODUCT(OFFSET(M$18,MATCH(MIN(Q$18:Q$137),Q$18:Q$137,0),0,COUNT(M$18:M110)-MATCH(MIN(Q$18:Q$137),Q$18:Q$137,0),1),OFFSET(M$18,MATCH(MIN(Q$18:Q$137),Q$18:Q$137,0),2,COUNT(M$18:M110)-MATCH(MIN(Q$18:Q$137),Q$18:Q$137,0),1))*$T$6*$T$14))</f>
        <v>0</v>
      </c>
      <c r="W110" s="29"/>
      <c r="X110" s="23">
        <f t="shared" ca="1" si="66"/>
        <v>64.360892812436276</v>
      </c>
      <c r="Z110" s="15">
        <f t="shared" si="67"/>
        <v>19.649999999999999</v>
      </c>
      <c r="AA110" s="15">
        <f t="shared" si="68"/>
        <v>21.4</v>
      </c>
      <c r="AC110" s="15">
        <f t="shared" si="69"/>
        <v>90</v>
      </c>
      <c r="AD110" s="15">
        <f t="shared" si="70"/>
        <v>99</v>
      </c>
      <c r="AF110" s="15">
        <f t="shared" ca="1" si="71"/>
        <v>10</v>
      </c>
      <c r="AH110" s="15">
        <f t="shared" si="72"/>
        <v>3</v>
      </c>
      <c r="AI110" s="38">
        <f t="shared" ca="1" si="57"/>
        <v>58.377227040758534</v>
      </c>
    </row>
    <row r="111" spans="1:38" x14ac:dyDescent="0.2">
      <c r="A111" s="15">
        <v>94</v>
      </c>
      <c r="B111" s="2">
        <f t="shared" ref="B111:B134" si="73">IF(C111="","",ROUND($D$6-C111,2))</f>
        <v>168.93</v>
      </c>
      <c r="C111" s="25">
        <v>20.2</v>
      </c>
      <c r="D111" s="25">
        <v>2.88</v>
      </c>
      <c r="E111" s="25">
        <v>85.24</v>
      </c>
      <c r="F111" s="3" t="str">
        <f t="shared" ref="F111:F134" ca="1" si="74">IF(C111="","",OFFSET($C$5,MATCH(B111,D$6:D$15,-1),0,1,1))</f>
        <v>ИГЭ-5</v>
      </c>
      <c r="G111" s="30" t="str">
        <f t="shared" ref="G111:G134" ca="1" si="75">IF(C111="","",OFFSET($E$5,MATCH(B111,D$6:D$15,-1),0,1,1))</f>
        <v>пыл.-глинист.</v>
      </c>
      <c r="I111" s="13">
        <f t="shared" ca="1" si="58"/>
        <v>4032</v>
      </c>
      <c r="J111" s="14">
        <f t="shared" ca="1" si="41"/>
        <v>0.70799999999999996</v>
      </c>
      <c r="L111" s="14">
        <f t="shared" ca="1" si="59"/>
        <v>0.437</v>
      </c>
      <c r="M111" s="22">
        <f t="shared" ca="1" si="60"/>
        <v>5.9414359999999782</v>
      </c>
      <c r="N111" s="37">
        <f t="shared" ca="1" si="61"/>
        <v>1</v>
      </c>
      <c r="O111" s="37">
        <f t="shared" ca="1" si="62"/>
        <v>0</v>
      </c>
      <c r="Q111" s="22">
        <f t="shared" si="63"/>
        <v>17.2</v>
      </c>
      <c r="R111" s="22">
        <f t="shared" ca="1" si="64"/>
        <v>349.69535999999994</v>
      </c>
      <c r="S111" s="22">
        <f ca="1">IF(Q111="","",IF(Q111=0,0,SUMPRODUCT(OFFSET(M$18,MATCH(MIN(Q$18:Q$137),Q$18:Q$137,0),0,COUNT(M$18:M111)-MATCH(MIN(Q$18:Q$137),Q$18:Q$137,0),1),OFFSET(M$18,MATCH(MIN(Q$18:Q$137),Q$18:Q$137,0),1,COUNT(M$18:M111)-MATCH(MIN(Q$18:Q$137),Q$18:Q$137,0),1))*$T$6))</f>
        <v>530.7306031999999</v>
      </c>
      <c r="T111" s="22">
        <f t="shared" ca="1" si="65"/>
        <v>880.42596319999984</v>
      </c>
      <c r="V111" s="22">
        <f ca="1">IF(Q111="","",IF(Q111=0,0,SUMPRODUCT(OFFSET(M$18,MATCH(MIN(Q$18:Q$137),Q$18:Q$137,0),0,COUNT(M$18:M111)-MATCH(MIN(Q$18:Q$137),Q$18:Q$137,0),1),OFFSET(M$18,MATCH(MIN(Q$18:Q$137),Q$18:Q$137,0),2,COUNT(M$18:M111)-MATCH(MIN(Q$18:Q$137),Q$18:Q$137,0),1))*$T$6*$T$14))</f>
        <v>0</v>
      </c>
      <c r="W111" s="29"/>
      <c r="X111" s="23">
        <f t="shared" ca="1" si="66"/>
        <v>66.003993686034633</v>
      </c>
      <c r="Z111" s="15">
        <f t="shared" si="67"/>
        <v>19.849999999999998</v>
      </c>
      <c r="AA111" s="15">
        <f t="shared" si="68"/>
        <v>21.599999999999998</v>
      </c>
      <c r="AC111" s="15">
        <f t="shared" si="69"/>
        <v>91</v>
      </c>
      <c r="AD111" s="15">
        <f t="shared" si="70"/>
        <v>100</v>
      </c>
      <c r="AF111" s="15">
        <f t="shared" ca="1" si="71"/>
        <v>10</v>
      </c>
      <c r="AH111" s="15">
        <f t="shared" si="72"/>
        <v>4</v>
      </c>
      <c r="AI111" s="38">
        <f t="shared" ca="1" si="57"/>
        <v>59.867567969192429</v>
      </c>
    </row>
    <row r="112" spans="1:38" x14ac:dyDescent="0.2">
      <c r="A112" s="15">
        <v>95</v>
      </c>
      <c r="B112" s="2">
        <f t="shared" si="73"/>
        <v>168.73</v>
      </c>
      <c r="C112" s="25">
        <v>20.399999999999999</v>
      </c>
      <c r="D112" s="25">
        <v>6</v>
      </c>
      <c r="E112" s="25">
        <v>89.85</v>
      </c>
      <c r="F112" s="3" t="str">
        <f t="shared" ca="1" si="74"/>
        <v>ИГЭ-5</v>
      </c>
      <c r="G112" s="30" t="str">
        <f t="shared" ca="1" si="75"/>
        <v>пыл.-глинист.</v>
      </c>
      <c r="I112" s="13">
        <f t="shared" ca="1" si="58"/>
        <v>4404</v>
      </c>
      <c r="J112" s="14">
        <f t="shared" ca="1" si="41"/>
        <v>0.68600000000000005</v>
      </c>
      <c r="L112" s="14">
        <f t="shared" ca="1" si="59"/>
        <v>0.42499999999999999</v>
      </c>
      <c r="M112" s="22">
        <f t="shared" ca="1" si="60"/>
        <v>7.5436129999999721</v>
      </c>
      <c r="N112" s="37">
        <f t="shared" ca="1" si="61"/>
        <v>1</v>
      </c>
      <c r="O112" s="37">
        <f t="shared" ca="1" si="62"/>
        <v>0</v>
      </c>
      <c r="Q112" s="22">
        <f t="shared" si="63"/>
        <v>17.399999999999999</v>
      </c>
      <c r="R112" s="22">
        <f t="shared" ca="1" si="64"/>
        <v>370.09013999999996</v>
      </c>
      <c r="S112" s="22">
        <f ca="1">IF(Q112="","",IF(Q112=0,0,SUMPRODUCT(OFFSET(M$18,MATCH(MIN(Q$18:Q$137),Q$18:Q$137,0),0,COUNT(M$18:M112)-MATCH(MIN(Q$18:Q$137),Q$18:Q$137,0),1),OFFSET(M$18,MATCH(MIN(Q$18:Q$137),Q$18:Q$137,0),1,COUNT(M$18:M112)-MATCH(MIN(Q$18:Q$137),Q$18:Q$137,0),1))*$T$6))</f>
        <v>541.29166139999984</v>
      </c>
      <c r="T112" s="22">
        <f t="shared" ca="1" si="65"/>
        <v>911.38180139999986</v>
      </c>
      <c r="V112" s="22">
        <f ca="1">IF(Q112="","",IF(Q112=0,0,SUMPRODUCT(OFFSET(M$18,MATCH(MIN(Q$18:Q$137),Q$18:Q$137,0),0,COUNT(M$18:M112)-MATCH(MIN(Q$18:Q$137),Q$18:Q$137,0),1),OFFSET(M$18,MATCH(MIN(Q$18:Q$137),Q$18:Q$137,0),2,COUNT(M$18:M112)-MATCH(MIN(Q$18:Q$137),Q$18:Q$137,0),1))*$T$6*$T$14))</f>
        <v>0</v>
      </c>
      <c r="W112" s="29"/>
      <c r="X112" s="23">
        <f t="shared" ca="1" si="66"/>
        <v>68.461049935779798</v>
      </c>
      <c r="Z112" s="15">
        <f t="shared" si="67"/>
        <v>20.049999999999997</v>
      </c>
      <c r="AA112" s="15">
        <f t="shared" si="68"/>
        <v>21.799999999999997</v>
      </c>
      <c r="AC112" s="15">
        <f t="shared" si="69"/>
        <v>92</v>
      </c>
      <c r="AD112" s="15">
        <f t="shared" si="70"/>
        <v>101</v>
      </c>
      <c r="AF112" s="15">
        <f t="shared" ca="1" si="71"/>
        <v>10</v>
      </c>
      <c r="AH112" s="15">
        <f t="shared" si="72"/>
        <v>4</v>
      </c>
      <c r="AI112" s="38">
        <f t="shared" ca="1" si="57"/>
        <v>62.096190417940861</v>
      </c>
    </row>
    <row r="113" spans="1:35" x14ac:dyDescent="0.2">
      <c r="A113" s="15">
        <v>96</v>
      </c>
      <c r="B113" s="2">
        <f t="shared" si="73"/>
        <v>168.53</v>
      </c>
      <c r="C113" s="25">
        <v>20.6</v>
      </c>
      <c r="D113" s="25">
        <v>4.68</v>
      </c>
      <c r="E113" s="25">
        <v>87.55</v>
      </c>
      <c r="F113" s="3" t="str">
        <f t="shared" ca="1" si="74"/>
        <v>ИГЭ-5</v>
      </c>
      <c r="G113" s="30" t="str">
        <f t="shared" ca="1" si="75"/>
        <v>пыл.-глинист.</v>
      </c>
      <c r="I113" s="13">
        <f t="shared" ca="1" si="58"/>
        <v>4704</v>
      </c>
      <c r="J113" s="14">
        <f t="shared" ca="1" si="41"/>
        <v>0.66800000000000004</v>
      </c>
      <c r="L113" s="14">
        <f t="shared" ca="1" si="59"/>
        <v>0.43099999999999999</v>
      </c>
      <c r="M113" s="22">
        <f t="shared" ca="1" si="60"/>
        <v>7.5920300000001077</v>
      </c>
      <c r="N113" s="37">
        <f t="shared" ca="1" si="61"/>
        <v>1</v>
      </c>
      <c r="O113" s="37">
        <f t="shared" ca="1" si="62"/>
        <v>0</v>
      </c>
      <c r="Q113" s="22">
        <f t="shared" si="63"/>
        <v>17.600000000000001</v>
      </c>
      <c r="R113" s="22">
        <f t="shared" ca="1" si="64"/>
        <v>384.92831999999999</v>
      </c>
      <c r="S113" s="22">
        <f ca="1">IF(Q113="","",IF(Q113=0,0,SUMPRODUCT(OFFSET(M$18,MATCH(MIN(Q$18:Q$137),Q$18:Q$137,0),0,COUNT(M$18:M113)-MATCH(MIN(Q$18:Q$137),Q$18:Q$137,0),1),OFFSET(M$18,MATCH(MIN(Q$18:Q$137),Q$18:Q$137,0),1,COUNT(M$18:M113)-MATCH(MIN(Q$18:Q$137),Q$18:Q$137,0),1))*$T$6))</f>
        <v>551.92050339999992</v>
      </c>
      <c r="T113" s="22">
        <f t="shared" ca="1" si="65"/>
        <v>936.8488233999999</v>
      </c>
      <c r="V113" s="22">
        <f ca="1">IF(Q113="","",IF(Q113=0,0,SUMPRODUCT(OFFSET(M$18,MATCH(MIN(Q$18:Q$137),Q$18:Q$137,0),0,COUNT(M$18:M113)-MATCH(MIN(Q$18:Q$137),Q$18:Q$137,0),1),OFFSET(M$18,MATCH(MIN(Q$18:Q$137),Q$18:Q$137,0),2,COUNT(M$18:M113)-MATCH(MIN(Q$18:Q$137),Q$18:Q$137,0),1))*$T$6*$T$14))</f>
        <v>0</v>
      </c>
      <c r="W113" s="29"/>
      <c r="X113" s="23">
        <f t="shared" ca="1" si="66"/>
        <v>70.470496301732908</v>
      </c>
      <c r="Z113" s="15">
        <f t="shared" si="67"/>
        <v>20.25</v>
      </c>
      <c r="AA113" s="15">
        <f t="shared" si="68"/>
        <v>22</v>
      </c>
      <c r="AC113" s="15">
        <f t="shared" si="69"/>
        <v>94</v>
      </c>
      <c r="AD113" s="15">
        <f t="shared" si="70"/>
        <v>103</v>
      </c>
      <c r="AF113" s="15">
        <f t="shared" ca="1" si="71"/>
        <v>10</v>
      </c>
      <c r="AH113" s="15">
        <f t="shared" si="72"/>
        <v>4</v>
      </c>
      <c r="AI113" s="38">
        <f t="shared" ca="1" si="57"/>
        <v>63.918817507240746</v>
      </c>
    </row>
    <row r="114" spans="1:35" x14ac:dyDescent="0.2">
      <c r="A114" s="15">
        <v>97</v>
      </c>
      <c r="B114" s="2">
        <f t="shared" si="73"/>
        <v>168.33</v>
      </c>
      <c r="C114" s="25">
        <v>20.8</v>
      </c>
      <c r="D114" s="25">
        <v>4.08</v>
      </c>
      <c r="E114" s="25">
        <v>59.9</v>
      </c>
      <c r="F114" s="3" t="str">
        <f t="shared" ca="1" si="74"/>
        <v>ИГЭ-5</v>
      </c>
      <c r="G114" s="30" t="str">
        <f t="shared" ca="1" si="75"/>
        <v>пыл.-глинист.</v>
      </c>
      <c r="I114" s="13">
        <f t="shared" ca="1" si="58"/>
        <v>4704</v>
      </c>
      <c r="J114" s="14">
        <f t="shared" ca="1" si="41"/>
        <v>0.66800000000000004</v>
      </c>
      <c r="L114" s="14">
        <f t="shared" ca="1" si="59"/>
        <v>0.60099999999999998</v>
      </c>
      <c r="M114" s="22">
        <f t="shared" ca="1" si="60"/>
        <v>7.3733949999999728</v>
      </c>
      <c r="N114" s="37">
        <f t="shared" ca="1" si="61"/>
        <v>1</v>
      </c>
      <c r="O114" s="37">
        <f t="shared" ca="1" si="62"/>
        <v>0</v>
      </c>
      <c r="Q114" s="22">
        <f t="shared" si="63"/>
        <v>17.8</v>
      </c>
      <c r="R114" s="22">
        <f t="shared" ca="1" si="64"/>
        <v>384.92831999999999</v>
      </c>
      <c r="S114" s="22">
        <f ca="1">IF(Q114="","",IF(Q114=0,0,SUMPRODUCT(OFFSET(M$18,MATCH(MIN(Q$18:Q$137),Q$18:Q$137,0),0,COUNT(M$18:M114)-MATCH(MIN(Q$18:Q$137),Q$18:Q$137,0),1),OFFSET(M$18,MATCH(MIN(Q$18:Q$137),Q$18:Q$137,0),1,COUNT(M$18:M114)-MATCH(MIN(Q$18:Q$137),Q$18:Q$137,0),1))*$T$6))</f>
        <v>562.24325639999984</v>
      </c>
      <c r="T114" s="22">
        <f t="shared" ca="1" si="65"/>
        <v>947.17157639999982</v>
      </c>
      <c r="V114" s="22">
        <f ca="1">IF(Q114="","",IF(Q114=0,0,SUMPRODUCT(OFFSET(M$18,MATCH(MIN(Q$18:Q$137),Q$18:Q$137,0),0,COUNT(M$18:M114)-MATCH(MIN(Q$18:Q$137),Q$18:Q$137,0),1),OFFSET(M$18,MATCH(MIN(Q$18:Q$137),Q$18:Q$137,0),2,COUNT(M$18:M114)-MATCH(MIN(Q$18:Q$137),Q$18:Q$137,0),1))*$T$6*$T$14))</f>
        <v>0</v>
      </c>
      <c r="W114" s="29"/>
      <c r="X114" s="23">
        <f t="shared" ca="1" si="66"/>
        <v>71.244936021406716</v>
      </c>
      <c r="Z114" s="15">
        <f t="shared" si="67"/>
        <v>20.45</v>
      </c>
      <c r="AA114" s="15">
        <f t="shared" si="68"/>
        <v>22.2</v>
      </c>
      <c r="AC114" s="15">
        <f t="shared" si="69"/>
        <v>94</v>
      </c>
      <c r="AD114" s="15">
        <f t="shared" si="70"/>
        <v>103</v>
      </c>
      <c r="AF114" s="15">
        <f t="shared" ca="1" si="71"/>
        <v>10</v>
      </c>
      <c r="AH114" s="15">
        <f t="shared" si="72"/>
        <v>4</v>
      </c>
      <c r="AI114" s="38">
        <f t="shared" ca="1" si="57"/>
        <v>64.621257162273665</v>
      </c>
    </row>
    <row r="115" spans="1:35" x14ac:dyDescent="0.2">
      <c r="A115" s="15">
        <v>98</v>
      </c>
      <c r="B115" s="2">
        <f t="shared" si="73"/>
        <v>168.13</v>
      </c>
      <c r="C115" s="25">
        <v>21</v>
      </c>
      <c r="D115" s="25">
        <v>6</v>
      </c>
      <c r="E115" s="25">
        <v>108.28</v>
      </c>
      <c r="F115" s="3" t="str">
        <f t="shared" ca="1" si="74"/>
        <v>ИГЭ-5</v>
      </c>
      <c r="G115" s="30" t="str">
        <f t="shared" ca="1" si="75"/>
        <v>пыл.-глинист.</v>
      </c>
      <c r="I115" s="13">
        <f t="shared" ca="1" si="58"/>
        <v>5472</v>
      </c>
      <c r="J115" s="14">
        <f t="shared" ca="1" si="41"/>
        <v>0.63100000000000001</v>
      </c>
      <c r="L115" s="14">
        <f t="shared" ca="1" si="59"/>
        <v>0.35899999999999999</v>
      </c>
      <c r="M115" s="22">
        <f t="shared" ca="1" si="60"/>
        <v>7.4872419999999735</v>
      </c>
      <c r="N115" s="37">
        <f t="shared" ca="1" si="61"/>
        <v>1</v>
      </c>
      <c r="O115" s="37">
        <f t="shared" ca="1" si="62"/>
        <v>0</v>
      </c>
      <c r="Q115" s="22">
        <f t="shared" si="63"/>
        <v>18</v>
      </c>
      <c r="R115" s="22">
        <f t="shared" ca="1" si="64"/>
        <v>422.97191999999995</v>
      </c>
      <c r="S115" s="22">
        <f ca="1">IF(Q115="","",IF(Q115=0,0,SUMPRODUCT(OFFSET(M$18,MATCH(MIN(Q$18:Q$137),Q$18:Q$137,0),0,COUNT(M$18:M115)-MATCH(MIN(Q$18:Q$137),Q$18:Q$137,0),1),OFFSET(M$18,MATCH(MIN(Q$18:Q$137),Q$18:Q$137,0),1,COUNT(M$18:M115)-MATCH(MIN(Q$18:Q$137),Q$18:Q$137,0),1))*$T$6))</f>
        <v>572.72539519999987</v>
      </c>
      <c r="T115" s="22">
        <f t="shared" ca="1" si="65"/>
        <v>995.69731519999982</v>
      </c>
      <c r="V115" s="22">
        <f ca="1">IF(Q115="","",IF(Q115=0,0,SUMPRODUCT(OFFSET(M$18,MATCH(MIN(Q$18:Q$137),Q$18:Q$137,0),0,COUNT(M$18:M115)-MATCH(MIN(Q$18:Q$137),Q$18:Q$137,0),1),OFFSET(M$18,MATCH(MIN(Q$18:Q$137),Q$18:Q$137,0),2,COUNT(M$18:M115)-MATCH(MIN(Q$18:Q$137),Q$18:Q$137,0),1))*$T$6*$T$14))</f>
        <v>0</v>
      </c>
      <c r="W115" s="29"/>
      <c r="X115" s="23">
        <f t="shared" ca="1" si="66"/>
        <v>75.134807814474996</v>
      </c>
      <c r="Z115" s="15">
        <f t="shared" si="67"/>
        <v>20.65</v>
      </c>
      <c r="AA115" s="15">
        <f t="shared" si="68"/>
        <v>22.4</v>
      </c>
      <c r="AC115" s="15">
        <f t="shared" si="69"/>
        <v>95</v>
      </c>
      <c r="AD115" s="15">
        <f t="shared" si="70"/>
        <v>104</v>
      </c>
      <c r="AF115" s="15">
        <f t="shared" ca="1" si="71"/>
        <v>10</v>
      </c>
      <c r="AH115" s="15">
        <f t="shared" si="72"/>
        <v>4</v>
      </c>
      <c r="AI115" s="38">
        <f t="shared" ca="1" si="57"/>
        <v>68.149485546009075</v>
      </c>
    </row>
    <row r="116" spans="1:35" x14ac:dyDescent="0.2">
      <c r="A116" s="15">
        <v>99</v>
      </c>
      <c r="B116" s="2">
        <f t="shared" si="73"/>
        <v>167.93</v>
      </c>
      <c r="C116" s="25">
        <v>21.2</v>
      </c>
      <c r="D116" s="25">
        <v>3.72</v>
      </c>
      <c r="E116" s="25">
        <v>71.42</v>
      </c>
      <c r="F116" s="3" t="str">
        <f t="shared" ca="1" si="74"/>
        <v>ИГЭ-5</v>
      </c>
      <c r="G116" s="30" t="str">
        <f t="shared" ca="1" si="75"/>
        <v>пыл.-глинист.</v>
      </c>
      <c r="I116" s="13">
        <f t="shared" ca="1" si="58"/>
        <v>7344</v>
      </c>
      <c r="J116" s="14">
        <f t="shared" ca="1" si="41"/>
        <v>0.55600000000000005</v>
      </c>
      <c r="L116" s="14">
        <f t="shared" ca="1" si="59"/>
        <v>0.51400000000000001</v>
      </c>
      <c r="M116" s="22">
        <f t="shared" ca="1" si="60"/>
        <v>7.5582399999999739</v>
      </c>
      <c r="N116" s="37">
        <f t="shared" ca="1" si="61"/>
        <v>1</v>
      </c>
      <c r="O116" s="37">
        <f t="shared" ca="1" si="62"/>
        <v>0</v>
      </c>
      <c r="Q116" s="22">
        <f t="shared" si="63"/>
        <v>18.2</v>
      </c>
      <c r="R116" s="22">
        <f t="shared" ca="1" si="64"/>
        <v>500.19983999999999</v>
      </c>
      <c r="S116" s="22">
        <f ca="1">IF(Q116="","",IF(Q116=0,0,SUMPRODUCT(OFFSET(M$18,MATCH(MIN(Q$18:Q$137),Q$18:Q$137,0),0,COUNT(M$18:M116)-MATCH(MIN(Q$18:Q$137),Q$18:Q$137,0),1),OFFSET(M$18,MATCH(MIN(Q$18:Q$137),Q$18:Q$137,0),1,COUNT(M$18:M116)-MATCH(MIN(Q$18:Q$137),Q$18:Q$137,0),1))*$T$6))</f>
        <v>583.30693119999978</v>
      </c>
      <c r="T116" s="22">
        <f t="shared" ca="1" si="65"/>
        <v>1083.5067711999998</v>
      </c>
      <c r="V116" s="22">
        <f ca="1">IF(Q116="","",IF(Q116=0,0,SUMPRODUCT(OFFSET(M$18,MATCH(MIN(Q$18:Q$137),Q$18:Q$137,0),0,COUNT(M$18:M116)-MATCH(MIN(Q$18:Q$137),Q$18:Q$137,0),1),OFFSET(M$18,MATCH(MIN(Q$18:Q$137),Q$18:Q$137,0),2,COUNT(M$18:M116)-MATCH(MIN(Q$18:Q$137),Q$18:Q$137,0),1))*$T$6*$T$14))</f>
        <v>0</v>
      </c>
      <c r="W116" s="29"/>
      <c r="X116" s="23">
        <f t="shared" ca="1" si="66"/>
        <v>82.228244720693141</v>
      </c>
      <c r="Z116" s="15">
        <f t="shared" si="67"/>
        <v>20.849999999999998</v>
      </c>
      <c r="AA116" s="15">
        <f t="shared" si="68"/>
        <v>22.599999999999998</v>
      </c>
      <c r="AC116" s="15">
        <f t="shared" si="69"/>
        <v>96</v>
      </c>
      <c r="AD116" s="15">
        <f t="shared" si="70"/>
        <v>105</v>
      </c>
      <c r="AF116" s="15">
        <f t="shared" ca="1" si="71"/>
        <v>10</v>
      </c>
      <c r="AH116" s="15">
        <f t="shared" si="72"/>
        <v>4</v>
      </c>
      <c r="AI116" s="38">
        <f t="shared" ca="1" si="57"/>
        <v>74.583441923531211</v>
      </c>
    </row>
    <row r="117" spans="1:35" x14ac:dyDescent="0.2">
      <c r="A117" s="15">
        <v>100</v>
      </c>
      <c r="B117" s="2">
        <f t="shared" si="73"/>
        <v>167.73</v>
      </c>
      <c r="C117" s="25">
        <v>21.4</v>
      </c>
      <c r="D117" s="25">
        <v>4.68</v>
      </c>
      <c r="E117" s="25">
        <v>152.05000000000001</v>
      </c>
      <c r="F117" s="3" t="str">
        <f t="shared" ca="1" si="74"/>
        <v>ИГЭ-5</v>
      </c>
      <c r="G117" s="30" t="str">
        <f t="shared" ca="1" si="75"/>
        <v>пыл.-глинист.</v>
      </c>
      <c r="I117" s="13">
        <f t="shared" ca="1" si="58"/>
        <v>9876</v>
      </c>
      <c r="J117" s="14">
        <f t="shared" ca="1" si="41"/>
        <v>0.45500000000000002</v>
      </c>
      <c r="L117" s="14">
        <f t="shared" ca="1" si="59"/>
        <v>0.3</v>
      </c>
      <c r="M117" s="22">
        <f t="shared" ca="1" si="60"/>
        <v>8.2324879999999716</v>
      </c>
      <c r="N117" s="37">
        <f t="shared" ca="1" si="61"/>
        <v>1</v>
      </c>
      <c r="O117" s="37">
        <f t="shared" ca="1" si="62"/>
        <v>0</v>
      </c>
      <c r="Q117" s="22">
        <f t="shared" si="63"/>
        <v>18.399999999999999</v>
      </c>
      <c r="R117" s="22">
        <f t="shared" ca="1" si="64"/>
        <v>550.46354999999994</v>
      </c>
      <c r="S117" s="22">
        <f ca="1">IF(Q117="","",IF(Q117=0,0,SUMPRODUCT(OFFSET(M$18,MATCH(MIN(Q$18:Q$137),Q$18:Q$137,0),0,COUNT(M$18:M117)-MATCH(MIN(Q$18:Q$137),Q$18:Q$137,0),1),OFFSET(M$18,MATCH(MIN(Q$18:Q$137),Q$18:Q$137,0),1,COUNT(M$18:M117)-MATCH(MIN(Q$18:Q$137),Q$18:Q$137,0),1))*$T$6))</f>
        <v>594.83241439999983</v>
      </c>
      <c r="T117" s="22">
        <f t="shared" ca="1" si="65"/>
        <v>1145.2959643999998</v>
      </c>
      <c r="V117" s="22">
        <f ca="1">IF(Q117="","",IF(Q117=0,0,SUMPRODUCT(OFFSET(M$18,MATCH(MIN(Q$18:Q$137),Q$18:Q$137,0),0,COUNT(M$18:M117)-MATCH(MIN(Q$18:Q$137),Q$18:Q$137,0),1),OFFSET(M$18,MATCH(MIN(Q$18:Q$137),Q$18:Q$137,0),2,COUNT(M$18:M117)-MATCH(MIN(Q$18:Q$137),Q$18:Q$137,0),1))*$T$6*$T$14))</f>
        <v>0</v>
      </c>
      <c r="W117" s="29"/>
      <c r="X117" s="23">
        <f t="shared" ca="1" si="66"/>
        <v>87.199743783893965</v>
      </c>
      <c r="Z117" s="15">
        <f t="shared" si="67"/>
        <v>21.049999999999997</v>
      </c>
      <c r="AA117" s="15">
        <f t="shared" si="68"/>
        <v>22.799999999999997</v>
      </c>
      <c r="AC117" s="15">
        <f t="shared" si="69"/>
        <v>97</v>
      </c>
      <c r="AD117" s="15">
        <f t="shared" si="70"/>
        <v>106</v>
      </c>
      <c r="AF117" s="15">
        <f t="shared" ca="1" si="71"/>
        <v>10</v>
      </c>
      <c r="AH117" s="15">
        <f t="shared" si="72"/>
        <v>4</v>
      </c>
      <c r="AI117" s="38">
        <f t="shared" ca="1" si="57"/>
        <v>79.092738125980929</v>
      </c>
    </row>
    <row r="118" spans="1:35" x14ac:dyDescent="0.2">
      <c r="A118" s="15">
        <v>101</v>
      </c>
      <c r="B118" s="2">
        <f t="shared" si="73"/>
        <v>167.53</v>
      </c>
      <c r="C118" s="25">
        <v>21.6</v>
      </c>
      <c r="D118" s="25">
        <v>6.36</v>
      </c>
      <c r="E118" s="25">
        <v>112.89</v>
      </c>
      <c r="F118" s="3" t="str">
        <f t="shared" ca="1" si="74"/>
        <v>ИГЭ-5</v>
      </c>
      <c r="G118" s="30" t="str">
        <f t="shared" ca="1" si="75"/>
        <v>пыл.-глинист.</v>
      </c>
      <c r="I118" s="13">
        <f t="shared" ca="1" si="58"/>
        <v>14868</v>
      </c>
      <c r="J118" s="14">
        <f t="shared" ca="1" si="41"/>
        <v>0.35299999999999998</v>
      </c>
      <c r="L118" s="14">
        <f t="shared" ca="1" si="59"/>
        <v>0.33600000000000002</v>
      </c>
      <c r="M118" s="22">
        <f t="shared" ca="1" si="60"/>
        <v>8.3546040000001192</v>
      </c>
      <c r="N118" s="37">
        <f t="shared" ca="1" si="61"/>
        <v>1</v>
      </c>
      <c r="O118" s="37">
        <f t="shared" ca="1" si="62"/>
        <v>0</v>
      </c>
      <c r="Q118" s="22">
        <f t="shared" si="63"/>
        <v>18.600000000000001</v>
      </c>
      <c r="R118" s="22">
        <f t="shared" ca="1" si="64"/>
        <v>642.92948999999987</v>
      </c>
      <c r="S118" s="22">
        <f ca="1">IF(Q118="","",IF(Q118=0,0,SUMPRODUCT(OFFSET(M$18,MATCH(MIN(Q$18:Q$137),Q$18:Q$137,0),0,COUNT(M$18:M118)-MATCH(MIN(Q$18:Q$137),Q$18:Q$137,0),1),OFFSET(M$18,MATCH(MIN(Q$18:Q$137),Q$18:Q$137,0),1,COUNT(M$18:M118)-MATCH(MIN(Q$18:Q$137),Q$18:Q$137,0),1))*$T$6))</f>
        <v>606.5288599999999</v>
      </c>
      <c r="T118" s="22">
        <f t="shared" ca="1" si="65"/>
        <v>1249.4583499999999</v>
      </c>
      <c r="V118" s="22">
        <f ca="1">IF(Q118="","",IF(Q118=0,0,SUMPRODUCT(OFFSET(M$18,MATCH(MIN(Q$18:Q$137),Q$18:Q$137,0),0,COUNT(M$18:M118)-MATCH(MIN(Q$18:Q$137),Q$18:Q$137,0),1),OFFSET(M$18,MATCH(MIN(Q$18:Q$137),Q$18:Q$137,0),2,COUNT(M$18:M118)-MATCH(MIN(Q$18:Q$137),Q$18:Q$137,0),1))*$T$6*$T$14))</f>
        <v>0</v>
      </c>
      <c r="W118" s="29"/>
      <c r="X118" s="23">
        <f t="shared" ca="1" si="66"/>
        <v>95.626752930682969</v>
      </c>
      <c r="Z118" s="15">
        <f t="shared" si="67"/>
        <v>21.25</v>
      </c>
      <c r="AA118" s="15">
        <f t="shared" si="68"/>
        <v>23</v>
      </c>
      <c r="AC118" s="15">
        <f t="shared" si="69"/>
        <v>99</v>
      </c>
      <c r="AD118" s="15">
        <f t="shared" si="70"/>
        <v>108</v>
      </c>
      <c r="AF118" s="15">
        <f t="shared" ca="1" si="71"/>
        <v>10</v>
      </c>
      <c r="AH118" s="15">
        <f t="shared" si="72"/>
        <v>4</v>
      </c>
      <c r="AI118" s="38">
        <f t="shared" ca="1" si="57"/>
        <v>86.736283837354165</v>
      </c>
    </row>
    <row r="119" spans="1:35" x14ac:dyDescent="0.2">
      <c r="A119" s="15">
        <v>102</v>
      </c>
      <c r="B119" s="2">
        <f t="shared" si="73"/>
        <v>167.33</v>
      </c>
      <c r="C119" s="25">
        <v>21.8</v>
      </c>
      <c r="D119" s="25">
        <v>3.6</v>
      </c>
      <c r="E119" s="25">
        <v>87.55</v>
      </c>
      <c r="F119" s="3" t="str">
        <f t="shared" ca="1" si="74"/>
        <v>ИГЭ-5</v>
      </c>
      <c r="G119" s="30" t="str">
        <f t="shared" ca="1" si="75"/>
        <v>пыл.-глинист.</v>
      </c>
      <c r="I119" s="13">
        <f t="shared" ca="1" si="58"/>
        <v>14868</v>
      </c>
      <c r="J119" s="14">
        <f t="shared" ca="1" si="41"/>
        <v>0.35299999999999998</v>
      </c>
      <c r="L119" s="14">
        <f t="shared" ca="1" si="59"/>
        <v>0.43099999999999999</v>
      </c>
      <c r="M119" s="22">
        <f t="shared" ca="1" si="60"/>
        <v>7.5665089999999724</v>
      </c>
      <c r="N119" s="37">
        <f t="shared" ca="1" si="61"/>
        <v>1</v>
      </c>
      <c r="O119" s="37">
        <f t="shared" ca="1" si="62"/>
        <v>0</v>
      </c>
      <c r="Q119" s="22">
        <f t="shared" si="63"/>
        <v>18.8</v>
      </c>
      <c r="R119" s="22">
        <f t="shared" ca="1" si="64"/>
        <v>642.92948999999987</v>
      </c>
      <c r="S119" s="22">
        <f ca="1">IF(Q119="","",IF(Q119=0,0,SUMPRODUCT(OFFSET(M$18,MATCH(MIN(Q$18:Q$137),Q$18:Q$137,0),0,COUNT(M$18:M119)-MATCH(MIN(Q$18:Q$137),Q$18:Q$137,0),1),OFFSET(M$18,MATCH(MIN(Q$18:Q$137),Q$18:Q$137,0),1,COUNT(M$18:M119)-MATCH(MIN(Q$18:Q$137),Q$18:Q$137,0),1))*$T$6))</f>
        <v>617.12197259999994</v>
      </c>
      <c r="T119" s="22">
        <f t="shared" ca="1" si="65"/>
        <v>1260.0514625999999</v>
      </c>
      <c r="V119" s="22">
        <f ca="1">IF(Q119="","",IF(Q119=0,0,SUMPRODUCT(OFFSET(M$18,MATCH(MIN(Q$18:Q$137),Q$18:Q$137,0),0,COUNT(M$18:M119)-MATCH(MIN(Q$18:Q$137),Q$18:Q$137,0),1),OFFSET(M$18,MATCH(MIN(Q$18:Q$137),Q$18:Q$137,0),2,COUNT(M$18:M119)-MATCH(MIN(Q$18:Q$137),Q$18:Q$137,0),1))*$T$6*$T$14))</f>
        <v>0</v>
      </c>
      <c r="W119" s="29"/>
      <c r="X119" s="23">
        <f t="shared" ca="1" si="66"/>
        <v>96.423240324158996</v>
      </c>
      <c r="Z119" s="15">
        <f t="shared" si="67"/>
        <v>21.45</v>
      </c>
      <c r="AA119" s="15">
        <f t="shared" si="68"/>
        <v>23.2</v>
      </c>
      <c r="AC119" s="15">
        <f t="shared" si="69"/>
        <v>99</v>
      </c>
      <c r="AD119" s="15">
        <f t="shared" si="70"/>
        <v>108</v>
      </c>
      <c r="AF119" s="15">
        <f t="shared" ca="1" si="71"/>
        <v>10</v>
      </c>
      <c r="AH119" s="15">
        <f t="shared" si="72"/>
        <v>4</v>
      </c>
      <c r="AI119" s="38">
        <f t="shared" ca="1" si="57"/>
        <v>87.458721382457156</v>
      </c>
    </row>
    <row r="120" spans="1:35" x14ac:dyDescent="0.2">
      <c r="A120" s="15">
        <v>103</v>
      </c>
      <c r="B120" s="2">
        <f t="shared" si="73"/>
        <v>167.13</v>
      </c>
      <c r="C120" s="25">
        <v>22</v>
      </c>
      <c r="D120" s="25">
        <v>5.04</v>
      </c>
      <c r="E120" s="25">
        <v>50.68</v>
      </c>
      <c r="F120" s="3" t="str">
        <f t="shared" ca="1" si="74"/>
        <v>ИГЭ-5</v>
      </c>
      <c r="G120" s="30" t="str">
        <f t="shared" ca="1" si="75"/>
        <v>пыл.-глинист.</v>
      </c>
      <c r="I120" s="13">
        <f t="shared" ca="1" si="58"/>
        <v>16107</v>
      </c>
      <c r="J120" s="14">
        <f t="shared" ca="1" si="41"/>
        <v>0.33892999999999995</v>
      </c>
      <c r="L120" s="14">
        <f t="shared" ca="1" si="59"/>
        <v>0.67</v>
      </c>
      <c r="M120" s="22">
        <f t="shared" ca="1" si="60"/>
        <v>7.1689649999999743</v>
      </c>
      <c r="N120" s="37">
        <f t="shared" ca="1" si="61"/>
        <v>1</v>
      </c>
      <c r="O120" s="37">
        <f t="shared" ca="1" si="62"/>
        <v>0</v>
      </c>
      <c r="Q120" s="22">
        <f t="shared" si="63"/>
        <v>19</v>
      </c>
      <c r="R120" s="22">
        <f t="shared" ca="1" si="64"/>
        <v>668.74532497499979</v>
      </c>
      <c r="S120" s="22">
        <f ca="1">IF(Q120="","",IF(Q120=0,0,SUMPRODUCT(OFFSET(M$18,MATCH(MIN(Q$18:Q$137),Q$18:Q$137,0),0,COUNT(M$18:M120)-MATCH(MIN(Q$18:Q$137),Q$18:Q$137,0),1),OFFSET(M$18,MATCH(MIN(Q$18:Q$137),Q$18:Q$137,0),1,COUNT(M$18:M120)-MATCH(MIN(Q$18:Q$137),Q$18:Q$137,0),1))*$T$6))</f>
        <v>627.15852359999985</v>
      </c>
      <c r="T120" s="22">
        <f t="shared" ca="1" si="65"/>
        <v>1295.9038485749998</v>
      </c>
      <c r="V120" s="22">
        <f ca="1">IF(Q120="","",IF(Q120=0,0,SUMPRODUCT(OFFSET(M$18,MATCH(MIN(Q$18:Q$137),Q$18:Q$137,0),0,COUNT(M$18:M120)-MATCH(MIN(Q$18:Q$137),Q$18:Q$137,0),1),OFFSET(M$18,MATCH(MIN(Q$18:Q$137),Q$18:Q$137,0),2,COUNT(M$18:M120)-MATCH(MIN(Q$18:Q$137),Q$18:Q$137,0),1))*$T$6*$T$14))</f>
        <v>0</v>
      </c>
      <c r="W120" s="29"/>
      <c r="X120" s="23">
        <f t="shared" ca="1" si="66"/>
        <v>99.279607299694149</v>
      </c>
      <c r="Z120" s="15">
        <f t="shared" si="67"/>
        <v>21.65</v>
      </c>
      <c r="AA120" s="15">
        <f t="shared" si="68"/>
        <v>23.4</v>
      </c>
      <c r="AC120" s="15">
        <f t="shared" si="69"/>
        <v>100</v>
      </c>
      <c r="AD120" s="15">
        <f t="shared" si="70"/>
        <v>108</v>
      </c>
      <c r="AF120" s="15">
        <f t="shared" ca="1" si="71"/>
        <v>9</v>
      </c>
      <c r="AH120" s="15">
        <f t="shared" si="72"/>
        <v>4</v>
      </c>
      <c r="AI120" s="38">
        <f t="shared" ca="1" si="57"/>
        <v>90.049530430561603</v>
      </c>
    </row>
    <row r="121" spans="1:35" x14ac:dyDescent="0.2">
      <c r="A121" s="15">
        <v>104</v>
      </c>
      <c r="B121" s="2">
        <f t="shared" si="73"/>
        <v>166.93</v>
      </c>
      <c r="C121" s="25">
        <v>22.2</v>
      </c>
      <c r="D121" s="25">
        <v>10.56</v>
      </c>
      <c r="E121" s="25">
        <v>73.72</v>
      </c>
      <c r="F121" s="3" t="str">
        <f t="shared" ca="1" si="74"/>
        <v>ИГЭ-5</v>
      </c>
      <c r="G121" s="30" t="str">
        <f t="shared" ca="1" si="75"/>
        <v>пыл.-глинист.</v>
      </c>
      <c r="I121" s="13">
        <f t="shared" ca="1" si="58"/>
        <v>17535</v>
      </c>
      <c r="J121" s="14">
        <f t="shared" ca="1" si="41"/>
        <v>0.32464999999999999</v>
      </c>
      <c r="L121" s="14">
        <f t="shared" ca="1" si="59"/>
        <v>0.497</v>
      </c>
      <c r="M121" s="22">
        <f t="shared" ca="1" si="60"/>
        <v>7.0594439999999752</v>
      </c>
      <c r="N121" s="37">
        <f t="shared" ca="1" si="61"/>
        <v>1</v>
      </c>
      <c r="O121" s="37">
        <f t="shared" ca="1" si="62"/>
        <v>0</v>
      </c>
      <c r="Q121" s="22">
        <f t="shared" si="63"/>
        <v>19.2</v>
      </c>
      <c r="R121" s="22">
        <f t="shared" ca="1" si="64"/>
        <v>697.36037437499999</v>
      </c>
      <c r="S121" s="22">
        <f ca="1">IF(Q121="","",IF(Q121=0,0,SUMPRODUCT(OFFSET(M$18,MATCH(MIN(Q$18:Q$137),Q$18:Q$137,0),0,COUNT(M$18:M121)-MATCH(MIN(Q$18:Q$137),Q$18:Q$137,0),1),OFFSET(M$18,MATCH(MIN(Q$18:Q$137),Q$18:Q$137,0),1,COUNT(M$18:M121)-MATCH(MIN(Q$18:Q$137),Q$18:Q$137,0),1))*$T$6))</f>
        <v>637.04174519999981</v>
      </c>
      <c r="T121" s="22">
        <f t="shared" ca="1" si="65"/>
        <v>1334.4021195749997</v>
      </c>
      <c r="V121" s="22">
        <f ca="1">IF(Q121="","",IF(Q121=0,0,SUMPRODUCT(OFFSET(M$18,MATCH(MIN(Q$18:Q$137),Q$18:Q$137,0),0,COUNT(M$18:M121)-MATCH(MIN(Q$18:Q$137),Q$18:Q$137,0),1),OFFSET(M$18,MATCH(MIN(Q$18:Q$137),Q$18:Q$137,0),2,COUNT(M$18:M121)-MATCH(MIN(Q$18:Q$137),Q$18:Q$137,0),1))*$T$6*$T$14))</f>
        <v>0</v>
      </c>
      <c r="W121" s="29"/>
      <c r="X121" s="23">
        <f t="shared" ca="1" si="66"/>
        <v>102.3517447155963</v>
      </c>
      <c r="Z121" s="15">
        <f t="shared" si="67"/>
        <v>21.849999999999998</v>
      </c>
      <c r="AA121" s="15">
        <f t="shared" si="68"/>
        <v>23.599999999999998</v>
      </c>
      <c r="AC121" s="15">
        <f t="shared" si="69"/>
        <v>101</v>
      </c>
      <c r="AD121" s="15">
        <f t="shared" si="70"/>
        <v>108</v>
      </c>
      <c r="AF121" s="15">
        <f t="shared" ca="1" si="71"/>
        <v>8</v>
      </c>
      <c r="AH121" s="15">
        <f t="shared" si="72"/>
        <v>4</v>
      </c>
      <c r="AI121" s="38">
        <f t="shared" ca="1" si="57"/>
        <v>92.836049628658785</v>
      </c>
    </row>
    <row r="122" spans="1:35" x14ac:dyDescent="0.2">
      <c r="A122" s="15">
        <v>105</v>
      </c>
      <c r="B122" s="2">
        <f t="shared" si="73"/>
        <v>166.73</v>
      </c>
      <c r="C122" s="25">
        <v>22.4</v>
      </c>
      <c r="D122" s="25">
        <v>24.72</v>
      </c>
      <c r="E122" s="25">
        <v>23.04</v>
      </c>
      <c r="F122" s="3" t="str">
        <f t="shared" ca="1" si="74"/>
        <v>ИГЭ-4</v>
      </c>
      <c r="G122" s="30" t="str">
        <f t="shared" ca="1" si="75"/>
        <v>пыл.-глинист.</v>
      </c>
      <c r="I122" s="13">
        <f t="shared" ca="1" si="58"/>
        <v>19131</v>
      </c>
      <c r="J122" s="14">
        <f t="shared" ca="1" si="41"/>
        <v>0.30869000000000002</v>
      </c>
      <c r="L122" s="14">
        <f t="shared" ca="1" si="59"/>
        <v>0.96199999999999997</v>
      </c>
      <c r="M122" s="22">
        <f t="shared" ca="1" si="60"/>
        <v>5.8803319999999788</v>
      </c>
      <c r="N122" s="37">
        <f t="shared" ca="1" si="61"/>
        <v>1</v>
      </c>
      <c r="O122" s="37">
        <f t="shared" ca="1" si="62"/>
        <v>0</v>
      </c>
      <c r="Q122" s="22">
        <f t="shared" si="63"/>
        <v>19.399999999999999</v>
      </c>
      <c r="R122" s="22">
        <f t="shared" ca="1" si="64"/>
        <v>723.42967777499985</v>
      </c>
      <c r="S122" s="22">
        <f ca="1">IF(Q122="","",IF(Q122=0,0,SUMPRODUCT(OFFSET(M$18,MATCH(MIN(Q$18:Q$137),Q$18:Q$137,0),0,COUNT(M$18:M122)-MATCH(MIN(Q$18:Q$137),Q$18:Q$137,0),1),OFFSET(M$18,MATCH(MIN(Q$18:Q$137),Q$18:Q$137,0),1,COUNT(M$18:M122)-MATCH(MIN(Q$18:Q$137),Q$18:Q$137,0),1))*$T$6))</f>
        <v>645.27420999999981</v>
      </c>
      <c r="T122" s="22">
        <f t="shared" ca="1" si="65"/>
        <v>1368.7038877749997</v>
      </c>
      <c r="V122" s="22">
        <f ca="1">IF(Q122="","",IF(Q122=0,0,SUMPRODUCT(OFFSET(M$18,MATCH(MIN(Q$18:Q$137),Q$18:Q$137,0),0,COUNT(M$18:M122)-MATCH(MIN(Q$18:Q$137),Q$18:Q$137,0),1),OFFSET(M$18,MATCH(MIN(Q$18:Q$137),Q$18:Q$137,0),2,COUNT(M$18:M122)-MATCH(MIN(Q$18:Q$137),Q$18:Q$137,0),1))*$T$6*$T$14))</f>
        <v>0</v>
      </c>
      <c r="W122" s="29"/>
      <c r="X122" s="23">
        <f t="shared" ca="1" si="66"/>
        <v>105.08165968093778</v>
      </c>
      <c r="Z122" s="15">
        <f t="shared" si="67"/>
        <v>22.049999999999997</v>
      </c>
      <c r="AA122" s="15">
        <f t="shared" si="68"/>
        <v>23.799999999999997</v>
      </c>
      <c r="AC122" s="15">
        <f t="shared" si="69"/>
        <v>102</v>
      </c>
      <c r="AD122" s="15">
        <f t="shared" si="70"/>
        <v>108</v>
      </c>
      <c r="AF122" s="15">
        <f t="shared" ca="1" si="71"/>
        <v>7</v>
      </c>
      <c r="AH122" s="15">
        <f t="shared" si="72"/>
        <v>5</v>
      </c>
      <c r="AI122" s="38">
        <f t="shared" ca="1" si="57"/>
        <v>95.312162975907285</v>
      </c>
    </row>
    <row r="123" spans="1:35" x14ac:dyDescent="0.2">
      <c r="A123" s="15">
        <v>106</v>
      </c>
      <c r="B123" s="2">
        <f t="shared" si="73"/>
        <v>166.53</v>
      </c>
      <c r="C123" s="25">
        <v>22.6</v>
      </c>
      <c r="D123" s="25">
        <v>30</v>
      </c>
      <c r="E123" s="25">
        <v>41.47</v>
      </c>
      <c r="F123" s="3" t="str">
        <f t="shared" ca="1" si="74"/>
        <v>ИГЭ-4</v>
      </c>
      <c r="G123" s="30" t="str">
        <f t="shared" ca="1" si="75"/>
        <v>пыл.-глинист.</v>
      </c>
      <c r="I123" s="13">
        <f t="shared" ca="1" si="58"/>
        <v>25056</v>
      </c>
      <c r="J123" s="14">
        <f t="shared" ca="1" si="41"/>
        <v>0.24944</v>
      </c>
      <c r="L123" s="14">
        <f t="shared" ca="1" si="59"/>
        <v>0.73899999999999999</v>
      </c>
      <c r="M123" s="22">
        <f t="shared" ca="1" si="60"/>
        <v>5.281081000000075</v>
      </c>
      <c r="N123" s="37">
        <f t="shared" ca="1" si="61"/>
        <v>1</v>
      </c>
      <c r="O123" s="37">
        <f t="shared" ca="1" si="62"/>
        <v>0</v>
      </c>
      <c r="Q123" s="22">
        <f t="shared" si="63"/>
        <v>19.600000000000001</v>
      </c>
      <c r="R123" s="22">
        <f t="shared" ca="1" si="64"/>
        <v>765.6211583999999</v>
      </c>
      <c r="S123" s="22">
        <f ca="1">IF(Q123="","",IF(Q123=0,0,SUMPRODUCT(OFFSET(M$18,MATCH(MIN(Q$18:Q$137),Q$18:Q$137,0),0,COUNT(M$18:M123)-MATCH(MIN(Q$18:Q$137),Q$18:Q$137,0),1),OFFSET(M$18,MATCH(MIN(Q$18:Q$137),Q$18:Q$137,0),1,COUNT(M$18:M123)-MATCH(MIN(Q$18:Q$137),Q$18:Q$137,0),1))*$T$6))</f>
        <v>652.66772339999989</v>
      </c>
      <c r="T123" s="22">
        <f t="shared" ca="1" si="65"/>
        <v>1418.2888817999997</v>
      </c>
      <c r="V123" s="22">
        <f ca="1">IF(Q123="","",IF(Q123=0,0,SUMPRODUCT(OFFSET(M$18,MATCH(MIN(Q$18:Q$137),Q$18:Q$137,0),0,COUNT(M$18:M123)-MATCH(MIN(Q$18:Q$137),Q$18:Q$137,0),1),OFFSET(M$18,MATCH(MIN(Q$18:Q$137),Q$18:Q$137,0),2,COUNT(M$18:M123)-MATCH(MIN(Q$18:Q$137),Q$18:Q$137,0),1))*$T$6*$T$14))</f>
        <v>0</v>
      </c>
      <c r="W123" s="29"/>
      <c r="X123" s="23">
        <f t="shared" ca="1" si="66"/>
        <v>109.05791314373086</v>
      </c>
      <c r="Z123" s="15">
        <f t="shared" si="67"/>
        <v>22.25</v>
      </c>
      <c r="AA123" s="15">
        <f t="shared" si="68"/>
        <v>24</v>
      </c>
      <c r="AC123" s="15">
        <f t="shared" si="69"/>
        <v>104</v>
      </c>
      <c r="AD123" s="15">
        <f t="shared" si="70"/>
        <v>108</v>
      </c>
      <c r="AF123" s="15">
        <f t="shared" ca="1" si="71"/>
        <v>5</v>
      </c>
      <c r="AH123" s="15">
        <f t="shared" si="72"/>
        <v>5</v>
      </c>
      <c r="AI123" s="38">
        <f t="shared" ca="1" si="57"/>
        <v>98.918742080481508</v>
      </c>
    </row>
    <row r="124" spans="1:35" x14ac:dyDescent="0.2">
      <c r="A124" s="15">
        <v>107</v>
      </c>
      <c r="B124" s="2">
        <f t="shared" si="73"/>
        <v>166.33</v>
      </c>
      <c r="C124" s="25">
        <v>22.8</v>
      </c>
      <c r="D124" s="25">
        <v>30</v>
      </c>
      <c r="E124" s="25">
        <v>36.86</v>
      </c>
      <c r="F124" s="3" t="str">
        <f t="shared" ca="1" si="74"/>
        <v>ИГЭ-4</v>
      </c>
      <c r="G124" s="30" t="str">
        <f t="shared" ca="1" si="75"/>
        <v>пыл.-глинист.</v>
      </c>
      <c r="I124" s="13">
        <f t="shared" ca="1" si="58"/>
        <v>25056</v>
      </c>
      <c r="J124" s="14">
        <f t="shared" ca="1" si="41"/>
        <v>0.24944</v>
      </c>
      <c r="L124" s="14">
        <f t="shared" ca="1" si="59"/>
        <v>0.78900000000000003</v>
      </c>
      <c r="M124" s="22">
        <f t="shared" ca="1" si="60"/>
        <v>5.9728869999999787</v>
      </c>
      <c r="N124" s="37">
        <f t="shared" ca="1" si="61"/>
        <v>1</v>
      </c>
      <c r="O124" s="37">
        <f t="shared" ca="1" si="62"/>
        <v>0</v>
      </c>
      <c r="Q124" s="22">
        <f t="shared" si="63"/>
        <v>19.8</v>
      </c>
      <c r="R124" s="22">
        <f t="shared" ca="1" si="64"/>
        <v>765.6211583999999</v>
      </c>
      <c r="S124" s="22">
        <f ca="1">IF(Q124="","",IF(Q124=0,0,SUMPRODUCT(OFFSET(M$18,MATCH(MIN(Q$18:Q$137),Q$18:Q$137,0),0,COUNT(M$18:M124)-MATCH(MIN(Q$18:Q$137),Q$18:Q$137,0),1),OFFSET(M$18,MATCH(MIN(Q$18:Q$137),Q$18:Q$137,0),1,COUNT(M$18:M124)-MATCH(MIN(Q$18:Q$137),Q$18:Q$137,0),1))*$T$6))</f>
        <v>661.02976519999982</v>
      </c>
      <c r="T124" s="22">
        <f t="shared" ca="1" si="65"/>
        <v>1426.6509235999997</v>
      </c>
      <c r="V124" s="22">
        <f ca="1">IF(Q124="","",IF(Q124=0,0,SUMPRODUCT(OFFSET(M$18,MATCH(MIN(Q$18:Q$137),Q$18:Q$137,0),0,COUNT(M$18:M124)-MATCH(MIN(Q$18:Q$137),Q$18:Q$137,0),1),OFFSET(M$18,MATCH(MIN(Q$18:Q$137),Q$18:Q$137,0),2,COUNT(M$18:M124)-MATCH(MIN(Q$18:Q$137),Q$18:Q$137,0),1))*$T$6*$T$14))</f>
        <v>0</v>
      </c>
      <c r="W124" s="29"/>
      <c r="X124" s="23">
        <f t="shared" ca="1" si="66"/>
        <v>109.67245796432208</v>
      </c>
      <c r="Z124" s="15">
        <f t="shared" si="67"/>
        <v>22.45</v>
      </c>
      <c r="AA124" s="15">
        <f t="shared" si="68"/>
        <v>24.2</v>
      </c>
      <c r="AC124" s="15">
        <f t="shared" si="69"/>
        <v>104</v>
      </c>
      <c r="AD124" s="15">
        <f t="shared" si="70"/>
        <v>108</v>
      </c>
      <c r="AF124" s="15">
        <f t="shared" ca="1" si="71"/>
        <v>5</v>
      </c>
      <c r="AH124" s="15">
        <f t="shared" si="72"/>
        <v>5</v>
      </c>
      <c r="AI124" s="38">
        <f t="shared" ca="1" si="57"/>
        <v>99.476152348591469</v>
      </c>
    </row>
    <row r="125" spans="1:35" x14ac:dyDescent="0.2">
      <c r="A125" s="15">
        <v>108</v>
      </c>
      <c r="B125" s="2">
        <f t="shared" si="73"/>
        <v>166.13</v>
      </c>
      <c r="C125" s="25">
        <v>23</v>
      </c>
      <c r="D125" s="25">
        <v>30</v>
      </c>
      <c r="E125" s="25">
        <v>36.86</v>
      </c>
      <c r="F125" s="3" t="str">
        <f t="shared" ca="1" si="74"/>
        <v>ИГЭ-4</v>
      </c>
      <c r="G125" s="30" t="str">
        <f t="shared" ca="1" si="75"/>
        <v>пыл.-глинист.</v>
      </c>
      <c r="I125" s="13">
        <f t="shared" ca="1" si="58"/>
        <v>28680</v>
      </c>
      <c r="J125" s="14">
        <f t="shared" ca="1" si="41"/>
        <v>0.2132</v>
      </c>
      <c r="L125" s="14">
        <f t="shared" ca="1" si="59"/>
        <v>0.78900000000000003</v>
      </c>
      <c r="M125" s="22">
        <f t="shared" ca="1" si="60"/>
        <v>5.8165079999999794</v>
      </c>
      <c r="N125" s="37">
        <f t="shared" ca="1" si="61"/>
        <v>1</v>
      </c>
      <c r="O125" s="37">
        <f t="shared" ca="1" si="62"/>
        <v>0</v>
      </c>
      <c r="Q125" s="22">
        <f t="shared" si="63"/>
        <v>20</v>
      </c>
      <c r="R125" s="22">
        <f t="shared" ca="1" si="64"/>
        <v>749.03555999999992</v>
      </c>
      <c r="S125" s="22">
        <f ca="1">IF(Q125="","",IF(Q125=0,0,SUMPRODUCT(OFFSET(M$18,MATCH(MIN(Q$18:Q$137),Q$18:Q$137,0),0,COUNT(M$18:M125)-MATCH(MIN(Q$18:Q$137),Q$18:Q$137,0),1),OFFSET(M$18,MATCH(MIN(Q$18:Q$137),Q$18:Q$137,0),1,COUNT(M$18:M125)-MATCH(MIN(Q$18:Q$137),Q$18:Q$137,0),1))*$T$6))</f>
        <v>669.17287639999984</v>
      </c>
      <c r="T125" s="22">
        <f t="shared" ca="1" si="65"/>
        <v>1418.2084363999998</v>
      </c>
      <c r="V125" s="22">
        <f ca="1">IF(Q125="","",IF(Q125=0,0,SUMPRODUCT(OFFSET(M$18,MATCH(MIN(Q$18:Q$137),Q$18:Q$137,0),0,COUNT(M$18:M125)-MATCH(MIN(Q$18:Q$137),Q$18:Q$137,0),1),OFFSET(M$18,MATCH(MIN(Q$18:Q$137),Q$18:Q$137,0),2,COUNT(M$18:M125)-MATCH(MIN(Q$18:Q$137),Q$18:Q$137,0),1))*$T$6*$T$14))</f>
        <v>0</v>
      </c>
      <c r="W125" s="29"/>
      <c r="X125" s="23">
        <f t="shared" ca="1" si="66"/>
        <v>108.91660286646277</v>
      </c>
      <c r="Z125" s="15">
        <f t="shared" si="67"/>
        <v>22.65</v>
      </c>
      <c r="AA125" s="15">
        <f t="shared" si="68"/>
        <v>24.4</v>
      </c>
      <c r="AC125" s="15">
        <f t="shared" si="69"/>
        <v>105</v>
      </c>
      <c r="AD125" s="15">
        <f t="shared" si="70"/>
        <v>108</v>
      </c>
      <c r="AF125" s="15">
        <f t="shared" ca="1" si="71"/>
        <v>4</v>
      </c>
      <c r="AH125" s="15">
        <f t="shared" si="72"/>
        <v>5</v>
      </c>
      <c r="AI125" s="38">
        <f t="shared" ca="1" si="57"/>
        <v>98.790569493390265</v>
      </c>
    </row>
    <row r="126" spans="1:35" x14ac:dyDescent="0.2">
      <c r="A126" s="15">
        <v>109</v>
      </c>
      <c r="B126" s="2" t="str">
        <f t="shared" si="73"/>
        <v/>
      </c>
      <c r="C126" s="25"/>
      <c r="D126" s="25"/>
      <c r="E126" s="25"/>
      <c r="F126" s="3" t="str">
        <f t="shared" ca="1" si="74"/>
        <v/>
      </c>
      <c r="G126" s="30" t="str">
        <f t="shared" ca="1" si="75"/>
        <v/>
      </c>
      <c r="I126" s="13" t="str">
        <f t="shared" ca="1" si="58"/>
        <v/>
      </c>
      <c r="J126" s="14" t="str">
        <f t="shared" ca="1" si="41"/>
        <v/>
      </c>
      <c r="L126" s="14" t="str">
        <f t="shared" ca="1" si="59"/>
        <v/>
      </c>
      <c r="M126" s="22" t="str">
        <f t="shared" ca="1" si="60"/>
        <v/>
      </c>
      <c r="N126" s="37" t="str">
        <f t="shared" ca="1" si="61"/>
        <v/>
      </c>
      <c r="O126" s="37" t="str">
        <f t="shared" ca="1" si="62"/>
        <v/>
      </c>
      <c r="Q126" s="22" t="str">
        <f t="shared" si="63"/>
        <v/>
      </c>
      <c r="R126" s="22" t="str">
        <f t="shared" si="64"/>
        <v/>
      </c>
      <c r="S126" s="22" t="str">
        <f ca="1">IF(Q126="","",IF(Q126=0,0,SUMPRODUCT(OFFSET(M$18,MATCH(MIN(Q$18:Q$137),Q$18:Q$137,0),0,COUNT(M$18:M126)-MATCH(MIN(Q$18:Q$137),Q$18:Q$137,0),1),OFFSET(M$18,MATCH(MIN(Q$18:Q$137),Q$18:Q$137,0),1,COUNT(M$18:M126)-MATCH(MIN(Q$18:Q$137),Q$18:Q$137,0),1))*$T$6))</f>
        <v/>
      </c>
      <c r="T126" s="22" t="str">
        <f t="shared" si="65"/>
        <v/>
      </c>
      <c r="V126" s="22" t="str">
        <f ca="1">IF(Q126="","",IF(Q126=0,0,SUMPRODUCT(OFFSET(M$18,MATCH(MIN(Q$18:Q$137),Q$18:Q$137,0),0,COUNT(M$18:M126)-MATCH(MIN(Q$18:Q$137),Q$18:Q$137,0),1),OFFSET(M$18,MATCH(MIN(Q$18:Q$137),Q$18:Q$137,0),2,COUNT(M$18:M126)-MATCH(MIN(Q$18:Q$137),Q$18:Q$137,0),1))*$T$6*$T$14))</f>
        <v/>
      </c>
      <c r="W126" s="29"/>
      <c r="X126" s="23" t="str">
        <f t="shared" si="66"/>
        <v/>
      </c>
      <c r="Z126" s="15">
        <f t="shared" si="67"/>
        <v>-0.35</v>
      </c>
      <c r="AA126" s="15">
        <f t="shared" si="68"/>
        <v>1.4</v>
      </c>
      <c r="AC126" s="15">
        <f t="shared" si="69"/>
        <v>1</v>
      </c>
      <c r="AD126" s="15" t="e">
        <f t="shared" si="70"/>
        <v>#NUM!</v>
      </c>
      <c r="AF126" s="15">
        <f t="shared" ca="1" si="71"/>
        <v>0</v>
      </c>
      <c r="AH126" s="15" t="e">
        <f t="shared" si="72"/>
        <v>#N/A</v>
      </c>
      <c r="AI126" s="38" t="e">
        <f t="shared" si="57"/>
        <v>#VALUE!</v>
      </c>
    </row>
    <row r="127" spans="1:35" x14ac:dyDescent="0.2">
      <c r="A127" s="15">
        <v>110</v>
      </c>
      <c r="B127" s="2" t="str">
        <f t="shared" si="73"/>
        <v/>
      </c>
      <c r="C127" s="25"/>
      <c r="D127" s="25"/>
      <c r="E127" s="25"/>
      <c r="F127" s="3" t="str">
        <f t="shared" ca="1" si="74"/>
        <v/>
      </c>
      <c r="G127" s="30" t="str">
        <f t="shared" ca="1" si="75"/>
        <v/>
      </c>
      <c r="I127" s="13" t="str">
        <f t="shared" ca="1" si="58"/>
        <v/>
      </c>
      <c r="J127" s="14" t="str">
        <f t="shared" ca="1" si="41"/>
        <v/>
      </c>
      <c r="L127" s="14" t="str">
        <f t="shared" ca="1" si="59"/>
        <v/>
      </c>
      <c r="M127" s="22" t="str">
        <f t="shared" ca="1" si="60"/>
        <v/>
      </c>
      <c r="N127" s="37" t="str">
        <f t="shared" ca="1" si="61"/>
        <v/>
      </c>
      <c r="O127" s="37" t="str">
        <f t="shared" ca="1" si="62"/>
        <v/>
      </c>
      <c r="Q127" s="22" t="str">
        <f t="shared" si="63"/>
        <v/>
      </c>
      <c r="R127" s="22" t="str">
        <f t="shared" si="64"/>
        <v/>
      </c>
      <c r="S127" s="22" t="str">
        <f ca="1">IF(Q127="","",IF(Q127=0,0,SUMPRODUCT(OFFSET(M$18,MATCH(MIN(Q$18:Q$137),Q$18:Q$137,0),0,COUNT(M$18:M127)-MATCH(MIN(Q$18:Q$137),Q$18:Q$137,0),1),OFFSET(M$18,MATCH(MIN(Q$18:Q$137),Q$18:Q$137,0),1,COUNT(M$18:M127)-MATCH(MIN(Q$18:Q$137),Q$18:Q$137,0),1))*$T$6))</f>
        <v/>
      </c>
      <c r="T127" s="22" t="str">
        <f t="shared" si="65"/>
        <v/>
      </c>
      <c r="V127" s="22" t="str">
        <f ca="1">IF(Q127="","",IF(Q127=0,0,SUMPRODUCT(OFFSET(M$18,MATCH(MIN(Q$18:Q$137),Q$18:Q$137,0),0,COUNT(M$18:M127)-MATCH(MIN(Q$18:Q$137),Q$18:Q$137,0),1),OFFSET(M$18,MATCH(MIN(Q$18:Q$137),Q$18:Q$137,0),2,COUNT(M$18:M127)-MATCH(MIN(Q$18:Q$137),Q$18:Q$137,0),1))*$T$6*$T$14))</f>
        <v/>
      </c>
      <c r="W127" s="29"/>
      <c r="X127" s="23" t="str">
        <f t="shared" si="66"/>
        <v/>
      </c>
      <c r="Z127" s="15">
        <f t="shared" si="67"/>
        <v>-0.35</v>
      </c>
      <c r="AA127" s="15">
        <f t="shared" si="68"/>
        <v>1.4</v>
      </c>
      <c r="AC127" s="15" t="e">
        <f t="shared" si="69"/>
        <v>#DIV/0!</v>
      </c>
      <c r="AD127" s="15" t="e">
        <f t="shared" si="70"/>
        <v>#N/A</v>
      </c>
      <c r="AF127" s="15">
        <f t="shared" ca="1" si="71"/>
        <v>0</v>
      </c>
      <c r="AH127" s="15" t="e">
        <f t="shared" si="72"/>
        <v>#N/A</v>
      </c>
      <c r="AI127" s="38" t="e">
        <f t="shared" si="57"/>
        <v>#VALUE!</v>
      </c>
    </row>
    <row r="128" spans="1:35" x14ac:dyDescent="0.2">
      <c r="A128" s="15">
        <v>111</v>
      </c>
      <c r="B128" s="2" t="str">
        <f t="shared" si="73"/>
        <v/>
      </c>
      <c r="C128" s="25"/>
      <c r="D128" s="25"/>
      <c r="E128" s="25"/>
      <c r="F128" s="3" t="str">
        <f t="shared" ca="1" si="74"/>
        <v/>
      </c>
      <c r="G128" s="30" t="str">
        <f t="shared" ca="1" si="75"/>
        <v/>
      </c>
      <c r="I128" s="13" t="str">
        <f t="shared" ca="1" si="58"/>
        <v/>
      </c>
      <c r="J128" s="14" t="str">
        <f t="shared" ca="1" si="41"/>
        <v/>
      </c>
      <c r="L128" s="14" t="str">
        <f t="shared" ca="1" si="59"/>
        <v/>
      </c>
      <c r="M128" s="22" t="str">
        <f t="shared" ca="1" si="60"/>
        <v/>
      </c>
      <c r="N128" s="37" t="str">
        <f t="shared" ca="1" si="61"/>
        <v/>
      </c>
      <c r="O128" s="37" t="str">
        <f t="shared" ca="1" si="62"/>
        <v/>
      </c>
      <c r="Q128" s="22" t="str">
        <f t="shared" si="63"/>
        <v/>
      </c>
      <c r="R128" s="22" t="str">
        <f t="shared" si="64"/>
        <v/>
      </c>
      <c r="S128" s="22" t="str">
        <f ca="1">IF(Q128="","",IF(Q128=0,0,SUMPRODUCT(OFFSET(M$18,MATCH(MIN(Q$18:Q$137),Q$18:Q$137,0),0,COUNT(M$18:M128)-MATCH(MIN(Q$18:Q$137),Q$18:Q$137,0),1),OFFSET(M$18,MATCH(MIN(Q$18:Q$137),Q$18:Q$137,0),1,COUNT(M$18:M128)-MATCH(MIN(Q$18:Q$137),Q$18:Q$137,0),1))*$T$6))</f>
        <v/>
      </c>
      <c r="T128" s="22" t="str">
        <f t="shared" si="65"/>
        <v/>
      </c>
      <c r="V128" s="22" t="str">
        <f ca="1">IF(Q128="","",IF(Q128=0,0,SUMPRODUCT(OFFSET(M$18,MATCH(MIN(Q$18:Q$137),Q$18:Q$137,0),0,COUNT(M$18:M128)-MATCH(MIN(Q$18:Q$137),Q$18:Q$137,0),1),OFFSET(M$18,MATCH(MIN(Q$18:Q$137),Q$18:Q$137,0),2,COUNT(M$18:M128)-MATCH(MIN(Q$18:Q$137),Q$18:Q$137,0),1))*$T$6*$T$14))</f>
        <v/>
      </c>
      <c r="W128" s="29"/>
      <c r="X128" s="23" t="str">
        <f t="shared" si="66"/>
        <v/>
      </c>
      <c r="Z128" s="15">
        <f t="shared" si="67"/>
        <v>-0.35</v>
      </c>
      <c r="AA128" s="15">
        <f t="shared" si="68"/>
        <v>1.4</v>
      </c>
      <c r="AC128" s="15" t="e">
        <f t="shared" si="69"/>
        <v>#DIV/0!</v>
      </c>
      <c r="AD128" s="15" t="e">
        <f t="shared" si="70"/>
        <v>#N/A</v>
      </c>
      <c r="AF128" s="15">
        <f t="shared" ca="1" si="71"/>
        <v>0</v>
      </c>
      <c r="AH128" s="15" t="e">
        <f t="shared" si="72"/>
        <v>#N/A</v>
      </c>
      <c r="AI128" s="38" t="e">
        <f t="shared" si="57"/>
        <v>#VALUE!</v>
      </c>
    </row>
    <row r="129" spans="1:35" x14ac:dyDescent="0.2">
      <c r="A129" s="15">
        <v>112</v>
      </c>
      <c r="B129" s="2" t="str">
        <f t="shared" si="73"/>
        <v/>
      </c>
      <c r="C129" s="25"/>
      <c r="D129" s="25"/>
      <c r="E129" s="25"/>
      <c r="F129" s="3" t="str">
        <f t="shared" ca="1" si="74"/>
        <v/>
      </c>
      <c r="G129" s="30" t="str">
        <f t="shared" ca="1" si="75"/>
        <v/>
      </c>
      <c r="I129" s="13" t="str">
        <f t="shared" ca="1" si="58"/>
        <v/>
      </c>
      <c r="J129" s="14" t="str">
        <f t="shared" ca="1" si="41"/>
        <v/>
      </c>
      <c r="L129" s="14" t="str">
        <f t="shared" ca="1" si="59"/>
        <v/>
      </c>
      <c r="M129" s="22" t="str">
        <f t="shared" ca="1" si="60"/>
        <v/>
      </c>
      <c r="N129" s="37" t="str">
        <f t="shared" ca="1" si="61"/>
        <v/>
      </c>
      <c r="O129" s="37" t="str">
        <f t="shared" ca="1" si="62"/>
        <v/>
      </c>
      <c r="Q129" s="22" t="str">
        <f t="shared" si="63"/>
        <v/>
      </c>
      <c r="R129" s="22" t="str">
        <f t="shared" si="64"/>
        <v/>
      </c>
      <c r="S129" s="22" t="str">
        <f ca="1">IF(Q129="","",IF(Q129=0,0,SUMPRODUCT(OFFSET(M$18,MATCH(MIN(Q$18:Q$137),Q$18:Q$137,0),0,COUNT(M$18:M129)-MATCH(MIN(Q$18:Q$137),Q$18:Q$137,0),1),OFFSET(M$18,MATCH(MIN(Q$18:Q$137),Q$18:Q$137,0),1,COUNT(M$18:M129)-MATCH(MIN(Q$18:Q$137),Q$18:Q$137,0),1))*$T$6))</f>
        <v/>
      </c>
      <c r="T129" s="22" t="str">
        <f t="shared" si="65"/>
        <v/>
      </c>
      <c r="V129" s="22" t="str">
        <f ca="1">IF(Q129="","",IF(Q129=0,0,SUMPRODUCT(OFFSET(M$18,MATCH(MIN(Q$18:Q$137),Q$18:Q$137,0),0,COUNT(M$18:M129)-MATCH(MIN(Q$18:Q$137),Q$18:Q$137,0),1),OFFSET(M$18,MATCH(MIN(Q$18:Q$137),Q$18:Q$137,0),2,COUNT(M$18:M129)-MATCH(MIN(Q$18:Q$137),Q$18:Q$137,0),1))*$T$6*$T$14))</f>
        <v/>
      </c>
      <c r="W129" s="29"/>
      <c r="X129" s="23" t="str">
        <f t="shared" si="66"/>
        <v/>
      </c>
      <c r="Z129" s="15">
        <f t="shared" si="67"/>
        <v>-0.35</v>
      </c>
      <c r="AA129" s="15">
        <f t="shared" si="68"/>
        <v>1.4</v>
      </c>
      <c r="AC129" s="15" t="e">
        <f t="shared" si="69"/>
        <v>#DIV/0!</v>
      </c>
      <c r="AD129" s="15" t="e">
        <f t="shared" si="70"/>
        <v>#N/A</v>
      </c>
      <c r="AF129" s="15">
        <f t="shared" ca="1" si="71"/>
        <v>0</v>
      </c>
      <c r="AH129" s="15" t="e">
        <f t="shared" si="72"/>
        <v>#N/A</v>
      </c>
      <c r="AI129" s="38" t="e">
        <f t="shared" si="57"/>
        <v>#VALUE!</v>
      </c>
    </row>
    <row r="130" spans="1:35" x14ac:dyDescent="0.2">
      <c r="A130" s="15">
        <v>113</v>
      </c>
      <c r="B130" s="2" t="str">
        <f t="shared" si="73"/>
        <v/>
      </c>
      <c r="C130" s="25"/>
      <c r="D130" s="25"/>
      <c r="E130" s="25"/>
      <c r="F130" s="3" t="str">
        <f t="shared" ca="1" si="74"/>
        <v/>
      </c>
      <c r="G130" s="30" t="str">
        <f t="shared" ca="1" si="75"/>
        <v/>
      </c>
      <c r="I130" s="13" t="str">
        <f t="shared" ca="1" si="58"/>
        <v/>
      </c>
      <c r="J130" s="14" t="str">
        <f t="shared" ca="1" si="41"/>
        <v/>
      </c>
      <c r="L130" s="14" t="str">
        <f t="shared" ca="1" si="59"/>
        <v/>
      </c>
      <c r="M130" s="22" t="str">
        <f t="shared" ca="1" si="60"/>
        <v/>
      </c>
      <c r="N130" s="37" t="str">
        <f t="shared" ca="1" si="61"/>
        <v/>
      </c>
      <c r="O130" s="37" t="str">
        <f t="shared" ca="1" si="62"/>
        <v/>
      </c>
      <c r="Q130" s="22" t="str">
        <f t="shared" si="63"/>
        <v/>
      </c>
      <c r="R130" s="22" t="str">
        <f t="shared" si="64"/>
        <v/>
      </c>
      <c r="S130" s="22" t="str">
        <f ca="1">IF(Q130="","",IF(Q130=0,0,SUMPRODUCT(OFFSET(M$18,MATCH(MIN(Q$18:Q$137),Q$18:Q$137,0),0,COUNT(M$18:M130)-MATCH(MIN(Q$18:Q$137),Q$18:Q$137,0),1),OFFSET(M$18,MATCH(MIN(Q$18:Q$137),Q$18:Q$137,0),1,COUNT(M$18:M130)-MATCH(MIN(Q$18:Q$137),Q$18:Q$137,0),1))*$T$6))</f>
        <v/>
      </c>
      <c r="T130" s="22" t="str">
        <f t="shared" si="65"/>
        <v/>
      </c>
      <c r="V130" s="22" t="str">
        <f ca="1">IF(Q130="","",IF(Q130=0,0,SUMPRODUCT(OFFSET(M$18,MATCH(MIN(Q$18:Q$137),Q$18:Q$137,0),0,COUNT(M$18:M130)-MATCH(MIN(Q$18:Q$137),Q$18:Q$137,0),1),OFFSET(M$18,MATCH(MIN(Q$18:Q$137),Q$18:Q$137,0),2,COUNT(M$18:M130)-MATCH(MIN(Q$18:Q$137),Q$18:Q$137,0),1))*$T$6*$T$14))</f>
        <v/>
      </c>
      <c r="W130" s="29"/>
      <c r="X130" s="23" t="str">
        <f t="shared" si="66"/>
        <v/>
      </c>
      <c r="Z130" s="15">
        <f t="shared" si="67"/>
        <v>-0.35</v>
      </c>
      <c r="AA130" s="15">
        <f t="shared" si="68"/>
        <v>1.4</v>
      </c>
      <c r="AC130" s="15" t="e">
        <f t="shared" si="69"/>
        <v>#DIV/0!</v>
      </c>
      <c r="AD130" s="15" t="e">
        <f t="shared" si="70"/>
        <v>#N/A</v>
      </c>
      <c r="AF130" s="15">
        <f t="shared" ca="1" si="71"/>
        <v>0</v>
      </c>
      <c r="AH130" s="15" t="e">
        <f t="shared" si="72"/>
        <v>#N/A</v>
      </c>
      <c r="AI130" s="38" t="e">
        <f t="shared" si="57"/>
        <v>#VALUE!</v>
      </c>
    </row>
    <row r="131" spans="1:35" x14ac:dyDescent="0.2">
      <c r="A131" s="15">
        <v>114</v>
      </c>
      <c r="B131" s="2" t="str">
        <f t="shared" si="73"/>
        <v/>
      </c>
      <c r="C131" s="25"/>
      <c r="D131" s="25"/>
      <c r="E131" s="25"/>
      <c r="F131" s="3" t="str">
        <f t="shared" ca="1" si="74"/>
        <v/>
      </c>
      <c r="G131" s="30" t="str">
        <f t="shared" ca="1" si="75"/>
        <v/>
      </c>
      <c r="I131" s="13" t="str">
        <f t="shared" ca="1" si="58"/>
        <v/>
      </c>
      <c r="J131" s="14" t="str">
        <f t="shared" ca="1" si="41"/>
        <v/>
      </c>
      <c r="L131" s="14" t="str">
        <f t="shared" ca="1" si="59"/>
        <v/>
      </c>
      <c r="M131" s="22" t="str">
        <f t="shared" ca="1" si="60"/>
        <v/>
      </c>
      <c r="N131" s="37" t="str">
        <f t="shared" ca="1" si="61"/>
        <v/>
      </c>
      <c r="O131" s="37" t="str">
        <f t="shared" ca="1" si="62"/>
        <v/>
      </c>
      <c r="Q131" s="22" t="str">
        <f t="shared" si="63"/>
        <v/>
      </c>
      <c r="R131" s="22" t="str">
        <f t="shared" si="64"/>
        <v/>
      </c>
      <c r="S131" s="22" t="str">
        <f ca="1">IF(Q131="","",IF(Q131=0,0,SUMPRODUCT(OFFSET(M$18,MATCH(MIN(Q$18:Q$137),Q$18:Q$137,0),0,COUNT(M$18:M131)-MATCH(MIN(Q$18:Q$137),Q$18:Q$137,0),1),OFFSET(M$18,MATCH(MIN(Q$18:Q$137),Q$18:Q$137,0),1,COUNT(M$18:M131)-MATCH(MIN(Q$18:Q$137),Q$18:Q$137,0),1))*$T$6))</f>
        <v/>
      </c>
      <c r="T131" s="22" t="str">
        <f t="shared" si="65"/>
        <v/>
      </c>
      <c r="V131" s="22" t="str">
        <f ca="1">IF(Q131="","",IF(Q131=0,0,SUMPRODUCT(OFFSET(M$18,MATCH(MIN(Q$18:Q$137),Q$18:Q$137,0),0,COUNT(M$18:M131)-MATCH(MIN(Q$18:Q$137),Q$18:Q$137,0),1),OFFSET(M$18,MATCH(MIN(Q$18:Q$137),Q$18:Q$137,0),2,COUNT(M$18:M131)-MATCH(MIN(Q$18:Q$137),Q$18:Q$137,0),1))*$T$6*$T$14))</f>
        <v/>
      </c>
      <c r="W131" s="29"/>
      <c r="X131" s="23" t="str">
        <f t="shared" si="66"/>
        <v/>
      </c>
      <c r="Z131" s="15">
        <f t="shared" si="67"/>
        <v>-0.35</v>
      </c>
      <c r="AA131" s="15">
        <f t="shared" si="68"/>
        <v>1.4</v>
      </c>
      <c r="AC131" s="15" t="e">
        <f t="shared" si="69"/>
        <v>#DIV/0!</v>
      </c>
      <c r="AD131" s="15" t="e">
        <f t="shared" si="70"/>
        <v>#N/A</v>
      </c>
      <c r="AF131" s="15">
        <f t="shared" ca="1" si="71"/>
        <v>0</v>
      </c>
      <c r="AH131" s="15" t="e">
        <f t="shared" si="72"/>
        <v>#N/A</v>
      </c>
      <c r="AI131" s="38" t="e">
        <f t="shared" si="57"/>
        <v>#VALUE!</v>
      </c>
    </row>
    <row r="132" spans="1:35" x14ac:dyDescent="0.2">
      <c r="A132" s="15">
        <v>115</v>
      </c>
      <c r="B132" s="2" t="str">
        <f t="shared" si="73"/>
        <v/>
      </c>
      <c r="C132" s="25"/>
      <c r="D132" s="25"/>
      <c r="E132" s="25"/>
      <c r="F132" s="3" t="str">
        <f t="shared" ca="1" si="74"/>
        <v/>
      </c>
      <c r="G132" s="30" t="str">
        <f t="shared" ca="1" si="75"/>
        <v/>
      </c>
      <c r="I132" s="13" t="str">
        <f t="shared" ca="1" si="58"/>
        <v/>
      </c>
      <c r="J132" s="14" t="str">
        <f t="shared" ca="1" si="41"/>
        <v/>
      </c>
      <c r="L132" s="14" t="str">
        <f t="shared" ca="1" si="59"/>
        <v/>
      </c>
      <c r="M132" s="22" t="str">
        <f t="shared" ca="1" si="60"/>
        <v/>
      </c>
      <c r="N132" s="37" t="str">
        <f t="shared" ca="1" si="61"/>
        <v/>
      </c>
      <c r="O132" s="37" t="str">
        <f t="shared" ca="1" si="62"/>
        <v/>
      </c>
      <c r="Q132" s="22" t="str">
        <f t="shared" si="63"/>
        <v/>
      </c>
      <c r="R132" s="22" t="str">
        <f t="shared" si="64"/>
        <v/>
      </c>
      <c r="S132" s="22" t="str">
        <f ca="1">IF(Q132="","",IF(Q132=0,0,SUMPRODUCT(OFFSET(M$18,MATCH(MIN(Q$18:Q$137),Q$18:Q$137,0),0,COUNT(M$18:M132)-MATCH(MIN(Q$18:Q$137),Q$18:Q$137,0),1),OFFSET(M$18,MATCH(MIN(Q$18:Q$137),Q$18:Q$137,0),1,COUNT(M$18:M132)-MATCH(MIN(Q$18:Q$137),Q$18:Q$137,0),1))*$T$6))</f>
        <v/>
      </c>
      <c r="T132" s="22" t="str">
        <f t="shared" si="65"/>
        <v/>
      </c>
      <c r="V132" s="22" t="str">
        <f ca="1">IF(Q132="","",IF(Q132=0,0,SUMPRODUCT(OFFSET(M$18,MATCH(MIN(Q$18:Q$137),Q$18:Q$137,0),0,COUNT(M$18:M132)-MATCH(MIN(Q$18:Q$137),Q$18:Q$137,0),1),OFFSET(M$18,MATCH(MIN(Q$18:Q$137),Q$18:Q$137,0),2,COUNT(M$18:M132)-MATCH(MIN(Q$18:Q$137),Q$18:Q$137,0),1))*$T$6*$T$14))</f>
        <v/>
      </c>
      <c r="W132" s="29"/>
      <c r="X132" s="23" t="str">
        <f t="shared" si="66"/>
        <v/>
      </c>
      <c r="Z132" s="15">
        <f t="shared" si="67"/>
        <v>-0.35</v>
      </c>
      <c r="AA132" s="15">
        <f t="shared" si="68"/>
        <v>1.4</v>
      </c>
      <c r="AC132" s="15" t="e">
        <f t="shared" si="69"/>
        <v>#DIV/0!</v>
      </c>
      <c r="AD132" s="15" t="e">
        <f t="shared" si="70"/>
        <v>#N/A</v>
      </c>
      <c r="AF132" s="15">
        <f t="shared" ca="1" si="71"/>
        <v>0</v>
      </c>
      <c r="AH132" s="15" t="e">
        <f t="shared" si="72"/>
        <v>#N/A</v>
      </c>
      <c r="AI132" s="38" t="e">
        <f t="shared" si="57"/>
        <v>#VALUE!</v>
      </c>
    </row>
    <row r="133" spans="1:35" x14ac:dyDescent="0.2">
      <c r="A133" s="15">
        <v>116</v>
      </c>
      <c r="B133" s="2" t="str">
        <f t="shared" si="73"/>
        <v/>
      </c>
      <c r="C133" s="25"/>
      <c r="D133" s="25"/>
      <c r="E133" s="25"/>
      <c r="F133" s="3" t="str">
        <f t="shared" ca="1" si="74"/>
        <v/>
      </c>
      <c r="G133" s="30" t="str">
        <f t="shared" ca="1" si="75"/>
        <v/>
      </c>
      <c r="I133" s="13" t="str">
        <f t="shared" ca="1" si="58"/>
        <v/>
      </c>
      <c r="J133" s="14" t="str">
        <f t="shared" ca="1" si="41"/>
        <v/>
      </c>
      <c r="L133" s="14" t="str">
        <f t="shared" ca="1" si="59"/>
        <v/>
      </c>
      <c r="M133" s="22" t="str">
        <f t="shared" ca="1" si="60"/>
        <v/>
      </c>
      <c r="N133" s="37" t="str">
        <f t="shared" ca="1" si="61"/>
        <v/>
      </c>
      <c r="O133" s="37" t="str">
        <f t="shared" ca="1" si="62"/>
        <v/>
      </c>
      <c r="Q133" s="22" t="str">
        <f t="shared" si="63"/>
        <v/>
      </c>
      <c r="R133" s="22" t="str">
        <f t="shared" si="64"/>
        <v/>
      </c>
      <c r="S133" s="22" t="str">
        <f ca="1">IF(Q133="","",IF(Q133=0,0,SUMPRODUCT(OFFSET(M$18,MATCH(MIN(Q$18:Q$137),Q$18:Q$137,0),0,COUNT(M$18:M133)-MATCH(MIN(Q$18:Q$137),Q$18:Q$137,0),1),OFFSET(M$18,MATCH(MIN(Q$18:Q$137),Q$18:Q$137,0),1,COUNT(M$18:M133)-MATCH(MIN(Q$18:Q$137),Q$18:Q$137,0),1))*$T$6))</f>
        <v/>
      </c>
      <c r="T133" s="22" t="str">
        <f t="shared" si="65"/>
        <v/>
      </c>
      <c r="V133" s="22" t="str">
        <f ca="1">IF(Q133="","",IF(Q133=0,0,SUMPRODUCT(OFFSET(M$18,MATCH(MIN(Q$18:Q$137),Q$18:Q$137,0),0,COUNT(M$18:M133)-MATCH(MIN(Q$18:Q$137),Q$18:Q$137,0),1),OFFSET(M$18,MATCH(MIN(Q$18:Q$137),Q$18:Q$137,0),2,COUNT(M$18:M133)-MATCH(MIN(Q$18:Q$137),Q$18:Q$137,0),1))*$T$6*$T$14))</f>
        <v/>
      </c>
      <c r="W133" s="29"/>
      <c r="X133" s="23" t="str">
        <f t="shared" si="66"/>
        <v/>
      </c>
      <c r="Z133" s="15">
        <f t="shared" si="67"/>
        <v>-0.35</v>
      </c>
      <c r="AA133" s="15">
        <f t="shared" si="68"/>
        <v>1.4</v>
      </c>
      <c r="AC133" s="15" t="e">
        <f t="shared" si="69"/>
        <v>#DIV/0!</v>
      </c>
      <c r="AD133" s="15" t="e">
        <f t="shared" si="70"/>
        <v>#N/A</v>
      </c>
      <c r="AF133" s="15">
        <f t="shared" ca="1" si="71"/>
        <v>0</v>
      </c>
      <c r="AH133" s="15" t="e">
        <f t="shared" si="72"/>
        <v>#N/A</v>
      </c>
      <c r="AI133" s="38" t="e">
        <f t="shared" si="57"/>
        <v>#VALUE!</v>
      </c>
    </row>
    <row r="134" spans="1:35" x14ac:dyDescent="0.2">
      <c r="A134" s="15">
        <v>117</v>
      </c>
      <c r="B134" s="2" t="str">
        <f t="shared" si="73"/>
        <v/>
      </c>
      <c r="C134" s="25"/>
      <c r="D134" s="25"/>
      <c r="E134" s="25"/>
      <c r="F134" s="3" t="str">
        <f t="shared" ca="1" si="74"/>
        <v/>
      </c>
      <c r="G134" s="30" t="str">
        <f t="shared" ca="1" si="75"/>
        <v/>
      </c>
      <c r="I134" s="13" t="str">
        <f t="shared" ca="1" si="58"/>
        <v/>
      </c>
      <c r="J134" s="14" t="str">
        <f t="shared" ca="1" si="41"/>
        <v/>
      </c>
      <c r="L134" s="14" t="str">
        <f t="shared" ca="1" si="59"/>
        <v/>
      </c>
      <c r="M134" s="22" t="str">
        <f t="shared" ca="1" si="60"/>
        <v/>
      </c>
      <c r="N134" s="37" t="str">
        <f t="shared" ca="1" si="61"/>
        <v/>
      </c>
      <c r="O134" s="37" t="str">
        <f t="shared" ca="1" si="62"/>
        <v/>
      </c>
      <c r="Q134" s="22" t="str">
        <f t="shared" si="63"/>
        <v/>
      </c>
      <c r="R134" s="22" t="str">
        <f t="shared" si="64"/>
        <v/>
      </c>
      <c r="S134" s="22" t="str">
        <f ca="1">IF(Q134="","",IF(Q134=0,0,SUMPRODUCT(OFFSET(M$18,MATCH(MIN(Q$18:Q$137),Q$18:Q$137,0),0,COUNT(M$18:M134)-MATCH(MIN(Q$18:Q$137),Q$18:Q$137,0),1),OFFSET(M$18,MATCH(MIN(Q$18:Q$137),Q$18:Q$137,0),1,COUNT(M$18:M134)-MATCH(MIN(Q$18:Q$137),Q$18:Q$137,0),1))*$T$6))</f>
        <v/>
      </c>
      <c r="T134" s="22" t="str">
        <f t="shared" si="65"/>
        <v/>
      </c>
      <c r="V134" s="22" t="str">
        <f ca="1">IF(Q134="","",IF(Q134=0,0,SUMPRODUCT(OFFSET(M$18,MATCH(MIN(Q$18:Q$137),Q$18:Q$137,0),0,COUNT(M$18:M134)-MATCH(MIN(Q$18:Q$137),Q$18:Q$137,0),1),OFFSET(M$18,MATCH(MIN(Q$18:Q$137),Q$18:Q$137,0),2,COUNT(M$18:M134)-MATCH(MIN(Q$18:Q$137),Q$18:Q$137,0),1))*$T$6*$T$14))</f>
        <v/>
      </c>
      <c r="W134" s="29"/>
      <c r="X134" s="23" t="str">
        <f t="shared" si="66"/>
        <v/>
      </c>
      <c r="Z134" s="15">
        <f t="shared" si="67"/>
        <v>-0.35</v>
      </c>
      <c r="AA134" s="15">
        <f t="shared" si="68"/>
        <v>1.4</v>
      </c>
      <c r="AC134" s="15" t="e">
        <f t="shared" si="69"/>
        <v>#DIV/0!</v>
      </c>
      <c r="AD134" s="15" t="e">
        <f t="shared" si="70"/>
        <v>#N/A</v>
      </c>
      <c r="AF134" s="15">
        <f t="shared" ca="1" si="71"/>
        <v>0</v>
      </c>
      <c r="AH134" s="15" t="e">
        <f t="shared" si="72"/>
        <v>#N/A</v>
      </c>
      <c r="AI134" s="38" t="e">
        <f t="shared" si="57"/>
        <v>#VALUE!</v>
      </c>
    </row>
    <row r="135" spans="1:35" x14ac:dyDescent="0.2">
      <c r="A135" s="15">
        <v>118</v>
      </c>
      <c r="B135" s="2" t="str">
        <f>IF(C135="","",ROUND($D$6-C135,2))</f>
        <v/>
      </c>
      <c r="C135" s="25"/>
      <c r="D135" s="25"/>
      <c r="E135" s="25"/>
      <c r="F135" s="3" t="str">
        <f t="shared" ca="1" si="39"/>
        <v/>
      </c>
      <c r="G135" s="30" t="str">
        <f t="shared" ca="1" si="40"/>
        <v/>
      </c>
      <c r="I135" s="13" t="str">
        <f t="shared" ca="1" si="58"/>
        <v/>
      </c>
      <c r="J135" s="14" t="str">
        <f t="shared" ca="1" si="41"/>
        <v/>
      </c>
      <c r="L135" s="14" t="str">
        <f t="shared" ca="1" si="59"/>
        <v/>
      </c>
      <c r="M135" s="22" t="str">
        <f t="shared" ca="1" si="60"/>
        <v/>
      </c>
      <c r="N135" s="37" t="str">
        <f t="shared" ca="1" si="61"/>
        <v/>
      </c>
      <c r="O135" s="37" t="str">
        <f t="shared" ca="1" si="62"/>
        <v/>
      </c>
      <c r="Q135" s="22" t="str">
        <f t="shared" si="63"/>
        <v/>
      </c>
      <c r="R135" s="22" t="str">
        <f t="shared" si="64"/>
        <v/>
      </c>
      <c r="S135" s="22" t="str">
        <f ca="1">IF(Q135="","",IF(Q135=0,0,SUMPRODUCT(OFFSET(M$18,MATCH(MIN(Q$18:Q$137),Q$18:Q$137,0),0,COUNT(M$18:M135)-MATCH(MIN(Q$18:Q$137),Q$18:Q$137,0),1),OFFSET(M$18,MATCH(MIN(Q$18:Q$137),Q$18:Q$137,0),1,COUNT(M$18:M135)-MATCH(MIN(Q$18:Q$137),Q$18:Q$137,0),1))*$T$6))</f>
        <v/>
      </c>
      <c r="T135" s="22" t="str">
        <f t="shared" si="65"/>
        <v/>
      </c>
      <c r="V135" s="22" t="str">
        <f ca="1">IF(Q135="","",IF(Q135=0,0,SUMPRODUCT(OFFSET(M$18,MATCH(MIN(Q$18:Q$137),Q$18:Q$137,0),0,COUNT(M$18:M135)-MATCH(MIN(Q$18:Q$137),Q$18:Q$137,0),1),OFFSET(M$18,MATCH(MIN(Q$18:Q$137),Q$18:Q$137,0),2,COUNT(M$18:M135)-MATCH(MIN(Q$18:Q$137),Q$18:Q$137,0),1))*$T$6*$T$14))</f>
        <v/>
      </c>
      <c r="W135" s="29"/>
      <c r="X135" s="23" t="str">
        <f t="shared" si="66"/>
        <v/>
      </c>
      <c r="Z135" s="15">
        <f t="shared" si="67"/>
        <v>-0.35</v>
      </c>
      <c r="AA135" s="15">
        <f t="shared" si="68"/>
        <v>1.4</v>
      </c>
      <c r="AC135" s="15" t="e">
        <f t="shared" si="69"/>
        <v>#DIV/0!</v>
      </c>
      <c r="AD135" s="15" t="e">
        <f t="shared" si="70"/>
        <v>#N/A</v>
      </c>
      <c r="AF135" s="15">
        <f t="shared" ca="1" si="71"/>
        <v>0</v>
      </c>
      <c r="AH135" s="15" t="e">
        <f t="shared" si="72"/>
        <v>#N/A</v>
      </c>
      <c r="AI135" s="38" t="e">
        <f t="shared" si="57"/>
        <v>#VALUE!</v>
      </c>
    </row>
    <row r="136" spans="1:35" x14ac:dyDescent="0.2">
      <c r="A136" s="15">
        <v>119</v>
      </c>
      <c r="B136" s="2" t="str">
        <f>IF(C136="","",ROUND($D$6-C136,2))</f>
        <v/>
      </c>
      <c r="C136" s="25"/>
      <c r="D136" s="25"/>
      <c r="E136" s="25"/>
      <c r="F136" s="3" t="str">
        <f t="shared" ca="1" si="39"/>
        <v/>
      </c>
      <c r="G136" s="30" t="str">
        <f t="shared" ca="1" si="40"/>
        <v/>
      </c>
      <c r="I136" s="13" t="str">
        <f ca="1">IF(D136="","",ROUND(AVERAGE(OFFSET($D$17,MATCH(MAX(FLOOR(C136-$T$5,(C136-C135)),C$18),C$18:C$137),0,MATCH(MIN(CEILING(C136+4*$T$5,(C136-C135)),C$137),C$18:C$137)-MATCH(MAX(FLOOR(C136-$T$5,(C136-C135)),C$18),C$18:C$137)+1,1))*1000,0))</f>
        <v/>
      </c>
      <c r="J136" s="14" t="str">
        <f ca="1">IF(I136="","",IF(I136&lt;=1000,0.9,IF(I136&lt;=2500,ROUND(0.967-0.000067*I136,3),IF(I136&lt;=5000,ROUND(0.95-0.00006*I136,3),IF(I136&lt;=7500,ROUND(0.85-0.00004*I136,3),IF(I136&lt;=10000,ROUND(0.85-0.00004*I136,3),IF(I136&lt;=15000,ROUND(0.65-0.00002*I136,3),IF(I136&lt;=30000,0.5-0.00001*I136,0.2))))))))</f>
        <v/>
      </c>
      <c r="L136" s="14" t="str">
        <f ca="1">IF(G136="","",IF(G136="песчаный",IF(E136&lt;=20,0.75,IF(E136&lt;=40,ROUND(0.9-0.0075*E136,3),IF(E136&lt;=120,ROUND(0.7-0.0025*E136,3),0.4))),IF(E136&lt;=20,1,IF(E136&lt;=40,ROUND(1.25-0.0125*E136,3),IF(E136&lt;=80,ROUND(1.05-0.0075*E136,3),IF(E136&lt;=100,ROUND(0.65-0.0025*E136,3),IF(E136&lt;=120,ROUND(0.9-0.005*E136,3),0.3)))))))</f>
        <v/>
      </c>
      <c r="M136" s="22" t="str">
        <f ca="1">IF(L136="","",(C136-C135)*SUMPRODUCT(E135:E136,L135:L136)/2)</f>
        <v/>
      </c>
      <c r="N136" s="37" t="str">
        <f ca="1">IF(C136="","",IF(OFFSET($C$5,MATCH(B136,D$6:D$15,-1),4,1,1)="",1,0))</f>
        <v/>
      </c>
      <c r="O136" s="37" t="str">
        <f ca="1">IF(C136="","",IF(OFFSET($C$5,MATCH(B136,D$6:D$15,-1),4,1,1)="тип II",1,0))</f>
        <v/>
      </c>
      <c r="Q136" s="22" t="str">
        <f>IF(C136="","",IF(ROUND(($D$6-FLOOR($D$6-$T$8,$C$19-$C$18))-B136,2)&lt;0,"",ROUND(($D$6-FLOOR($D$6-$T$8,$C$19-$C$18))-B136,2)))</f>
        <v/>
      </c>
      <c r="R136" s="22" t="str">
        <f>IF(Q136="","",J136*I136*$T$7)</f>
        <v/>
      </c>
      <c r="S136" s="22" t="str">
        <f ca="1">IF(Q136="","",IF(Q136=0,0,SUMPRODUCT(OFFSET(M$18,MATCH(MIN(Q$18:Q$137),Q$18:Q$137,0),0,COUNT(M$18:M136)-MATCH(MIN(Q$18:Q$137),Q$18:Q$137,0),1),OFFSET(M$18,MATCH(MIN(Q$18:Q$137),Q$18:Q$137,0),1,COUNT(M$18:M136)-MATCH(MIN(Q$18:Q$137),Q$18:Q$137,0),1))*$T$6))</f>
        <v/>
      </c>
      <c r="T136" s="22" t="str">
        <f>IF(Q136="","",R136+S136)</f>
        <v/>
      </c>
      <c r="V136" s="22" t="str">
        <f ca="1">IF(Q136="","",IF(Q136=0,0,SUMPRODUCT(OFFSET(M$18,MATCH(MIN(Q$18:Q$137),Q$18:Q$137,0),0,COUNT(M$18:M136)-MATCH(MIN(Q$18:Q$137),Q$18:Q$137,0),1),OFFSET(M$18,MATCH(MIN(Q$18:Q$137),Q$18:Q$137,0),2,COUNT(M$18:M136)-MATCH(MIN(Q$18:Q$137),Q$18:Q$137,0),1))*$T$6*$T$14))</f>
        <v/>
      </c>
      <c r="X136" s="23" t="str">
        <f>IF(Q136="","",MAX(0,(T136/1.25-V136)/9.81-2.5*1.1*$T$7*Q136))</f>
        <v/>
      </c>
      <c r="Z136" s="15">
        <f>C136-T$5</f>
        <v>-0.35</v>
      </c>
      <c r="AA136" s="15">
        <f>C136+4*T$5</f>
        <v>1.4</v>
      </c>
      <c r="AC136" s="15" t="e">
        <f>MATCH(MAX(FLOOR(C136-$T$5,(C136-C135)),C$18),C$18:C$137)</f>
        <v>#DIV/0!</v>
      </c>
      <c r="AD136" s="15" t="e">
        <f>MATCH(MIN(CEILING(C136+4*$T$5,(C136-C135)),C$137),C$18:C$137)</f>
        <v>#N/A</v>
      </c>
      <c r="AF136" s="15">
        <f ca="1">COUNT(OFFSET($D$17,AC136,0,AD136-AC136+1,1))</f>
        <v>0</v>
      </c>
      <c r="AH136" s="15" t="e">
        <f>MATCH(B136,D$6:D$15,-1)</f>
        <v>#N/A</v>
      </c>
      <c r="AI136" s="38" t="e">
        <f t="shared" si="57"/>
        <v>#VALUE!</v>
      </c>
    </row>
    <row r="137" spans="1:35" x14ac:dyDescent="0.2">
      <c r="A137" s="15">
        <v>120</v>
      </c>
      <c r="B137" s="2" t="str">
        <f>IF(C137="","",ROUND($D$6-C137,2))</f>
        <v/>
      </c>
      <c r="C137" s="25"/>
      <c r="D137" s="25"/>
      <c r="E137" s="25"/>
      <c r="F137" s="3" t="str">
        <f t="shared" ca="1" si="39"/>
        <v/>
      </c>
      <c r="G137" s="30" t="str">
        <f t="shared" ca="1" si="40"/>
        <v/>
      </c>
      <c r="I137" s="13" t="str">
        <f ca="1">IF(D137="","",ROUND(AVERAGE(OFFSET($D$17,MATCH(MAX(FLOOR(C137-$T$5,(C137-C136)),C$18),C$18:C$137),0,MATCH(MIN(CEILING(C137+4*$T$5,(C137-C136)),C$137),C$18:C$137)-MATCH(MAX(FLOOR(C137-$T$5,(C137-C136)),C$18),C$18:C$137)+1,1))*1000,0))</f>
        <v/>
      </c>
      <c r="J137" s="14" t="str">
        <f ca="1">IF(I137="","",IF(I137&lt;=1000,0.9,IF(I137&lt;=2500,ROUND(0.967-0.000067*I137,3),IF(I137&lt;=5000,ROUND(0.95-0.00006*I137,3),IF(I137&lt;=7500,ROUND(0.85-0.00004*I137,3),IF(I137&lt;=10000,ROUND(0.85-0.00004*I137,3),IF(I137&lt;=15000,ROUND(0.65-0.00002*I137,3),IF(I137&lt;=30000,0.5-0.00001*I137,0.2))))))))</f>
        <v/>
      </c>
      <c r="L137" s="14" t="str">
        <f ca="1">IF(G137="","",IF(G137="песчаный",IF(E137&lt;=20,0.75,IF(E137&lt;=40,ROUND(0.9-0.0075*E137,3),IF(E137&lt;=120,ROUND(0.7-0.0025*E137,3),0.4))),IF(E137&lt;=20,1,IF(E137&lt;=40,ROUND(1.25-0.0125*E137,3),IF(E137&lt;=80,ROUND(1.05-0.0075*E137,3),IF(E137&lt;=100,ROUND(0.65-0.0025*E137,3),IF(E137&lt;=120,ROUND(0.9-0.005*E137,3),0.3)))))))</f>
        <v/>
      </c>
      <c r="M137" s="22" t="str">
        <f ca="1">IF(L137="","",(C137-C136)*SUMPRODUCT(E136:E137,L136:L137)/2)</f>
        <v/>
      </c>
      <c r="N137" s="37" t="str">
        <f ca="1">IF(C137="","",IF(OFFSET($C$5,MATCH(B137,D$6:D$15,-1),4,1,1)="",1,0))</f>
        <v/>
      </c>
      <c r="O137" s="37" t="str">
        <f ca="1">IF(C137="","",IF(OFFSET($C$5,MATCH(B137,D$6:D$15,-1),4,1,1)="тип II",1,0))</f>
        <v/>
      </c>
      <c r="Q137" s="22" t="str">
        <f>IF(C137="","",IF(ROUND(($D$6-FLOOR($D$6-$T$8,$C$19-$C$18))-B137,2)&lt;0,"",ROUND(($D$6-FLOOR($D$6-$T$8,$C$19-$C$18))-B137,2)))</f>
        <v/>
      </c>
      <c r="R137" s="22" t="str">
        <f>IF(Q137="","",J137*I137*$T$7)</f>
        <v/>
      </c>
      <c r="S137" s="22" t="str">
        <f ca="1">IF(Q137="","",IF(Q137=0,0,SUMPRODUCT(OFFSET(M$18,MATCH(MIN(Q$18:Q$137),Q$18:Q$137,0),0,COUNT(M$18:M137)-MATCH(MIN(Q$18:Q$137),Q$18:Q$137,0),1),OFFSET(M$18,MATCH(MIN(Q$18:Q$137),Q$18:Q$137,0),1,COUNT(M$18:M137)-MATCH(MIN(Q$18:Q$137),Q$18:Q$137,0),1))*$T$6))</f>
        <v/>
      </c>
      <c r="T137" s="22" t="str">
        <f>IF(Q137="","",R137+S137)</f>
        <v/>
      </c>
      <c r="V137" s="22" t="str">
        <f ca="1">IF(Q137="","",IF(Q137=0,0,SUMPRODUCT(OFFSET(M$18,MATCH(MIN(Q$18:Q$137),Q$18:Q$137,0),0,COUNT(M$18:M137)-MATCH(MIN(Q$18:Q$137),Q$18:Q$137,0),1),OFFSET(M$18,MATCH(MIN(Q$18:Q$137),Q$18:Q$137,0),2,COUNT(M$18:M137)-MATCH(MIN(Q$18:Q$137),Q$18:Q$137,0),1))*$T$6*$T$14))</f>
        <v/>
      </c>
      <c r="X137" s="23" t="str">
        <f>IF(Q137="","",MAX(0,(T137/1.25-V137)/9.81-2.5*1.1*$T$7*Q137))</f>
        <v/>
      </c>
      <c r="Z137" s="15">
        <f>C137-T$5</f>
        <v>-0.35</v>
      </c>
      <c r="AA137" s="15">
        <f>C137+4*T$5</f>
        <v>1.4</v>
      </c>
      <c r="AC137" s="15" t="e">
        <f>MATCH(MAX(FLOOR(C137-$T$5,(C137-C136)),C$18),C$18:C$137)</f>
        <v>#DIV/0!</v>
      </c>
      <c r="AD137" s="15" t="e">
        <f>MATCH(MIN(CEILING(C137+4*$T$5,(C137-C136)),C$137),C$18:C$137)</f>
        <v>#N/A</v>
      </c>
      <c r="AF137" s="15">
        <f ca="1">COUNT(OFFSET($D$17,AC137,0,AD137-AC137+1,1))</f>
        <v>0</v>
      </c>
      <c r="AH137" s="15" t="e">
        <f>MATCH(B137,D$6:D$15,-1)</f>
        <v>#N/A</v>
      </c>
      <c r="AI137" s="38" t="e">
        <f t="shared" si="57"/>
        <v>#VALUE!</v>
      </c>
    </row>
  </sheetData>
  <mergeCells count="22">
    <mergeCell ref="Q11:T11"/>
    <mergeCell ref="B1:T1"/>
    <mergeCell ref="E14:F14"/>
    <mergeCell ref="E5:F5"/>
    <mergeCell ref="B3:F3"/>
    <mergeCell ref="Q5:S5"/>
    <mergeCell ref="Q6:S6"/>
    <mergeCell ref="Q7:S7"/>
    <mergeCell ref="Q8:S8"/>
    <mergeCell ref="Q12:S12"/>
    <mergeCell ref="E6:F6"/>
    <mergeCell ref="E7:F7"/>
    <mergeCell ref="E8:F8"/>
    <mergeCell ref="E9:F9"/>
    <mergeCell ref="E10:F10"/>
    <mergeCell ref="E11:F11"/>
    <mergeCell ref="E12:F12"/>
    <mergeCell ref="E13:F13"/>
    <mergeCell ref="Q13:S13"/>
    <mergeCell ref="AC17:AF17"/>
    <mergeCell ref="E15:F15"/>
    <mergeCell ref="Q14:S14"/>
  </mergeCells>
  <phoneticPr fontId="1" type="noConversion"/>
  <conditionalFormatting sqref="Q11:T14">
    <cfRule type="expression" dxfId="2" priority="1" stopIfTrue="1">
      <formula>IF(OR($G$6="тип II",$G$7="тип II",$G$8="тип II",$G$9="тип II",$G$10="тип II",$G$11="тип II",$G$12="тип II",$G$13="тип II",$G$14="тип II",$G$15="тип II"),FALSE(),TRUE())</formula>
    </cfRule>
  </conditionalFormatting>
  <dataValidations count="2">
    <dataValidation type="list" allowBlank="1" showInputMessage="1" showErrorMessage="1" sqref="E6:F15">
      <formula1>"песчаный,пыл.-глинист."</formula1>
    </dataValidation>
    <dataValidation type="list" allowBlank="1" showInputMessage="1" showErrorMessage="1" sqref="G6:G15">
      <formula1>"тип I,тип II"</formula1>
    </dataValidation>
  </dataValidations>
  <pageMargins left="0.98425196850393704" right="0.31496062992125984" top="0.35433070866141736" bottom="0.35433070866141736" header="0.31496062992125984" footer="0.31496062992125984"/>
  <pageSetup paperSize="9" scale="52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37"/>
  <sheetViews>
    <sheetView zoomScale="85" zoomScaleNormal="70" workbookViewId="0">
      <pane ySplit="17" topLeftCell="A93" activePane="bottomLeft" state="frozen"/>
      <selection pane="bottomLeft" activeCell="Q105" sqref="Q105:AI105"/>
    </sheetView>
  </sheetViews>
  <sheetFormatPr defaultRowHeight="12.75" x14ac:dyDescent="0.2"/>
  <cols>
    <col min="1" max="1" width="3.85546875" style="15" customWidth="1"/>
    <col min="2" max="6" width="9" style="24" customWidth="1"/>
    <col min="7" max="7" width="14" style="20" customWidth="1"/>
    <col min="8" max="8" width="2.28515625" style="20" customWidth="1"/>
    <col min="9" max="10" width="9.140625" style="19"/>
    <col min="11" max="11" width="2.28515625" style="20" customWidth="1"/>
    <col min="12" max="13" width="9.140625" style="19"/>
    <col min="14" max="15" width="9.140625" style="15"/>
    <col min="16" max="16" width="2.28515625" style="20" customWidth="1"/>
    <col min="17" max="17" width="9.140625" style="24"/>
    <col min="18" max="20" width="9.140625" style="19"/>
    <col min="21" max="21" width="2.28515625" style="20" customWidth="1"/>
    <col min="22" max="22" width="9.140625" style="15"/>
    <col min="23" max="23" width="2.42578125" style="15" customWidth="1"/>
    <col min="24" max="24" width="9.140625" style="19"/>
    <col min="25" max="25" width="3.7109375" style="15" customWidth="1"/>
    <col min="26" max="27" width="6" style="15" customWidth="1"/>
    <col min="28" max="28" width="4.85546875" style="15" customWidth="1"/>
    <col min="29" max="30" width="5.42578125" style="15" customWidth="1"/>
    <col min="31" max="31" width="1.7109375" style="15" customWidth="1"/>
    <col min="32" max="32" width="5.7109375" style="15" customWidth="1"/>
    <col min="33" max="16384" width="9.140625" style="15"/>
  </cols>
  <sheetData>
    <row r="1" spans="2:25" ht="39.6" customHeight="1" x14ac:dyDescent="0.2">
      <c r="B1" s="55" t="s">
        <v>10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16"/>
      <c r="X1" s="17"/>
      <c r="Y1" s="18"/>
    </row>
    <row r="2" spans="2:25" ht="6" customHeight="1" x14ac:dyDescent="0.2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P2" s="7"/>
      <c r="Q2" s="7"/>
      <c r="R2" s="7"/>
      <c r="S2" s="7"/>
      <c r="T2" s="7"/>
      <c r="U2" s="16"/>
      <c r="X2" s="17"/>
      <c r="Y2" s="18"/>
    </row>
    <row r="3" spans="2:25" ht="14.25" customHeight="1" x14ac:dyDescent="0.2">
      <c r="B3" s="57" t="e">
        <f ca="1">MID(CELL("ИМЯФАЙЛА",B4),SEARCH("]",CELL("ИМЯФАЙЛА",B4))+1,255)</f>
        <v>#VALUE!</v>
      </c>
      <c r="C3" s="57"/>
      <c r="D3" s="57"/>
      <c r="E3" s="57"/>
      <c r="F3" s="57"/>
      <c r="G3" s="7"/>
      <c r="H3" s="7"/>
      <c r="I3" s="7"/>
      <c r="J3" s="7"/>
      <c r="K3" s="7"/>
      <c r="L3" s="7"/>
      <c r="M3" s="7"/>
      <c r="P3" s="7"/>
      <c r="Q3" s="7"/>
      <c r="R3" s="7"/>
      <c r="S3" s="7"/>
      <c r="T3" s="7"/>
      <c r="U3" s="16"/>
      <c r="X3" s="17"/>
      <c r="Y3" s="18"/>
    </row>
    <row r="4" spans="2:25" ht="6" customHeight="1" x14ac:dyDescent="0.2">
      <c r="B4" s="17"/>
      <c r="C4" s="17"/>
      <c r="D4" s="17"/>
      <c r="E4" s="17"/>
      <c r="F4" s="17"/>
      <c r="G4" s="16"/>
      <c r="H4" s="16"/>
      <c r="I4" s="17"/>
      <c r="J4" s="17"/>
      <c r="K4" s="16"/>
      <c r="L4" s="17"/>
      <c r="M4" s="17"/>
      <c r="P4" s="16"/>
      <c r="Q4" s="17"/>
      <c r="R4" s="17"/>
      <c r="S4" s="17"/>
      <c r="T4" s="17"/>
      <c r="U4" s="16"/>
      <c r="X4" s="17"/>
      <c r="Y4" s="18"/>
    </row>
    <row r="5" spans="2:25" ht="14.25" customHeight="1" x14ac:dyDescent="0.2">
      <c r="B5" s="3" t="s">
        <v>7</v>
      </c>
      <c r="C5" s="3" t="s">
        <v>8</v>
      </c>
      <c r="D5" s="4" t="s">
        <v>9</v>
      </c>
      <c r="E5" s="56" t="s">
        <v>42</v>
      </c>
      <c r="F5" s="56"/>
      <c r="G5" s="35" t="s">
        <v>51</v>
      </c>
      <c r="H5" s="16"/>
      <c r="K5" s="16"/>
      <c r="L5" s="15"/>
      <c r="M5" s="15"/>
      <c r="P5" s="16"/>
      <c r="Q5" s="58" t="s">
        <v>38</v>
      </c>
      <c r="R5" s="58"/>
      <c r="S5" s="58"/>
      <c r="T5" s="28">
        <f>Статистика!E1</f>
        <v>0.35</v>
      </c>
      <c r="U5" s="16"/>
      <c r="X5" s="17"/>
      <c r="Y5" s="18"/>
    </row>
    <row r="6" spans="2:25" ht="14.25" customHeight="1" x14ac:dyDescent="0.2">
      <c r="B6" s="3">
        <v>1</v>
      </c>
      <c r="C6" s="26" t="s">
        <v>4</v>
      </c>
      <c r="D6" s="27">
        <v>193.05</v>
      </c>
      <c r="E6" s="47" t="s">
        <v>43</v>
      </c>
      <c r="F6" s="47"/>
      <c r="G6" s="41"/>
      <c r="H6" s="16"/>
      <c r="K6" s="16"/>
      <c r="L6" s="15"/>
      <c r="M6" s="15"/>
      <c r="P6" s="16"/>
      <c r="Q6" s="58" t="s">
        <v>39</v>
      </c>
      <c r="R6" s="58"/>
      <c r="S6" s="58"/>
      <c r="T6" s="28">
        <f>4*T5</f>
        <v>1.4</v>
      </c>
      <c r="U6" s="16"/>
      <c r="X6" s="17"/>
      <c r="Y6" s="18"/>
    </row>
    <row r="7" spans="2:25" ht="14.25" customHeight="1" x14ac:dyDescent="0.2">
      <c r="B7" s="3">
        <v>2</v>
      </c>
      <c r="C7" s="26" t="s">
        <v>5</v>
      </c>
      <c r="D7" s="27">
        <v>191.05</v>
      </c>
      <c r="E7" s="47" t="s">
        <v>43</v>
      </c>
      <c r="F7" s="47"/>
      <c r="G7" s="41"/>
      <c r="H7" s="16"/>
      <c r="K7" s="16"/>
      <c r="L7" s="15"/>
      <c r="M7" s="15"/>
      <c r="P7" s="16"/>
      <c r="Q7" s="58" t="s">
        <v>40</v>
      </c>
      <c r="R7" s="58"/>
      <c r="S7" s="58"/>
      <c r="T7" s="28">
        <f>T5*T5</f>
        <v>0.12249999999999998</v>
      </c>
      <c r="U7" s="16"/>
      <c r="X7" s="17"/>
      <c r="Y7" s="18"/>
    </row>
    <row r="8" spans="2:25" ht="14.25" customHeight="1" x14ac:dyDescent="0.2">
      <c r="B8" s="3">
        <v>3</v>
      </c>
      <c r="C8" s="26" t="s">
        <v>50</v>
      </c>
      <c r="D8" s="27">
        <v>179.55</v>
      </c>
      <c r="E8" s="47" t="s">
        <v>43</v>
      </c>
      <c r="F8" s="47"/>
      <c r="G8" s="41"/>
      <c r="H8" s="16"/>
      <c r="K8" s="16"/>
      <c r="L8" s="15"/>
      <c r="M8" s="15"/>
      <c r="P8" s="16"/>
      <c r="Q8" s="58" t="s">
        <v>41</v>
      </c>
      <c r="R8" s="58"/>
      <c r="S8" s="58"/>
      <c r="T8" s="27">
        <f>D6-3</f>
        <v>190.05</v>
      </c>
      <c r="U8" s="16"/>
      <c r="X8" s="17"/>
      <c r="Y8" s="18"/>
    </row>
    <row r="9" spans="2:25" ht="14.25" customHeight="1" x14ac:dyDescent="0.2">
      <c r="B9" s="4">
        <v>4</v>
      </c>
      <c r="C9" s="26" t="s">
        <v>6</v>
      </c>
      <c r="D9" s="27">
        <v>172.05</v>
      </c>
      <c r="E9" s="47" t="s">
        <v>43</v>
      </c>
      <c r="F9" s="47"/>
      <c r="G9" s="41"/>
      <c r="H9" s="16"/>
      <c r="K9" s="16"/>
      <c r="L9" s="15"/>
      <c r="M9" s="15"/>
      <c r="P9" s="16"/>
      <c r="Q9" s="17"/>
      <c r="R9" s="17"/>
      <c r="S9" s="17"/>
      <c r="T9" s="17"/>
      <c r="U9" s="16"/>
      <c r="X9" s="17"/>
      <c r="Y9" s="18"/>
    </row>
    <row r="10" spans="2:25" ht="14.25" customHeight="1" x14ac:dyDescent="0.2">
      <c r="B10" s="4">
        <v>5</v>
      </c>
      <c r="C10" s="26"/>
      <c r="D10" s="27"/>
      <c r="E10" s="47"/>
      <c r="F10" s="47"/>
      <c r="G10" s="41"/>
      <c r="H10" s="16"/>
      <c r="I10" s="17"/>
      <c r="J10" s="17"/>
      <c r="K10" s="16"/>
      <c r="L10" s="17"/>
      <c r="M10" s="17"/>
      <c r="P10" s="16"/>
      <c r="Q10" s="17"/>
      <c r="R10" s="17"/>
      <c r="S10" s="17"/>
      <c r="T10" s="17"/>
      <c r="U10" s="16"/>
      <c r="X10" s="17"/>
      <c r="Y10" s="18"/>
    </row>
    <row r="11" spans="2:25" ht="14.25" customHeight="1" x14ac:dyDescent="0.2">
      <c r="B11" s="4">
        <v>6</v>
      </c>
      <c r="C11" s="26"/>
      <c r="D11" s="27"/>
      <c r="E11" s="47"/>
      <c r="F11" s="47"/>
      <c r="G11" s="41"/>
      <c r="H11" s="16"/>
      <c r="I11" s="17"/>
      <c r="J11" s="17"/>
      <c r="K11" s="16"/>
      <c r="L11" s="17"/>
      <c r="M11" s="17"/>
      <c r="P11" s="16"/>
      <c r="Q11" s="52" t="s">
        <v>54</v>
      </c>
      <c r="R11" s="53"/>
      <c r="S11" s="53"/>
      <c r="T11" s="54"/>
      <c r="U11" s="16"/>
      <c r="X11" s="17"/>
      <c r="Y11" s="18"/>
    </row>
    <row r="12" spans="2:25" ht="14.25" customHeight="1" x14ac:dyDescent="0.2">
      <c r="B12" s="4">
        <v>7</v>
      </c>
      <c r="C12" s="26"/>
      <c r="D12" s="27"/>
      <c r="E12" s="47"/>
      <c r="F12" s="47"/>
      <c r="G12" s="41"/>
      <c r="H12" s="16"/>
      <c r="J12" s="17"/>
      <c r="K12" s="16"/>
      <c r="L12" s="17"/>
      <c r="M12" s="17"/>
      <c r="P12" s="16"/>
      <c r="Q12" s="48" t="s">
        <v>56</v>
      </c>
      <c r="R12" s="49"/>
      <c r="S12" s="50"/>
      <c r="T12" s="40">
        <v>5</v>
      </c>
      <c r="U12" s="16"/>
      <c r="X12" s="17"/>
      <c r="Y12" s="18"/>
    </row>
    <row r="13" spans="2:25" ht="14.25" customHeight="1" x14ac:dyDescent="0.2">
      <c r="B13" s="4">
        <v>8</v>
      </c>
      <c r="C13" s="26"/>
      <c r="D13" s="27"/>
      <c r="E13" s="47"/>
      <c r="F13" s="47"/>
      <c r="G13" s="41"/>
      <c r="H13" s="16"/>
      <c r="J13" s="17"/>
      <c r="K13" s="16"/>
      <c r="L13" s="17"/>
      <c r="M13" s="17"/>
      <c r="P13" s="16"/>
      <c r="Q13" s="48" t="s">
        <v>57</v>
      </c>
      <c r="R13" s="49"/>
      <c r="S13" s="50"/>
      <c r="T13" s="40">
        <v>15</v>
      </c>
      <c r="U13" s="16"/>
      <c r="X13" s="17"/>
      <c r="Y13" s="18"/>
    </row>
    <row r="14" spans="2:25" ht="14.25" customHeight="1" x14ac:dyDescent="0.2">
      <c r="B14" s="4">
        <v>9</v>
      </c>
      <c r="C14" s="26"/>
      <c r="D14" s="27"/>
      <c r="E14" s="47"/>
      <c r="F14" s="47"/>
      <c r="G14" s="41"/>
      <c r="H14" s="16"/>
      <c r="I14" s="17"/>
      <c r="J14" s="17"/>
      <c r="K14" s="16"/>
      <c r="L14" s="17"/>
      <c r="M14" s="17"/>
      <c r="P14" s="16"/>
      <c r="Q14" s="48" t="s">
        <v>55</v>
      </c>
      <c r="R14" s="49"/>
      <c r="S14" s="50"/>
      <c r="T14" s="39">
        <f>ROUND(IF(T12&lt;=5,0,IF(T12&gt;=2*T13,0.8,0.8*(T12-5)/(2*T13-5))),3)</f>
        <v>0</v>
      </c>
      <c r="U14" s="16"/>
      <c r="X14" s="17"/>
      <c r="Y14" s="18"/>
    </row>
    <row r="15" spans="2:25" ht="14.25" customHeight="1" x14ac:dyDescent="0.2">
      <c r="B15" s="4">
        <v>10</v>
      </c>
      <c r="C15" s="26"/>
      <c r="D15" s="26"/>
      <c r="E15" s="47"/>
      <c r="F15" s="47"/>
      <c r="G15" s="41"/>
      <c r="H15" s="16"/>
      <c r="I15" s="17"/>
      <c r="J15" s="17"/>
      <c r="K15" s="16"/>
      <c r="L15" s="17"/>
      <c r="M15" s="17"/>
      <c r="P15" s="16"/>
      <c r="U15" s="16"/>
      <c r="X15" s="17"/>
      <c r="Y15" s="18"/>
    </row>
    <row r="16" spans="2:25" x14ac:dyDescent="0.2">
      <c r="B16" s="17"/>
      <c r="C16" s="17"/>
      <c r="D16" s="17"/>
      <c r="E16" s="17"/>
      <c r="F16" s="17"/>
      <c r="G16" s="16"/>
      <c r="H16" s="16"/>
      <c r="I16" s="17"/>
      <c r="J16" s="17"/>
      <c r="K16" s="16"/>
      <c r="L16" s="17"/>
      <c r="M16" s="17"/>
      <c r="P16" s="16"/>
      <c r="Q16" s="17"/>
      <c r="R16" s="17"/>
      <c r="S16" s="17"/>
      <c r="T16" s="17"/>
      <c r="U16" s="16"/>
      <c r="X16" s="17"/>
      <c r="Y16" s="18"/>
    </row>
    <row r="17" spans="1:38" ht="28.5" x14ac:dyDescent="0.2">
      <c r="B17" s="1" t="s">
        <v>0</v>
      </c>
      <c r="C17" s="1" t="s">
        <v>1</v>
      </c>
      <c r="D17" s="5" t="s">
        <v>11</v>
      </c>
      <c r="E17" s="5" t="s">
        <v>12</v>
      </c>
      <c r="F17" s="1" t="s">
        <v>8</v>
      </c>
      <c r="G17" s="1" t="s">
        <v>42</v>
      </c>
      <c r="I17" s="6" t="s">
        <v>13</v>
      </c>
      <c r="J17" s="6" t="s">
        <v>14</v>
      </c>
      <c r="L17" s="6" t="s">
        <v>15</v>
      </c>
      <c r="M17" s="6" t="s">
        <v>16</v>
      </c>
      <c r="N17" s="36" t="s">
        <v>53</v>
      </c>
      <c r="O17" s="36" t="s">
        <v>52</v>
      </c>
      <c r="Q17" s="5" t="s">
        <v>17</v>
      </c>
      <c r="R17" s="6" t="s">
        <v>18</v>
      </c>
      <c r="S17" s="6" t="s">
        <v>19</v>
      </c>
      <c r="T17" s="6" t="s">
        <v>20</v>
      </c>
      <c r="V17" s="6" t="s">
        <v>58</v>
      </c>
      <c r="X17" s="6" t="s">
        <v>21</v>
      </c>
      <c r="Z17" s="15" t="s">
        <v>2</v>
      </c>
      <c r="AA17" s="15" t="s">
        <v>3</v>
      </c>
      <c r="AC17" s="51" t="s">
        <v>23</v>
      </c>
      <c r="AD17" s="51"/>
      <c r="AE17" s="51"/>
      <c r="AF17" s="51"/>
      <c r="AH17" s="15" t="s">
        <v>22</v>
      </c>
      <c r="AI17" s="15" t="s">
        <v>63</v>
      </c>
    </row>
    <row r="18" spans="1:38" x14ac:dyDescent="0.2">
      <c r="A18" s="15">
        <v>1</v>
      </c>
      <c r="B18" s="2">
        <f t="shared" ref="B18:B49" si="0">IF(C18="","",ROUND($D$6-C18,2))</f>
        <v>191.45</v>
      </c>
      <c r="C18" s="25">
        <v>1.6</v>
      </c>
      <c r="D18" s="25">
        <v>9.9600000000000009</v>
      </c>
      <c r="E18" s="25">
        <v>175.09</v>
      </c>
      <c r="F18" s="3" t="str">
        <f t="shared" ref="F18:F49" ca="1" si="1">IF(C18="","",OFFSET($C$5,MATCH(B18,D$6:D$15,-1),0,1,1))</f>
        <v>ИГЭ-1</v>
      </c>
      <c r="G18" s="30" t="str">
        <f t="shared" ref="G18:G49" ca="1" si="2">IF(C18="","",OFFSET($E$5,MATCH(B18,D$6:D$15,-1),0,1,1))</f>
        <v>пыл.-глинист.</v>
      </c>
      <c r="I18" s="13">
        <f ca="1">ROUND(AVERAGE(OFFSET($D$18,MATCH(MAX(FLOOR(C18-$T$5,(C19-C18)),C$18),C$18:C$137),0,MATCH(MIN(CEILING(C18+4*$T$5,(C19-C18)),C$137),C$18:C$137)-MATCH(MAX(FLOOR(C18-$T$5,(C19-C18)),C$18),C$18:C$137)+1,1))*1000,0)</f>
        <v>977</v>
      </c>
      <c r="J18" s="14">
        <f t="shared" ref="J18:J49" ca="1" si="3">IF(I18="","",IF(I18&lt;=1000,0.9,IF(I18&lt;=2500,ROUND(0.967-0.000067*I18,3),IF(I18&lt;=5000,ROUND(0.95-0.00006*I18,3),IF(I18&lt;=7500,ROUND(0.85-0.00004*I18,3),IF(I18&lt;=10000,ROUND(0.85-0.00004*I18,3),IF(I18&lt;=15000,ROUND(0.65-0.00002*I18,3),IF(I18&lt;=30000,0.5-0.00001*I18,0.2))))))))</f>
        <v>0.9</v>
      </c>
      <c r="L18" s="14">
        <f t="shared" ref="L18:L49" ca="1" si="4">IF(G18="","",IF(G18="песчаный",IF(E18&lt;=20,0.75,IF(E18&lt;=40,ROUND(0.9-0.0075*E18,3),IF(E18&lt;=120,ROUND(0.7-0.0025*E18,3),0.4))),IF(E18&lt;=20,1,IF(E18&lt;=40,ROUND(1.25-0.0125*E18,3),IF(E18&lt;=80,ROUND(1.05-0.0075*E18,3),IF(E18&lt;=100,ROUND(0.65-0.0025*E18,3),IF(E18&lt;=120,ROUND(0.9-0.005*E18,3),0.3)))))))</f>
        <v>0.3</v>
      </c>
      <c r="M18" s="21">
        <v>0</v>
      </c>
      <c r="N18" s="37">
        <f t="shared" ref="N18:N49" ca="1" si="5">IF(C18="","",IF(OFFSET($C$5,MATCH(B18,D$6:D$15,-1),4,1,1)="",1,0))</f>
        <v>1</v>
      </c>
      <c r="O18" s="37">
        <f t="shared" ref="O18:O49" ca="1" si="6">IF(C18="","",IF(OFFSET($C$5,MATCH(B18,D$6:D$15,-1),4,1,1)="тип II",1,0))</f>
        <v>0</v>
      </c>
      <c r="Q18" s="22" t="str">
        <f>IF(C18="","",IF(ROUND(($D$6-FLOOR($D$6-$T$8,$C$19-$C$18))-B18,2)&lt;0,"",ROUND(($D$6-FLOOR($D$6-$T$8,$C$19-$C$18))-B18,2)))</f>
        <v/>
      </c>
      <c r="R18" s="22" t="str">
        <f>IF(Q18="","",J18*I18*$T$7)</f>
        <v/>
      </c>
      <c r="S18" s="22" t="str">
        <f>IF(Q18="","",0)</f>
        <v/>
      </c>
      <c r="T18" s="22" t="str">
        <f>IF(Q18="","",R18+S18)</f>
        <v/>
      </c>
      <c r="V18" s="22"/>
      <c r="W18" s="29"/>
      <c r="X18" s="23" t="str">
        <f>IF(Q18="","",MAX(0,(T18/1.25-V18)/9.81-2.5*1.1*$T$7*Q18))</f>
        <v/>
      </c>
      <c r="AH18" s="15">
        <f t="shared" ref="AH18:AH49" si="7">MATCH(B18,D$6:D$15,-1)</f>
        <v>1</v>
      </c>
      <c r="AI18" s="38"/>
      <c r="AJ18" s="29"/>
      <c r="AK18" s="29"/>
      <c r="AL18" s="29"/>
    </row>
    <row r="19" spans="1:38" x14ac:dyDescent="0.2">
      <c r="A19" s="15">
        <v>2</v>
      </c>
      <c r="B19" s="2">
        <f t="shared" si="0"/>
        <v>191.25</v>
      </c>
      <c r="C19" s="25">
        <v>1.8</v>
      </c>
      <c r="D19" s="25">
        <v>3</v>
      </c>
      <c r="E19" s="25">
        <v>168.18</v>
      </c>
      <c r="F19" s="3" t="str">
        <f t="shared" ca="1" si="1"/>
        <v>ИГЭ-1</v>
      </c>
      <c r="G19" s="30" t="str">
        <f t="shared" ca="1" si="2"/>
        <v>пыл.-глинист.</v>
      </c>
      <c r="I19" s="13">
        <f t="shared" ref="I19:I50" ca="1" si="8">IF(D19="","",ROUND(AVERAGE(OFFSET($D$17,MATCH(MAX(FLOOR(C19-$T$5,(C19-C18)),C$18),C$18:C$137),0,MATCH(MIN(CEILING(C19+4*$T$5,(C19-C18)),C$137),C$18:C$137)-MATCH(MAX(FLOOR(C19-$T$5,(C19-C18)),C$18),C$18:C$137)+1,1))*1000,0))</f>
        <v>2100</v>
      </c>
      <c r="J19" s="14">
        <f t="shared" ca="1" si="3"/>
        <v>0.82599999999999996</v>
      </c>
      <c r="L19" s="14">
        <f t="shared" ca="1" si="4"/>
        <v>0.3</v>
      </c>
      <c r="M19" s="22">
        <f t="shared" ref="M19:M50" ca="1" si="9">IF(L19="","",(C19-C18)*SUMPRODUCT(E18:E19,L18:L19)/2)</f>
        <v>10.298099999999998</v>
      </c>
      <c r="N19" s="37">
        <f t="shared" ca="1" si="5"/>
        <v>1</v>
      </c>
      <c r="O19" s="37">
        <f t="shared" ca="1" si="6"/>
        <v>0</v>
      </c>
      <c r="Q19" s="22" t="str">
        <f>IF(C19="","",IF(ROUND(($D$6-FLOOR($D$6-$T$8,$C$19-$C$18))-B19,2)&lt;0,"",ROUND(($D$6-FLOOR($D$6-$T$8,$C$19-$C$18))-B19,2)))</f>
        <v/>
      </c>
      <c r="R19" s="22" t="str">
        <f>IF(Q19="","",J19*I19*$T$7)</f>
        <v/>
      </c>
      <c r="S19" s="22" t="str">
        <f ca="1">IF(Q19="","",IF(Q19=0,0,SUMPRODUCT(OFFSET(M$18,MATCH(MIN(Q$18:Q$137),Q$18:Q$137,0),0,COUNT(M$18:M19)-MATCH(MIN(Q$18:Q$137),Q$18:Q$137,0),1),OFFSET(M$18,MATCH(MIN(Q$18:Q$137),Q$18:Q$137,0),1,COUNT(M$18:M19)-MATCH(MIN(Q$18:Q$137),Q$18:Q$137,0),1))*$T$6))</f>
        <v/>
      </c>
      <c r="T19" s="22" t="str">
        <f>IF(Q19="","",R19+S19)</f>
        <v/>
      </c>
      <c r="V19" s="22" t="str">
        <f ca="1">IF(Q19="","",IF(Q19=0,0,SUMPRODUCT(OFFSET(M$18,MATCH(MIN(Q$18:Q$137),Q$18:Q$137,0),0,COUNT(M$18:M19)-MATCH(MIN(Q$18:Q$137),Q$18:Q$137,0),1),OFFSET(M$18,MATCH(MIN(Q$18:Q$137),Q$18:Q$137,0),2,COUNT(M$18:M19)-MATCH(MIN(Q$18:Q$137),Q$18:Q$137,0),1))*$T$6*$T$14))</f>
        <v/>
      </c>
      <c r="W19" s="29"/>
      <c r="X19" s="23" t="str">
        <f>IF(Q19="","",MAX(0,(T19/1.25-V19)/9.81-2.5*1.1*$T$7*Q19))</f>
        <v/>
      </c>
      <c r="Z19" s="15">
        <f t="shared" ref="Z19:Z50" si="10">C19-T$5</f>
        <v>1.4500000000000002</v>
      </c>
      <c r="AA19" s="15">
        <f t="shared" ref="AA19:AA50" si="11">C19+4*T$5</f>
        <v>3.2</v>
      </c>
      <c r="AC19" s="15">
        <f t="shared" ref="AC19:AC50" si="12">MATCH(MAX(FLOOR(C19-$T$5,(C19-C18)),C$18),C$18:C$137)</f>
        <v>1</v>
      </c>
      <c r="AD19" s="15">
        <f t="shared" ref="AD19:AD50" si="13">MATCH(MIN(CEILING(C19+4*$T$5,(C19-C18)),C$137),C$18:C$137)</f>
        <v>8</v>
      </c>
      <c r="AF19" s="15">
        <f t="shared" ref="AF19:AF50" ca="1" si="14">COUNT(OFFSET($D$17,AC19,0,AD19-AC19+1,1))</f>
        <v>8</v>
      </c>
      <c r="AH19" s="15">
        <f t="shared" si="7"/>
        <v>1</v>
      </c>
      <c r="AI19" s="38" t="e">
        <f>X19/T$5/T$5/9</f>
        <v>#VALUE!</v>
      </c>
      <c r="AJ19" s="29"/>
      <c r="AK19" s="29"/>
      <c r="AL19" s="29"/>
    </row>
    <row r="20" spans="1:38" x14ac:dyDescent="0.2">
      <c r="A20" s="15">
        <v>3</v>
      </c>
      <c r="B20" s="2">
        <f t="shared" si="0"/>
        <v>191.05</v>
      </c>
      <c r="C20" s="25">
        <v>2</v>
      </c>
      <c r="D20" s="25">
        <v>1.44</v>
      </c>
      <c r="E20" s="25">
        <v>92.15</v>
      </c>
      <c r="F20" s="3" t="str">
        <f t="shared" ca="1" si="1"/>
        <v>ИГЭ-2</v>
      </c>
      <c r="G20" s="30" t="str">
        <f t="shared" ca="1" si="2"/>
        <v>пыл.-глинист.</v>
      </c>
      <c r="I20" s="13">
        <f t="shared" ca="1" si="8"/>
        <v>1920</v>
      </c>
      <c r="J20" s="14">
        <f t="shared" ca="1" si="3"/>
        <v>0.83799999999999997</v>
      </c>
      <c r="L20" s="14">
        <f t="shared" ca="1" si="4"/>
        <v>0.42</v>
      </c>
      <c r="M20" s="22">
        <f t="shared" ca="1" si="9"/>
        <v>8.9156999999999993</v>
      </c>
      <c r="N20" s="37">
        <f t="shared" ca="1" si="5"/>
        <v>1</v>
      </c>
      <c r="O20" s="37">
        <f t="shared" ca="1" si="6"/>
        <v>0</v>
      </c>
      <c r="Q20" s="22" t="str">
        <f>IF(C20="","",IF(ROUND(($D$6-FLOOR($D$6-$T$8,$C$19-$C$18))-B20,2)&lt;0,"",ROUND(($D$6-FLOOR($D$6-$T$8,$C$19-$C$18))-B20,2)))</f>
        <v/>
      </c>
      <c r="R20" s="22" t="str">
        <f>IF(Q20="","",J20*I20*$T$7)</f>
        <v/>
      </c>
      <c r="S20" s="22" t="str">
        <f ca="1">IF(Q20="","",IF(Q20=0,0,SUMPRODUCT(OFFSET(M$18,MATCH(MIN(Q$18:Q$137),Q$18:Q$137,0),0,COUNT(M$18:M20)-MATCH(MIN(Q$18:Q$137),Q$18:Q$137,0),1),OFFSET(M$18,MATCH(MIN(Q$18:Q$137),Q$18:Q$137,0),1,COUNT(M$18:M20)-MATCH(MIN(Q$18:Q$137),Q$18:Q$137,0),1))*$T$6))</f>
        <v/>
      </c>
      <c r="T20" s="22" t="str">
        <f>IF(Q20="","",R20+S20)</f>
        <v/>
      </c>
      <c r="V20" s="22" t="str">
        <f ca="1">IF(Q20="","",IF(Q20=0,0,SUMPRODUCT(OFFSET(M$18,MATCH(MIN(Q$18:Q$137),Q$18:Q$137,0),0,COUNT(M$18:M20)-MATCH(MIN(Q$18:Q$137),Q$18:Q$137,0),1),OFFSET(M$18,MATCH(MIN(Q$18:Q$137),Q$18:Q$137,0),2,COUNT(M$18:M20)-MATCH(MIN(Q$18:Q$137),Q$18:Q$137,0),1))*$T$6*$T$14))</f>
        <v/>
      </c>
      <c r="W20" s="29"/>
      <c r="X20" s="23" t="str">
        <f>IF(Q20="","",MAX(0,(T20/1.25-V20)/9.81-2.5*1.1*$T$7*Q20))</f>
        <v/>
      </c>
      <c r="Z20" s="15">
        <f t="shared" si="10"/>
        <v>1.65</v>
      </c>
      <c r="AA20" s="15">
        <f t="shared" si="11"/>
        <v>3.4</v>
      </c>
      <c r="AC20" s="15">
        <f t="shared" si="12"/>
        <v>1</v>
      </c>
      <c r="AD20" s="15">
        <f t="shared" si="13"/>
        <v>9</v>
      </c>
      <c r="AF20" s="15">
        <f t="shared" ca="1" si="14"/>
        <v>9</v>
      </c>
      <c r="AH20" s="15">
        <f t="shared" si="7"/>
        <v>2</v>
      </c>
      <c r="AI20" s="38" t="e">
        <f t="shared" ref="AI20:AI83" si="15">X20/T$5/T$5/9</f>
        <v>#VALUE!</v>
      </c>
      <c r="AJ20" s="29"/>
      <c r="AK20" s="29"/>
      <c r="AL20" s="29"/>
    </row>
    <row r="21" spans="1:38" x14ac:dyDescent="0.2">
      <c r="A21" s="15">
        <v>4</v>
      </c>
      <c r="B21" s="2">
        <f t="shared" si="0"/>
        <v>190.85</v>
      </c>
      <c r="C21" s="25">
        <v>2.2000000000000002</v>
      </c>
      <c r="D21" s="25">
        <v>0.6</v>
      </c>
      <c r="E21" s="25">
        <v>13.82</v>
      </c>
      <c r="F21" s="3" t="str">
        <f t="shared" ca="1" si="1"/>
        <v>ИГЭ-2</v>
      </c>
      <c r="G21" s="30" t="str">
        <f t="shared" ca="1" si="2"/>
        <v>пыл.-глинист.</v>
      </c>
      <c r="I21" s="13">
        <f t="shared" ca="1" si="8"/>
        <v>828</v>
      </c>
      <c r="J21" s="14">
        <f t="shared" ca="1" si="3"/>
        <v>0.9</v>
      </c>
      <c r="L21" s="14">
        <f t="shared" ca="1" si="4"/>
        <v>1</v>
      </c>
      <c r="M21" s="22">
        <f t="shared" ca="1" si="9"/>
        <v>5.2523000000000053</v>
      </c>
      <c r="N21" s="37">
        <f t="shared" ca="1" si="5"/>
        <v>1</v>
      </c>
      <c r="O21" s="37">
        <f t="shared" ca="1" si="6"/>
        <v>0</v>
      </c>
      <c r="Q21" s="22" t="str">
        <f>IF(C21="","",IF(ROUND(($D$6-FLOOR($D$6-$T$8,$C$19-$C$18))-B21,2)&lt;0,"",ROUND(($D$6-FLOOR($D$6-$T$8,$C$19-$C$18))-B21,2)))</f>
        <v/>
      </c>
      <c r="R21" s="22" t="str">
        <f>IF(Q21="","",J21*I21*$T$7)</f>
        <v/>
      </c>
      <c r="S21" s="22" t="str">
        <f ca="1">IF(Q21="","",IF(Q21=0,0,SUMPRODUCT(OFFSET(M$18,MATCH(MIN(Q$18:Q$137),Q$18:Q$137,0),0,COUNT(M$18:M21)-MATCH(MIN(Q$18:Q$137),Q$18:Q$137,0),1),OFFSET(M$18,MATCH(MIN(Q$18:Q$137),Q$18:Q$137,0),1,COUNT(M$18:M21)-MATCH(MIN(Q$18:Q$137),Q$18:Q$137,0),1))*$T$6))</f>
        <v/>
      </c>
      <c r="T21" s="22" t="str">
        <f>IF(Q21="","",R21+S21)</f>
        <v/>
      </c>
      <c r="V21" s="22" t="str">
        <f ca="1">IF(Q21="","",IF(Q21=0,0,SUMPRODUCT(OFFSET(M$18,MATCH(MIN(Q$18:Q$137),Q$18:Q$137,0),0,COUNT(M$18:M21)-MATCH(MIN(Q$18:Q$137),Q$18:Q$137,0),1),OFFSET(M$18,MATCH(MIN(Q$18:Q$137),Q$18:Q$137,0),2,COUNT(M$18:M21)-MATCH(MIN(Q$18:Q$137),Q$18:Q$137,0),1))*$T$6*$T$14))</f>
        <v/>
      </c>
      <c r="W21" s="29"/>
      <c r="X21" s="23" t="str">
        <f>IF(Q21="","",MAX(0,(T21/1.25-V21)/9.81-2.5*1.1*$T$7*Q21))</f>
        <v/>
      </c>
      <c r="Z21" s="15">
        <f t="shared" si="10"/>
        <v>1.85</v>
      </c>
      <c r="AA21" s="15">
        <f t="shared" si="11"/>
        <v>3.6</v>
      </c>
      <c r="AC21" s="15">
        <f t="shared" si="12"/>
        <v>2</v>
      </c>
      <c r="AD21" s="15">
        <f t="shared" si="13"/>
        <v>11</v>
      </c>
      <c r="AF21" s="15">
        <f t="shared" ca="1" si="14"/>
        <v>10</v>
      </c>
      <c r="AH21" s="15">
        <f t="shared" si="7"/>
        <v>2</v>
      </c>
      <c r="AI21" s="38" t="e">
        <f t="shared" si="15"/>
        <v>#VALUE!</v>
      </c>
      <c r="AJ21" s="29"/>
      <c r="AK21" s="29"/>
      <c r="AL21" s="29"/>
    </row>
    <row r="22" spans="1:38" x14ac:dyDescent="0.2">
      <c r="A22" s="15">
        <v>5</v>
      </c>
      <c r="B22" s="2">
        <f t="shared" si="0"/>
        <v>190.65</v>
      </c>
      <c r="C22" s="25">
        <v>2.4</v>
      </c>
      <c r="D22" s="25">
        <v>0.48</v>
      </c>
      <c r="E22" s="25">
        <v>6.91</v>
      </c>
      <c r="F22" s="3" t="str">
        <f t="shared" ca="1" si="1"/>
        <v>ИГЭ-2</v>
      </c>
      <c r="G22" s="30" t="str">
        <f t="shared" ca="1" si="2"/>
        <v>пыл.-глинист.</v>
      </c>
      <c r="I22" s="13">
        <f t="shared" ca="1" si="8"/>
        <v>828</v>
      </c>
      <c r="J22" s="14">
        <f t="shared" ca="1" si="3"/>
        <v>0.9</v>
      </c>
      <c r="L22" s="14">
        <f t="shared" ca="1" si="4"/>
        <v>1</v>
      </c>
      <c r="M22" s="22">
        <f t="shared" ca="1" si="9"/>
        <v>2.0729999999999973</v>
      </c>
      <c r="N22" s="37">
        <f t="shared" ca="1" si="5"/>
        <v>1</v>
      </c>
      <c r="O22" s="37">
        <f t="shared" ca="1" si="6"/>
        <v>0</v>
      </c>
      <c r="Q22" s="22" t="str">
        <f t="shared" ref="Q22:Q85" si="16">IF(C22="","",IF(ROUND(($D$6-FLOOR($D$6-$T$8,$C$19-$C$18))-B22,2)&lt;0,"",ROUND(($D$6-FLOOR($D$6-$T$8,$C$19-$C$18))-B22,2)))</f>
        <v/>
      </c>
      <c r="R22" s="22" t="str">
        <f t="shared" ref="R22:R85" si="17">IF(Q22="","",J22*I22*$T$7)</f>
        <v/>
      </c>
      <c r="S22" s="22" t="str">
        <f ca="1">IF(Q22="","",IF(Q22=0,0,SUMPRODUCT(OFFSET(M$18,MATCH(MIN(Q$18:Q$137),Q$18:Q$137,0),0,COUNT(M$18:M22)-MATCH(MIN(Q$18:Q$137),Q$18:Q$137,0),1),OFFSET(M$18,MATCH(MIN(Q$18:Q$137),Q$18:Q$137,0),1,COUNT(M$18:M22)-MATCH(MIN(Q$18:Q$137),Q$18:Q$137,0),1))*$T$6))</f>
        <v/>
      </c>
      <c r="T22" s="22" t="str">
        <f t="shared" ref="T22:T85" si="18">IF(Q22="","",R22+S22)</f>
        <v/>
      </c>
      <c r="V22" s="22" t="str">
        <f ca="1">IF(Q22="","",IF(Q22=0,0,SUMPRODUCT(OFFSET(M$18,MATCH(MIN(Q$18:Q$137),Q$18:Q$137,0),0,COUNT(M$18:M22)-MATCH(MIN(Q$18:Q$137),Q$18:Q$137,0),1),OFFSET(M$18,MATCH(MIN(Q$18:Q$137),Q$18:Q$137,0),2,COUNT(M$18:M22)-MATCH(MIN(Q$18:Q$137),Q$18:Q$137,0),1))*$T$6*$T$14))</f>
        <v/>
      </c>
      <c r="W22" s="29"/>
      <c r="X22" s="23" t="str">
        <f t="shared" ref="X22:X85" si="19">IF(Q22="","",MAX(0,(T22/1.25-V22)/9.81-2.5*1.1*$T$7*Q22))</f>
        <v/>
      </c>
      <c r="Z22" s="15">
        <f t="shared" si="10"/>
        <v>2.0499999999999998</v>
      </c>
      <c r="AA22" s="15">
        <f t="shared" si="11"/>
        <v>3.8</v>
      </c>
      <c r="AC22" s="15">
        <f t="shared" si="12"/>
        <v>2</v>
      </c>
      <c r="AD22" s="15">
        <f t="shared" si="13"/>
        <v>11</v>
      </c>
      <c r="AF22" s="15">
        <f t="shared" ca="1" si="14"/>
        <v>10</v>
      </c>
      <c r="AH22" s="15">
        <f t="shared" si="7"/>
        <v>2</v>
      </c>
      <c r="AI22" s="38" t="e">
        <f t="shared" si="15"/>
        <v>#VALUE!</v>
      </c>
      <c r="AJ22" s="29"/>
      <c r="AK22" s="29"/>
      <c r="AL22" s="29"/>
    </row>
    <row r="23" spans="1:38" x14ac:dyDescent="0.2">
      <c r="A23" s="15">
        <v>6</v>
      </c>
      <c r="B23" s="2">
        <f t="shared" si="0"/>
        <v>190.45</v>
      </c>
      <c r="C23" s="25">
        <v>2.6</v>
      </c>
      <c r="D23" s="25">
        <v>0.48</v>
      </c>
      <c r="E23" s="25">
        <v>4.6100000000000003</v>
      </c>
      <c r="F23" s="3" t="str">
        <f t="shared" ca="1" si="1"/>
        <v>ИГЭ-2</v>
      </c>
      <c r="G23" s="30" t="str">
        <f t="shared" ca="1" si="2"/>
        <v>пыл.-глинист.</v>
      </c>
      <c r="I23" s="13">
        <f t="shared" ca="1" si="8"/>
        <v>480</v>
      </c>
      <c r="J23" s="14">
        <f t="shared" ca="1" si="3"/>
        <v>0.9</v>
      </c>
      <c r="L23" s="14">
        <f t="shared" ca="1" si="4"/>
        <v>1</v>
      </c>
      <c r="M23" s="22">
        <f t="shared" ca="1" si="9"/>
        <v>1.152000000000001</v>
      </c>
      <c r="N23" s="37">
        <f t="shared" ca="1" si="5"/>
        <v>1</v>
      </c>
      <c r="O23" s="37">
        <f t="shared" ca="1" si="6"/>
        <v>0</v>
      </c>
      <c r="Q23" s="22" t="str">
        <f t="shared" si="16"/>
        <v/>
      </c>
      <c r="R23" s="22" t="str">
        <f t="shared" si="17"/>
        <v/>
      </c>
      <c r="S23" s="22" t="str">
        <f ca="1">IF(Q23="","",IF(Q23=0,0,SUMPRODUCT(OFFSET(M$18,MATCH(MIN(Q$18:Q$137),Q$18:Q$137,0),0,COUNT(M$18:M23)-MATCH(MIN(Q$18:Q$137),Q$18:Q$137,0),1),OFFSET(M$18,MATCH(MIN(Q$18:Q$137),Q$18:Q$137,0),1,COUNT(M$18:M23)-MATCH(MIN(Q$18:Q$137),Q$18:Q$137,0),1))*$T$6))</f>
        <v/>
      </c>
      <c r="T23" s="22" t="str">
        <f t="shared" si="18"/>
        <v/>
      </c>
      <c r="V23" s="22" t="str">
        <f ca="1">IF(Q23="","",IF(Q23=0,0,SUMPRODUCT(OFFSET(M$18,MATCH(MIN(Q$18:Q$137),Q$18:Q$137,0),0,COUNT(M$18:M23)-MATCH(MIN(Q$18:Q$137),Q$18:Q$137,0),1),OFFSET(M$18,MATCH(MIN(Q$18:Q$137),Q$18:Q$137,0),2,COUNT(M$18:M23)-MATCH(MIN(Q$18:Q$137),Q$18:Q$137,0),1))*$T$6*$T$14))</f>
        <v/>
      </c>
      <c r="W23" s="29"/>
      <c r="X23" s="23" t="str">
        <f t="shared" si="19"/>
        <v/>
      </c>
      <c r="Z23" s="15">
        <f t="shared" si="10"/>
        <v>2.25</v>
      </c>
      <c r="AA23" s="15">
        <f t="shared" si="11"/>
        <v>4</v>
      </c>
      <c r="AC23" s="15">
        <f t="shared" si="12"/>
        <v>4</v>
      </c>
      <c r="AD23" s="15">
        <f t="shared" si="13"/>
        <v>13</v>
      </c>
      <c r="AF23" s="15">
        <f t="shared" ca="1" si="14"/>
        <v>10</v>
      </c>
      <c r="AH23" s="15">
        <f t="shared" si="7"/>
        <v>2</v>
      </c>
      <c r="AI23" s="38" t="e">
        <f t="shared" si="15"/>
        <v>#VALUE!</v>
      </c>
      <c r="AJ23" s="29"/>
      <c r="AK23" s="29"/>
      <c r="AL23" s="29"/>
    </row>
    <row r="24" spans="1:38" x14ac:dyDescent="0.2">
      <c r="A24" s="15">
        <v>7</v>
      </c>
      <c r="B24" s="2">
        <f t="shared" si="0"/>
        <v>190.25</v>
      </c>
      <c r="C24" s="25">
        <v>2.8</v>
      </c>
      <c r="D24" s="25">
        <v>0.36</v>
      </c>
      <c r="E24" s="25">
        <v>2.2999999999999998</v>
      </c>
      <c r="F24" s="3" t="str">
        <f t="shared" ca="1" si="1"/>
        <v>ИГЭ-2</v>
      </c>
      <c r="G24" s="30" t="str">
        <f t="shared" ca="1" si="2"/>
        <v>пыл.-глинист.</v>
      </c>
      <c r="I24" s="13">
        <f t="shared" ca="1" si="8"/>
        <v>480</v>
      </c>
      <c r="J24" s="14">
        <f t="shared" ca="1" si="3"/>
        <v>0.9</v>
      </c>
      <c r="L24" s="14">
        <f t="shared" ca="1" si="4"/>
        <v>1</v>
      </c>
      <c r="M24" s="22">
        <f t="shared" ca="1" si="9"/>
        <v>0.69099999999999906</v>
      </c>
      <c r="N24" s="37">
        <f t="shared" ca="1" si="5"/>
        <v>1</v>
      </c>
      <c r="O24" s="37">
        <f t="shared" ca="1" si="6"/>
        <v>0</v>
      </c>
      <c r="Q24" s="22" t="str">
        <f t="shared" si="16"/>
        <v/>
      </c>
      <c r="R24" s="22" t="str">
        <f t="shared" si="17"/>
        <v/>
      </c>
      <c r="S24" s="22" t="str">
        <f ca="1">IF(Q24="","",IF(Q24=0,0,SUMPRODUCT(OFFSET(M$18,MATCH(MIN(Q$18:Q$137),Q$18:Q$137,0),0,COUNT(M$18:M24)-MATCH(MIN(Q$18:Q$137),Q$18:Q$137,0),1),OFFSET(M$18,MATCH(MIN(Q$18:Q$137),Q$18:Q$137,0),1,COUNT(M$18:M24)-MATCH(MIN(Q$18:Q$137),Q$18:Q$137,0),1))*$T$6))</f>
        <v/>
      </c>
      <c r="T24" s="22" t="str">
        <f t="shared" si="18"/>
        <v/>
      </c>
      <c r="V24" s="22" t="str">
        <f ca="1">IF(Q24="","",IF(Q24=0,0,SUMPRODUCT(OFFSET(M$18,MATCH(MIN(Q$18:Q$137),Q$18:Q$137,0),0,COUNT(M$18:M24)-MATCH(MIN(Q$18:Q$137),Q$18:Q$137,0),1),OFFSET(M$18,MATCH(MIN(Q$18:Q$137),Q$18:Q$137,0),2,COUNT(M$18:M24)-MATCH(MIN(Q$18:Q$137),Q$18:Q$137,0),1))*$T$6*$T$14))</f>
        <v/>
      </c>
      <c r="W24" s="29"/>
      <c r="X24" s="23" t="str">
        <f t="shared" si="19"/>
        <v/>
      </c>
      <c r="Z24" s="15">
        <f t="shared" si="10"/>
        <v>2.4499999999999997</v>
      </c>
      <c r="AA24" s="15">
        <f t="shared" si="11"/>
        <v>4.1999999999999993</v>
      </c>
      <c r="AC24" s="15">
        <f t="shared" si="12"/>
        <v>4</v>
      </c>
      <c r="AD24" s="15">
        <f t="shared" si="13"/>
        <v>13</v>
      </c>
      <c r="AF24" s="15">
        <f t="shared" ca="1" si="14"/>
        <v>10</v>
      </c>
      <c r="AH24" s="15">
        <f t="shared" si="7"/>
        <v>2</v>
      </c>
      <c r="AI24" s="38" t="e">
        <f t="shared" si="15"/>
        <v>#VALUE!</v>
      </c>
      <c r="AJ24" s="29"/>
      <c r="AK24" s="29"/>
      <c r="AL24" s="29"/>
    </row>
    <row r="25" spans="1:38" x14ac:dyDescent="0.2">
      <c r="A25" s="15">
        <v>8</v>
      </c>
      <c r="B25" s="2">
        <f t="shared" si="0"/>
        <v>190.05</v>
      </c>
      <c r="C25" s="25">
        <v>3</v>
      </c>
      <c r="D25" s="25">
        <v>0.48</v>
      </c>
      <c r="E25" s="25">
        <v>2.2999999999999998</v>
      </c>
      <c r="F25" s="3" t="str">
        <f t="shared" ca="1" si="1"/>
        <v>ИГЭ-2</v>
      </c>
      <c r="G25" s="30" t="str">
        <f t="shared" ca="1" si="2"/>
        <v>пыл.-глинист.</v>
      </c>
      <c r="I25" s="13">
        <f t="shared" ca="1" si="8"/>
        <v>468</v>
      </c>
      <c r="J25" s="14">
        <f t="shared" ca="1" si="3"/>
        <v>0.9</v>
      </c>
      <c r="L25" s="14">
        <f t="shared" ca="1" si="4"/>
        <v>1</v>
      </c>
      <c r="M25" s="22">
        <f t="shared" ca="1" si="9"/>
        <v>0.46000000000000035</v>
      </c>
      <c r="N25" s="37">
        <f t="shared" ca="1" si="5"/>
        <v>1</v>
      </c>
      <c r="O25" s="37">
        <f t="shared" ca="1" si="6"/>
        <v>0</v>
      </c>
      <c r="Q25" s="22">
        <f t="shared" si="16"/>
        <v>0</v>
      </c>
      <c r="R25" s="22">
        <f t="shared" ca="1" si="17"/>
        <v>51.596999999999994</v>
      </c>
      <c r="S25" s="22">
        <f ca="1">IF(Q25="","",IF(Q25=0,0,SUMPRODUCT(OFFSET(M$18,MATCH(MIN(Q$18:Q$137),Q$18:Q$137,0),0,COUNT(M$18:M25)-MATCH(MIN(Q$18:Q$137),Q$18:Q$137,0),1),OFFSET(M$18,MATCH(MIN(Q$18:Q$137),Q$18:Q$137,0),1,COUNT(M$18:M25)-MATCH(MIN(Q$18:Q$137),Q$18:Q$137,0),1))*$T$6))</f>
        <v>0</v>
      </c>
      <c r="T25" s="22">
        <f t="shared" ca="1" si="18"/>
        <v>51.596999999999994</v>
      </c>
      <c r="V25" s="22">
        <f ca="1">IF(Q25="","",IF(Q25=0,0,SUMPRODUCT(OFFSET(M$18,MATCH(MIN(Q$18:Q$137),Q$18:Q$137,0),0,COUNT(M$18:M25)-MATCH(MIN(Q$18:Q$137),Q$18:Q$137,0),1),OFFSET(M$18,MATCH(MIN(Q$18:Q$137),Q$18:Q$137,0),2,COUNT(M$18:M25)-MATCH(MIN(Q$18:Q$137),Q$18:Q$137,0),1))*$T$6*$T$14))</f>
        <v>0</v>
      </c>
      <c r="W25" s="29"/>
      <c r="X25" s="23">
        <f t="shared" ca="1" si="19"/>
        <v>4.2077064220183473</v>
      </c>
      <c r="Z25" s="15">
        <f t="shared" si="10"/>
        <v>2.65</v>
      </c>
      <c r="AA25" s="15">
        <f t="shared" si="11"/>
        <v>4.4000000000000004</v>
      </c>
      <c r="AC25" s="15">
        <f t="shared" si="12"/>
        <v>6</v>
      </c>
      <c r="AD25" s="15">
        <f t="shared" si="13"/>
        <v>15</v>
      </c>
      <c r="AF25" s="15">
        <f t="shared" ca="1" si="14"/>
        <v>10</v>
      </c>
      <c r="AH25" s="15">
        <f t="shared" si="7"/>
        <v>2</v>
      </c>
      <c r="AI25" s="38">
        <f t="shared" ca="1" si="15"/>
        <v>3.8165137614678892</v>
      </c>
      <c r="AJ25" s="29"/>
      <c r="AK25" s="29"/>
      <c r="AL25" s="29"/>
    </row>
    <row r="26" spans="1:38" x14ac:dyDescent="0.2">
      <c r="A26" s="15">
        <v>9</v>
      </c>
      <c r="B26" s="2">
        <f t="shared" si="0"/>
        <v>189.85</v>
      </c>
      <c r="C26" s="25">
        <v>3.2</v>
      </c>
      <c r="D26" s="25">
        <v>0.48</v>
      </c>
      <c r="E26" s="25">
        <v>2.2999999999999998</v>
      </c>
      <c r="F26" s="3" t="str">
        <f t="shared" ca="1" si="1"/>
        <v>ИГЭ-2</v>
      </c>
      <c r="G26" s="30" t="str">
        <f t="shared" ca="1" si="2"/>
        <v>пыл.-глинист.</v>
      </c>
      <c r="I26" s="13">
        <f t="shared" ca="1" si="8"/>
        <v>468</v>
      </c>
      <c r="J26" s="14">
        <f t="shared" ca="1" si="3"/>
        <v>0.9</v>
      </c>
      <c r="L26" s="14">
        <f t="shared" ca="1" si="4"/>
        <v>1</v>
      </c>
      <c r="M26" s="22">
        <f t="shared" ca="1" si="9"/>
        <v>0.46000000000000035</v>
      </c>
      <c r="N26" s="37">
        <f t="shared" ca="1" si="5"/>
        <v>1</v>
      </c>
      <c r="O26" s="37">
        <f t="shared" ca="1" si="6"/>
        <v>0</v>
      </c>
      <c r="Q26" s="22">
        <f t="shared" si="16"/>
        <v>0.2</v>
      </c>
      <c r="R26" s="22">
        <f t="shared" ca="1" si="17"/>
        <v>51.596999999999994</v>
      </c>
      <c r="S26" s="22">
        <f ca="1">IF(Q26="","",IF(Q26=0,0,SUMPRODUCT(OFFSET(M$18,MATCH(MIN(Q$18:Q$137),Q$18:Q$137,0),0,COUNT(M$18:M26)-MATCH(MIN(Q$18:Q$137),Q$18:Q$137,0),1),OFFSET(M$18,MATCH(MIN(Q$18:Q$137),Q$18:Q$137,0),1,COUNT(M$18:M26)-MATCH(MIN(Q$18:Q$137),Q$18:Q$137,0),1))*$T$6))</f>
        <v>0.64400000000000046</v>
      </c>
      <c r="T26" s="22">
        <f t="shared" ca="1" si="18"/>
        <v>52.240999999999993</v>
      </c>
      <c r="V26" s="22">
        <f ca="1">IF(Q26="","",IF(Q26=0,0,SUMPRODUCT(OFFSET(M$18,MATCH(MIN(Q$18:Q$137),Q$18:Q$137,0),0,COUNT(M$18:M26)-MATCH(MIN(Q$18:Q$137),Q$18:Q$137,0),1),OFFSET(M$18,MATCH(MIN(Q$18:Q$137),Q$18:Q$137,0),2,COUNT(M$18:M26)-MATCH(MIN(Q$18:Q$137),Q$18:Q$137,0),1))*$T$6*$T$14))</f>
        <v>0</v>
      </c>
      <c r="W26" s="29"/>
      <c r="X26" s="23">
        <f t="shared" ca="1" si="19"/>
        <v>4.1928492609582051</v>
      </c>
      <c r="Z26" s="15">
        <f t="shared" si="10"/>
        <v>2.85</v>
      </c>
      <c r="AA26" s="15">
        <f t="shared" si="11"/>
        <v>4.5999999999999996</v>
      </c>
      <c r="AC26" s="15">
        <f t="shared" si="12"/>
        <v>7</v>
      </c>
      <c r="AD26" s="15">
        <f t="shared" si="13"/>
        <v>16</v>
      </c>
      <c r="AF26" s="15">
        <f t="shared" ca="1" si="14"/>
        <v>10</v>
      </c>
      <c r="AH26" s="15">
        <f t="shared" si="7"/>
        <v>2</v>
      </c>
      <c r="AI26" s="38">
        <f t="shared" ca="1" si="15"/>
        <v>3.8030378784201408</v>
      </c>
      <c r="AJ26" s="29"/>
      <c r="AK26" s="29"/>
      <c r="AL26" s="29"/>
    </row>
    <row r="27" spans="1:38" x14ac:dyDescent="0.2">
      <c r="A27" s="15">
        <v>10</v>
      </c>
      <c r="B27" s="2">
        <f t="shared" si="0"/>
        <v>189.65</v>
      </c>
      <c r="C27" s="25">
        <v>3.4</v>
      </c>
      <c r="D27" s="25">
        <v>0.48</v>
      </c>
      <c r="E27" s="25">
        <v>2.2999999999999998</v>
      </c>
      <c r="F27" s="3" t="str">
        <f t="shared" ca="1" si="1"/>
        <v>ИГЭ-2</v>
      </c>
      <c r="G27" s="30" t="str">
        <f t="shared" ca="1" si="2"/>
        <v>пыл.-глинист.</v>
      </c>
      <c r="I27" s="13">
        <f t="shared" ca="1" si="8"/>
        <v>468</v>
      </c>
      <c r="J27" s="14">
        <f t="shared" ca="1" si="3"/>
        <v>0.9</v>
      </c>
      <c r="L27" s="14">
        <f t="shared" ca="1" si="4"/>
        <v>1</v>
      </c>
      <c r="M27" s="22">
        <f t="shared" ca="1" si="9"/>
        <v>0.45999999999999935</v>
      </c>
      <c r="N27" s="37">
        <f t="shared" ca="1" si="5"/>
        <v>1</v>
      </c>
      <c r="O27" s="37">
        <f t="shared" ca="1" si="6"/>
        <v>0</v>
      </c>
      <c r="Q27" s="22">
        <f t="shared" si="16"/>
        <v>0.4</v>
      </c>
      <c r="R27" s="22">
        <f t="shared" ca="1" si="17"/>
        <v>51.596999999999994</v>
      </c>
      <c r="S27" s="22">
        <f ca="1">IF(Q27="","",IF(Q27=0,0,SUMPRODUCT(OFFSET(M$18,MATCH(MIN(Q$18:Q$137),Q$18:Q$137,0),0,COUNT(M$18:M27)-MATCH(MIN(Q$18:Q$137),Q$18:Q$137,0),1),OFFSET(M$18,MATCH(MIN(Q$18:Q$137),Q$18:Q$137,0),1,COUNT(M$18:M27)-MATCH(MIN(Q$18:Q$137),Q$18:Q$137,0),1))*$T$6))</f>
        <v>1.2879999999999996</v>
      </c>
      <c r="T27" s="22">
        <f t="shared" ca="1" si="18"/>
        <v>52.884999999999991</v>
      </c>
      <c r="V27" s="22">
        <f ca="1">IF(Q27="","",IF(Q27=0,0,SUMPRODUCT(OFFSET(M$18,MATCH(MIN(Q$18:Q$137),Q$18:Q$137,0),0,COUNT(M$18:M27)-MATCH(MIN(Q$18:Q$137),Q$18:Q$137,0),1),OFFSET(M$18,MATCH(MIN(Q$18:Q$137),Q$18:Q$137,0),2,COUNT(M$18:M27)-MATCH(MIN(Q$18:Q$137),Q$18:Q$137,0),1))*$T$6*$T$14))</f>
        <v>0</v>
      </c>
      <c r="W27" s="29"/>
      <c r="X27" s="23">
        <f t="shared" ca="1" si="19"/>
        <v>4.177992099898062</v>
      </c>
      <c r="Z27" s="15">
        <f t="shared" si="10"/>
        <v>3.05</v>
      </c>
      <c r="AA27" s="15">
        <f t="shared" si="11"/>
        <v>4.8</v>
      </c>
      <c r="AC27" s="15">
        <f t="shared" si="12"/>
        <v>7</v>
      </c>
      <c r="AD27" s="15">
        <f t="shared" si="13"/>
        <v>16</v>
      </c>
      <c r="AF27" s="15">
        <f t="shared" ca="1" si="14"/>
        <v>10</v>
      </c>
      <c r="AH27" s="15">
        <f t="shared" si="7"/>
        <v>2</v>
      </c>
      <c r="AI27" s="38">
        <f t="shared" ca="1" si="15"/>
        <v>3.789561995372392</v>
      </c>
      <c r="AJ27" s="29"/>
      <c r="AK27" s="29"/>
      <c r="AL27" s="29"/>
    </row>
    <row r="28" spans="1:38" x14ac:dyDescent="0.2">
      <c r="A28" s="15">
        <v>11</v>
      </c>
      <c r="B28" s="2">
        <f t="shared" si="0"/>
        <v>189.45</v>
      </c>
      <c r="C28" s="25">
        <v>3.6</v>
      </c>
      <c r="D28" s="25">
        <v>0.48</v>
      </c>
      <c r="E28" s="25">
        <v>2.2999999999999998</v>
      </c>
      <c r="F28" s="3" t="str">
        <f t="shared" ca="1" si="1"/>
        <v>ИГЭ-2</v>
      </c>
      <c r="G28" s="30" t="str">
        <f t="shared" ca="1" si="2"/>
        <v>пыл.-глинист.</v>
      </c>
      <c r="I28" s="13">
        <f t="shared" ca="1" si="8"/>
        <v>528</v>
      </c>
      <c r="J28" s="14">
        <f t="shared" ca="1" si="3"/>
        <v>0.9</v>
      </c>
      <c r="L28" s="14">
        <f t="shared" ca="1" si="4"/>
        <v>1</v>
      </c>
      <c r="M28" s="22">
        <f t="shared" ca="1" si="9"/>
        <v>0.46000000000000035</v>
      </c>
      <c r="N28" s="37">
        <f t="shared" ca="1" si="5"/>
        <v>1</v>
      </c>
      <c r="O28" s="37">
        <f t="shared" ca="1" si="6"/>
        <v>0</v>
      </c>
      <c r="Q28" s="22">
        <f t="shared" si="16"/>
        <v>0.6</v>
      </c>
      <c r="R28" s="22">
        <f t="shared" ca="1" si="17"/>
        <v>58.211999999999989</v>
      </c>
      <c r="S28" s="22">
        <f ca="1">IF(Q28="","",IF(Q28=0,0,SUMPRODUCT(OFFSET(M$18,MATCH(MIN(Q$18:Q$137),Q$18:Q$137,0),0,COUNT(M$18:M28)-MATCH(MIN(Q$18:Q$137),Q$18:Q$137,0),1),OFFSET(M$18,MATCH(MIN(Q$18:Q$137),Q$18:Q$137,0),1,COUNT(M$18:M28)-MATCH(MIN(Q$18:Q$137),Q$18:Q$137,0),1))*$T$6))</f>
        <v>1.9319999999999999</v>
      </c>
      <c r="T28" s="22">
        <f t="shared" ca="1" si="18"/>
        <v>60.143999999999991</v>
      </c>
      <c r="V28" s="22">
        <f ca="1">IF(Q28="","",IF(Q28=0,0,SUMPRODUCT(OFFSET(M$18,MATCH(MIN(Q$18:Q$137),Q$18:Q$137,0),0,COUNT(M$18:M28)-MATCH(MIN(Q$18:Q$137),Q$18:Q$137,0),1),OFFSET(M$18,MATCH(MIN(Q$18:Q$137),Q$18:Q$137,0),2,COUNT(M$18:M28)-MATCH(MIN(Q$18:Q$137),Q$18:Q$137,0),1))*$T$6*$T$14))</f>
        <v>0</v>
      </c>
      <c r="W28" s="29"/>
      <c r="X28" s="23">
        <f t="shared" ca="1" si="19"/>
        <v>4.702584480122324</v>
      </c>
      <c r="Z28" s="15">
        <f t="shared" si="10"/>
        <v>3.25</v>
      </c>
      <c r="AA28" s="15">
        <f t="shared" si="11"/>
        <v>5</v>
      </c>
      <c r="AC28" s="15">
        <f t="shared" si="12"/>
        <v>9</v>
      </c>
      <c r="AD28" s="15">
        <f t="shared" si="13"/>
        <v>18</v>
      </c>
      <c r="AF28" s="15">
        <f t="shared" ca="1" si="14"/>
        <v>10</v>
      </c>
      <c r="AH28" s="15">
        <f t="shared" si="7"/>
        <v>2</v>
      </c>
      <c r="AI28" s="38">
        <f t="shared" ca="1" si="15"/>
        <v>4.2653827484102713</v>
      </c>
      <c r="AJ28" s="29"/>
      <c r="AK28" s="29"/>
      <c r="AL28" s="29"/>
    </row>
    <row r="29" spans="1:38" x14ac:dyDescent="0.2">
      <c r="A29" s="15">
        <v>12</v>
      </c>
      <c r="B29" s="2">
        <f t="shared" si="0"/>
        <v>189.25</v>
      </c>
      <c r="C29" s="25">
        <v>3.8</v>
      </c>
      <c r="D29" s="25">
        <v>0.48</v>
      </c>
      <c r="E29" s="25">
        <v>2.2999999999999998</v>
      </c>
      <c r="F29" s="3" t="str">
        <f t="shared" ca="1" si="1"/>
        <v>ИГЭ-2</v>
      </c>
      <c r="G29" s="30" t="str">
        <f t="shared" ca="1" si="2"/>
        <v>пыл.-глинист.</v>
      </c>
      <c r="I29" s="13">
        <f t="shared" ca="1" si="8"/>
        <v>528</v>
      </c>
      <c r="J29" s="14">
        <f t="shared" ca="1" si="3"/>
        <v>0.9</v>
      </c>
      <c r="L29" s="14">
        <f t="shared" ca="1" si="4"/>
        <v>1</v>
      </c>
      <c r="M29" s="22">
        <f t="shared" ca="1" si="9"/>
        <v>0.45999999999999935</v>
      </c>
      <c r="N29" s="37">
        <f t="shared" ca="1" si="5"/>
        <v>1</v>
      </c>
      <c r="O29" s="37">
        <f t="shared" ca="1" si="6"/>
        <v>0</v>
      </c>
      <c r="Q29" s="22">
        <f t="shared" si="16"/>
        <v>0.8</v>
      </c>
      <c r="R29" s="22">
        <f t="shared" ca="1" si="17"/>
        <v>58.211999999999989</v>
      </c>
      <c r="S29" s="22">
        <f ca="1">IF(Q29="","",IF(Q29=0,0,SUMPRODUCT(OFFSET(M$18,MATCH(MIN(Q$18:Q$137),Q$18:Q$137,0),0,COUNT(M$18:M29)-MATCH(MIN(Q$18:Q$137),Q$18:Q$137,0),1),OFFSET(M$18,MATCH(MIN(Q$18:Q$137),Q$18:Q$137,0),1,COUNT(M$18:M29)-MATCH(MIN(Q$18:Q$137),Q$18:Q$137,0),1))*$T$6))</f>
        <v>2.5759999999999992</v>
      </c>
      <c r="T29" s="22">
        <f t="shared" ca="1" si="18"/>
        <v>60.78799999999999</v>
      </c>
      <c r="V29" s="22">
        <f ca="1">IF(Q29="","",IF(Q29=0,0,SUMPRODUCT(OFFSET(M$18,MATCH(MIN(Q$18:Q$137),Q$18:Q$137,0),0,COUNT(M$18:M29)-MATCH(MIN(Q$18:Q$137),Q$18:Q$137,0),1),OFFSET(M$18,MATCH(MIN(Q$18:Q$137),Q$18:Q$137,0),2,COUNT(M$18:M29)-MATCH(MIN(Q$18:Q$137),Q$18:Q$137,0),1))*$T$6*$T$14))</f>
        <v>0</v>
      </c>
      <c r="W29" s="29"/>
      <c r="X29" s="23">
        <f t="shared" ca="1" si="19"/>
        <v>4.6877273190621809</v>
      </c>
      <c r="Z29" s="15">
        <f t="shared" si="10"/>
        <v>3.4499999999999997</v>
      </c>
      <c r="AA29" s="15">
        <f t="shared" si="11"/>
        <v>5.1999999999999993</v>
      </c>
      <c r="AC29" s="15">
        <f t="shared" si="12"/>
        <v>9</v>
      </c>
      <c r="AD29" s="15">
        <f t="shared" si="13"/>
        <v>18</v>
      </c>
      <c r="AF29" s="15">
        <f t="shared" ca="1" si="14"/>
        <v>10</v>
      </c>
      <c r="AH29" s="15">
        <f t="shared" si="7"/>
        <v>2</v>
      </c>
      <c r="AI29" s="38">
        <f t="shared" ca="1" si="15"/>
        <v>4.2519068653625229</v>
      </c>
      <c r="AJ29" s="29"/>
      <c r="AK29" s="29"/>
      <c r="AL29" s="29"/>
    </row>
    <row r="30" spans="1:38" x14ac:dyDescent="0.2">
      <c r="A30" s="15">
        <v>13</v>
      </c>
      <c r="B30" s="2">
        <f t="shared" si="0"/>
        <v>189.05</v>
      </c>
      <c r="C30" s="25">
        <v>4</v>
      </c>
      <c r="D30" s="25">
        <v>0.48</v>
      </c>
      <c r="E30" s="25">
        <v>2.2999999999999998</v>
      </c>
      <c r="F30" s="3" t="str">
        <f t="shared" ca="1" si="1"/>
        <v>ИГЭ-2</v>
      </c>
      <c r="G30" s="30" t="str">
        <f t="shared" ca="1" si="2"/>
        <v>пыл.-глинист.</v>
      </c>
      <c r="I30" s="13">
        <f t="shared" ca="1" si="8"/>
        <v>576</v>
      </c>
      <c r="J30" s="14">
        <f t="shared" ca="1" si="3"/>
        <v>0.9</v>
      </c>
      <c r="L30" s="14">
        <f t="shared" ca="1" si="4"/>
        <v>1</v>
      </c>
      <c r="M30" s="22">
        <f t="shared" ca="1" si="9"/>
        <v>0.46000000000000035</v>
      </c>
      <c r="N30" s="37">
        <f t="shared" ca="1" si="5"/>
        <v>1</v>
      </c>
      <c r="O30" s="37">
        <f t="shared" ca="1" si="6"/>
        <v>0</v>
      </c>
      <c r="Q30" s="22">
        <f t="shared" si="16"/>
        <v>1</v>
      </c>
      <c r="R30" s="22">
        <f t="shared" ca="1" si="17"/>
        <v>63.503999999999991</v>
      </c>
      <c r="S30" s="22">
        <f ca="1">IF(Q30="","",IF(Q30=0,0,SUMPRODUCT(OFFSET(M$18,MATCH(MIN(Q$18:Q$137),Q$18:Q$137,0),0,COUNT(M$18:M30)-MATCH(MIN(Q$18:Q$137),Q$18:Q$137,0),1),OFFSET(M$18,MATCH(MIN(Q$18:Q$137),Q$18:Q$137,0),1,COUNT(M$18:M30)-MATCH(MIN(Q$18:Q$137),Q$18:Q$137,0),1))*$T$6))</f>
        <v>3.2199999999999998</v>
      </c>
      <c r="T30" s="22">
        <f t="shared" ca="1" si="18"/>
        <v>66.72399999999999</v>
      </c>
      <c r="V30" s="22">
        <f ca="1">IF(Q30="","",IF(Q30=0,0,SUMPRODUCT(OFFSET(M$18,MATCH(MIN(Q$18:Q$137),Q$18:Q$137,0),0,COUNT(M$18:M30)-MATCH(MIN(Q$18:Q$137),Q$18:Q$137,0),1),OFFSET(M$18,MATCH(MIN(Q$18:Q$137),Q$18:Q$137,0),2,COUNT(M$18:M30)-MATCH(MIN(Q$18:Q$137),Q$18:Q$137,0),1))*$T$6*$T$14))</f>
        <v>0</v>
      </c>
      <c r="W30" s="29"/>
      <c r="X30" s="23">
        <f t="shared" ca="1" si="19"/>
        <v>5.1044297910295606</v>
      </c>
      <c r="Z30" s="15">
        <f t="shared" si="10"/>
        <v>3.65</v>
      </c>
      <c r="AA30" s="15">
        <f t="shared" si="11"/>
        <v>5.4</v>
      </c>
      <c r="AC30" s="15">
        <f t="shared" si="12"/>
        <v>11</v>
      </c>
      <c r="AD30" s="15">
        <f t="shared" si="13"/>
        <v>20</v>
      </c>
      <c r="AF30" s="15">
        <f t="shared" ca="1" si="14"/>
        <v>10</v>
      </c>
      <c r="AH30" s="15">
        <f t="shared" si="7"/>
        <v>2</v>
      </c>
      <c r="AI30" s="38">
        <f t="shared" ca="1" si="15"/>
        <v>4.6298682911832758</v>
      </c>
      <c r="AJ30" s="29"/>
      <c r="AK30" s="29"/>
      <c r="AL30" s="29"/>
    </row>
    <row r="31" spans="1:38" x14ac:dyDescent="0.2">
      <c r="A31" s="15">
        <v>14</v>
      </c>
      <c r="B31" s="2">
        <f t="shared" si="0"/>
        <v>188.85</v>
      </c>
      <c r="C31" s="25">
        <v>4.2</v>
      </c>
      <c r="D31" s="25">
        <v>0.48</v>
      </c>
      <c r="E31" s="25">
        <v>2.2999999999999998</v>
      </c>
      <c r="F31" s="3" t="str">
        <f t="shared" ca="1" si="1"/>
        <v>ИГЭ-2</v>
      </c>
      <c r="G31" s="30" t="str">
        <f t="shared" ca="1" si="2"/>
        <v>пыл.-глинист.</v>
      </c>
      <c r="I31" s="13">
        <f t="shared" ca="1" si="8"/>
        <v>600</v>
      </c>
      <c r="J31" s="14">
        <f t="shared" ca="1" si="3"/>
        <v>0.9</v>
      </c>
      <c r="L31" s="14">
        <f t="shared" ca="1" si="4"/>
        <v>1</v>
      </c>
      <c r="M31" s="22">
        <f t="shared" ca="1" si="9"/>
        <v>0.46000000000000035</v>
      </c>
      <c r="N31" s="37">
        <f t="shared" ca="1" si="5"/>
        <v>1</v>
      </c>
      <c r="O31" s="37">
        <f t="shared" ca="1" si="6"/>
        <v>0</v>
      </c>
      <c r="Q31" s="22">
        <f t="shared" si="16"/>
        <v>1.2</v>
      </c>
      <c r="R31" s="22">
        <f t="shared" ca="1" si="17"/>
        <v>66.149999999999991</v>
      </c>
      <c r="S31" s="22">
        <f ca="1">IF(Q31="","",IF(Q31=0,0,SUMPRODUCT(OFFSET(M$18,MATCH(MIN(Q$18:Q$137),Q$18:Q$137,0),0,COUNT(M$18:M31)-MATCH(MIN(Q$18:Q$137),Q$18:Q$137,0),1),OFFSET(M$18,MATCH(MIN(Q$18:Q$137),Q$18:Q$137,0),1,COUNT(M$18:M31)-MATCH(MIN(Q$18:Q$137),Q$18:Q$137,0),1))*$T$6))</f>
        <v>3.8639999999999999</v>
      </c>
      <c r="T31" s="22">
        <f t="shared" ca="1" si="18"/>
        <v>70.013999999999996</v>
      </c>
      <c r="V31" s="22">
        <f ca="1">IF(Q31="","",IF(Q31=0,0,SUMPRODUCT(OFFSET(M$18,MATCH(MIN(Q$18:Q$137),Q$18:Q$137,0),0,COUNT(M$18:M31)-MATCH(MIN(Q$18:Q$137),Q$18:Q$137,0),1),OFFSET(M$18,MATCH(MIN(Q$18:Q$137),Q$18:Q$137,0),2,COUNT(M$18:M31)-MATCH(MIN(Q$18:Q$137),Q$18:Q$137,0),1))*$T$6*$T$14))</f>
        <v>0</v>
      </c>
      <c r="W31" s="29"/>
      <c r="X31" s="23">
        <f t="shared" ca="1" si="19"/>
        <v>5.3053524464831794</v>
      </c>
      <c r="Z31" s="15">
        <f t="shared" si="10"/>
        <v>3.85</v>
      </c>
      <c r="AA31" s="15">
        <f t="shared" si="11"/>
        <v>5.6</v>
      </c>
      <c r="AC31" s="15">
        <f t="shared" si="12"/>
        <v>12</v>
      </c>
      <c r="AD31" s="15">
        <f t="shared" si="13"/>
        <v>21</v>
      </c>
      <c r="AF31" s="15">
        <f t="shared" ca="1" si="14"/>
        <v>10</v>
      </c>
      <c r="AH31" s="15">
        <f t="shared" si="7"/>
        <v>2</v>
      </c>
      <c r="AI31" s="38">
        <f t="shared" ca="1" si="15"/>
        <v>4.8121110625697785</v>
      </c>
      <c r="AJ31" s="29"/>
      <c r="AK31" s="29"/>
      <c r="AL31" s="29"/>
    </row>
    <row r="32" spans="1:38" x14ac:dyDescent="0.2">
      <c r="A32" s="15">
        <v>15</v>
      </c>
      <c r="B32" s="2">
        <f t="shared" si="0"/>
        <v>188.65</v>
      </c>
      <c r="C32" s="25">
        <v>4.4000000000000004</v>
      </c>
      <c r="D32" s="25">
        <v>0.48</v>
      </c>
      <c r="E32" s="25">
        <v>0</v>
      </c>
      <c r="F32" s="3" t="str">
        <f t="shared" ca="1" si="1"/>
        <v>ИГЭ-2</v>
      </c>
      <c r="G32" s="30" t="str">
        <f t="shared" ca="1" si="2"/>
        <v>пыл.-глинист.</v>
      </c>
      <c r="I32" s="13">
        <f t="shared" ca="1" si="8"/>
        <v>624</v>
      </c>
      <c r="J32" s="14">
        <f t="shared" ca="1" si="3"/>
        <v>0.9</v>
      </c>
      <c r="L32" s="14">
        <f t="shared" ca="1" si="4"/>
        <v>1</v>
      </c>
      <c r="M32" s="22">
        <f t="shared" ca="1" si="9"/>
        <v>0.23000000000000018</v>
      </c>
      <c r="N32" s="37">
        <f t="shared" ca="1" si="5"/>
        <v>1</v>
      </c>
      <c r="O32" s="37">
        <f t="shared" ca="1" si="6"/>
        <v>0</v>
      </c>
      <c r="Q32" s="22">
        <f t="shared" si="16"/>
        <v>1.4</v>
      </c>
      <c r="R32" s="22">
        <f t="shared" ca="1" si="17"/>
        <v>68.795999999999992</v>
      </c>
      <c r="S32" s="22">
        <f ca="1">IF(Q32="","",IF(Q32=0,0,SUMPRODUCT(OFFSET(M$18,MATCH(MIN(Q$18:Q$137),Q$18:Q$137,0),0,COUNT(M$18:M32)-MATCH(MIN(Q$18:Q$137),Q$18:Q$137,0),1),OFFSET(M$18,MATCH(MIN(Q$18:Q$137),Q$18:Q$137,0),1,COUNT(M$18:M32)-MATCH(MIN(Q$18:Q$137),Q$18:Q$137,0),1))*$T$6))</f>
        <v>4.1859999999999999</v>
      </c>
      <c r="T32" s="22">
        <f t="shared" ca="1" si="18"/>
        <v>72.981999999999999</v>
      </c>
      <c r="V32" s="22">
        <f ca="1">IF(Q32="","",IF(Q32=0,0,SUMPRODUCT(OFFSET(M$18,MATCH(MIN(Q$18:Q$137),Q$18:Q$137,0),0,COUNT(M$18:M32)-MATCH(MIN(Q$18:Q$137),Q$18:Q$137,0),1),OFFSET(M$18,MATCH(MIN(Q$18:Q$137),Q$18:Q$137,0),2,COUNT(M$18:M32)-MATCH(MIN(Q$18:Q$137),Q$18:Q$137,0),1))*$T$6*$T$14))</f>
        <v>0</v>
      </c>
      <c r="W32" s="29"/>
      <c r="X32" s="23">
        <f t="shared" ca="1" si="19"/>
        <v>5.4800161824668692</v>
      </c>
      <c r="Z32" s="15">
        <f t="shared" si="10"/>
        <v>4.0500000000000007</v>
      </c>
      <c r="AA32" s="15">
        <f t="shared" si="11"/>
        <v>5.8000000000000007</v>
      </c>
      <c r="AC32" s="15">
        <f t="shared" si="12"/>
        <v>13</v>
      </c>
      <c r="AD32" s="15">
        <f t="shared" si="13"/>
        <v>22</v>
      </c>
      <c r="AF32" s="15">
        <f t="shared" ca="1" si="14"/>
        <v>10</v>
      </c>
      <c r="AH32" s="15">
        <f t="shared" si="7"/>
        <v>2</v>
      </c>
      <c r="AI32" s="38">
        <f t="shared" ca="1" si="15"/>
        <v>4.9705362199245986</v>
      </c>
      <c r="AJ32" s="29"/>
      <c r="AK32" s="29"/>
      <c r="AL32" s="29"/>
    </row>
    <row r="33" spans="1:38" x14ac:dyDescent="0.2">
      <c r="A33" s="15">
        <v>16</v>
      </c>
      <c r="B33" s="2">
        <f t="shared" si="0"/>
        <v>188.45</v>
      </c>
      <c r="C33" s="25">
        <v>4.5999999999999996</v>
      </c>
      <c r="D33" s="25">
        <v>0.48</v>
      </c>
      <c r="E33" s="25">
        <v>2.2999999999999998</v>
      </c>
      <c r="F33" s="3" t="str">
        <f t="shared" ca="1" si="1"/>
        <v>ИГЭ-2</v>
      </c>
      <c r="G33" s="30" t="str">
        <f t="shared" ca="1" si="2"/>
        <v>пыл.-глинист.</v>
      </c>
      <c r="I33" s="13">
        <f t="shared" ca="1" si="8"/>
        <v>633</v>
      </c>
      <c r="J33" s="14">
        <f t="shared" ca="1" si="3"/>
        <v>0.9</v>
      </c>
      <c r="L33" s="14">
        <f t="shared" ca="1" si="4"/>
        <v>1</v>
      </c>
      <c r="M33" s="22">
        <f t="shared" ca="1" si="9"/>
        <v>0.22999999999999918</v>
      </c>
      <c r="N33" s="37">
        <f t="shared" ca="1" si="5"/>
        <v>1</v>
      </c>
      <c r="O33" s="37">
        <f t="shared" ca="1" si="6"/>
        <v>0</v>
      </c>
      <c r="Q33" s="22">
        <f t="shared" si="16"/>
        <v>1.6</v>
      </c>
      <c r="R33" s="22">
        <f t="shared" ca="1" si="17"/>
        <v>69.788249999999991</v>
      </c>
      <c r="S33" s="22">
        <f ca="1">IF(Q33="","",IF(Q33=0,0,SUMPRODUCT(OFFSET(M$18,MATCH(MIN(Q$18:Q$137),Q$18:Q$137,0),0,COUNT(M$18:M33)-MATCH(MIN(Q$18:Q$137),Q$18:Q$137,0),1),OFFSET(M$18,MATCH(MIN(Q$18:Q$137),Q$18:Q$137,0),1,COUNT(M$18:M33)-MATCH(MIN(Q$18:Q$137),Q$18:Q$137,0),1))*$T$6))</f>
        <v>4.5079999999999991</v>
      </c>
      <c r="T33" s="22">
        <f t="shared" ca="1" si="18"/>
        <v>74.296249999999986</v>
      </c>
      <c r="V33" s="22">
        <f ca="1">IF(Q33="","",IF(Q33=0,0,SUMPRODUCT(OFFSET(M$18,MATCH(MIN(Q$18:Q$137),Q$18:Q$137,0),0,COUNT(M$18:M33)-MATCH(MIN(Q$18:Q$137),Q$18:Q$137,0),1),OFFSET(M$18,MATCH(MIN(Q$18:Q$137),Q$18:Q$137,0),2,COUNT(M$18:M33)-MATCH(MIN(Q$18:Q$137),Q$18:Q$137,0),1))*$T$6*$T$14))</f>
        <v>0</v>
      </c>
      <c r="W33" s="29"/>
      <c r="X33" s="23">
        <f t="shared" ca="1" si="19"/>
        <v>5.5198175331294586</v>
      </c>
      <c r="Z33" s="15">
        <f t="shared" si="10"/>
        <v>4.25</v>
      </c>
      <c r="AA33" s="15">
        <f t="shared" si="11"/>
        <v>6</v>
      </c>
      <c r="AC33" s="15">
        <f t="shared" si="12"/>
        <v>13</v>
      </c>
      <c r="AD33" s="15">
        <f t="shared" si="13"/>
        <v>23</v>
      </c>
      <c r="AF33" s="15">
        <f t="shared" ca="1" si="14"/>
        <v>11</v>
      </c>
      <c r="AH33" s="15">
        <f t="shared" si="7"/>
        <v>2</v>
      </c>
      <c r="AI33" s="38">
        <f t="shared" ca="1" si="15"/>
        <v>5.006637218258013</v>
      </c>
      <c r="AJ33" s="29"/>
      <c r="AK33" s="29"/>
      <c r="AL33" s="29"/>
    </row>
    <row r="34" spans="1:38" x14ac:dyDescent="0.2">
      <c r="A34" s="15">
        <v>17</v>
      </c>
      <c r="B34" s="2">
        <f t="shared" si="0"/>
        <v>188.25</v>
      </c>
      <c r="C34" s="25">
        <v>4.8</v>
      </c>
      <c r="D34" s="25">
        <v>0.72</v>
      </c>
      <c r="E34" s="25">
        <v>2.2999999999999998</v>
      </c>
      <c r="F34" s="3" t="str">
        <f t="shared" ca="1" si="1"/>
        <v>ИГЭ-2</v>
      </c>
      <c r="G34" s="30" t="str">
        <f t="shared" ca="1" si="2"/>
        <v>пыл.-глинист.</v>
      </c>
      <c r="I34" s="13">
        <f t="shared" ca="1" si="8"/>
        <v>672</v>
      </c>
      <c r="J34" s="14">
        <f t="shared" ca="1" si="3"/>
        <v>0.9</v>
      </c>
      <c r="L34" s="14">
        <f t="shared" ca="1" si="4"/>
        <v>1</v>
      </c>
      <c r="M34" s="22">
        <f t="shared" ca="1" si="9"/>
        <v>0.46000000000000035</v>
      </c>
      <c r="N34" s="37">
        <f t="shared" ca="1" si="5"/>
        <v>1</v>
      </c>
      <c r="O34" s="37">
        <f t="shared" ca="1" si="6"/>
        <v>0</v>
      </c>
      <c r="Q34" s="22">
        <f t="shared" si="16"/>
        <v>1.8</v>
      </c>
      <c r="R34" s="22">
        <f t="shared" ca="1" si="17"/>
        <v>74.087999999999994</v>
      </c>
      <c r="S34" s="22">
        <f ca="1">IF(Q34="","",IF(Q34=0,0,SUMPRODUCT(OFFSET(M$18,MATCH(MIN(Q$18:Q$137),Q$18:Q$137,0),0,COUNT(M$18:M34)-MATCH(MIN(Q$18:Q$137),Q$18:Q$137,0),1),OFFSET(M$18,MATCH(MIN(Q$18:Q$137),Q$18:Q$137,0),1,COUNT(M$18:M34)-MATCH(MIN(Q$18:Q$137),Q$18:Q$137,0),1))*$T$6))</f>
        <v>5.1519999999999992</v>
      </c>
      <c r="T34" s="22">
        <f t="shared" ca="1" si="18"/>
        <v>79.239999999999995</v>
      </c>
      <c r="V34" s="22">
        <f ca="1">IF(Q34="","",IF(Q34=0,0,SUMPRODUCT(OFFSET(M$18,MATCH(MIN(Q$18:Q$137),Q$18:Q$137,0),0,COUNT(M$18:M34)-MATCH(MIN(Q$18:Q$137),Q$18:Q$137,0),1),OFFSET(M$18,MATCH(MIN(Q$18:Q$137),Q$18:Q$137,0),2,COUNT(M$18:M34)-MATCH(MIN(Q$18:Q$137),Q$18:Q$137,0),1))*$T$6*$T$14))</f>
        <v>0</v>
      </c>
      <c r="W34" s="29"/>
      <c r="X34" s="23">
        <f t="shared" ca="1" si="19"/>
        <v>5.8556025739041786</v>
      </c>
      <c r="Z34" s="15">
        <f t="shared" si="10"/>
        <v>4.45</v>
      </c>
      <c r="AA34" s="15">
        <f t="shared" si="11"/>
        <v>6.1999999999999993</v>
      </c>
      <c r="AC34" s="15">
        <f t="shared" si="12"/>
        <v>15</v>
      </c>
      <c r="AD34" s="15">
        <f t="shared" si="13"/>
        <v>24</v>
      </c>
      <c r="AF34" s="15">
        <f t="shared" ca="1" si="14"/>
        <v>10</v>
      </c>
      <c r="AH34" s="15">
        <f t="shared" si="7"/>
        <v>2</v>
      </c>
      <c r="AI34" s="38">
        <f t="shared" ca="1" si="15"/>
        <v>5.3112041486659223</v>
      </c>
      <c r="AJ34" s="29"/>
      <c r="AK34" s="29"/>
      <c r="AL34" s="29"/>
    </row>
    <row r="35" spans="1:38" x14ac:dyDescent="0.2">
      <c r="A35" s="15">
        <v>18</v>
      </c>
      <c r="B35" s="2">
        <f t="shared" si="0"/>
        <v>188.05</v>
      </c>
      <c r="C35" s="25">
        <v>5</v>
      </c>
      <c r="D35" s="25">
        <v>0.72</v>
      </c>
      <c r="E35" s="25">
        <v>4.6100000000000003</v>
      </c>
      <c r="F35" s="3" t="str">
        <f t="shared" ca="1" si="1"/>
        <v>ИГЭ-2</v>
      </c>
      <c r="G35" s="30" t="str">
        <f t="shared" ca="1" si="2"/>
        <v>пыл.-глинист.</v>
      </c>
      <c r="I35" s="13">
        <f t="shared" ca="1" si="8"/>
        <v>696</v>
      </c>
      <c r="J35" s="14">
        <f t="shared" ca="1" si="3"/>
        <v>0.9</v>
      </c>
      <c r="L35" s="14">
        <f t="shared" ca="1" si="4"/>
        <v>1</v>
      </c>
      <c r="M35" s="22">
        <f t="shared" ca="1" si="9"/>
        <v>0.69100000000000061</v>
      </c>
      <c r="N35" s="37">
        <f t="shared" ca="1" si="5"/>
        <v>1</v>
      </c>
      <c r="O35" s="37">
        <f t="shared" ca="1" si="6"/>
        <v>0</v>
      </c>
      <c r="Q35" s="22">
        <f t="shared" si="16"/>
        <v>2</v>
      </c>
      <c r="R35" s="22">
        <f t="shared" ca="1" si="17"/>
        <v>76.73399999999998</v>
      </c>
      <c r="S35" s="22">
        <f ca="1">IF(Q35="","",IF(Q35=0,0,SUMPRODUCT(OFFSET(M$18,MATCH(MIN(Q$18:Q$137),Q$18:Q$137,0),0,COUNT(M$18:M35)-MATCH(MIN(Q$18:Q$137),Q$18:Q$137,0),1),OFFSET(M$18,MATCH(MIN(Q$18:Q$137),Q$18:Q$137,0),1,COUNT(M$18:M35)-MATCH(MIN(Q$18:Q$137),Q$18:Q$137,0),1))*$T$6))</f>
        <v>6.1194000000000006</v>
      </c>
      <c r="T35" s="22">
        <f t="shared" ca="1" si="18"/>
        <v>82.853399999999979</v>
      </c>
      <c r="V35" s="22">
        <f ca="1">IF(Q35="","",IF(Q35=0,0,SUMPRODUCT(OFFSET(M$18,MATCH(MIN(Q$18:Q$137),Q$18:Q$137,0),0,COUNT(M$18:M35)-MATCH(MIN(Q$18:Q$137),Q$18:Q$137,0),1),OFFSET(M$18,MATCH(MIN(Q$18:Q$137),Q$18:Q$137,0),2,COUNT(M$18:M35)-MATCH(MIN(Q$18:Q$137),Q$18:Q$137,0),1))*$T$6*$T$14))</f>
        <v>0</v>
      </c>
      <c r="W35" s="29"/>
      <c r="X35" s="23">
        <f t="shared" ca="1" si="19"/>
        <v>6.0828983180428118</v>
      </c>
      <c r="Z35" s="15">
        <f t="shared" si="10"/>
        <v>4.6500000000000004</v>
      </c>
      <c r="AA35" s="15">
        <f t="shared" si="11"/>
        <v>6.4</v>
      </c>
      <c r="AC35" s="15">
        <f t="shared" si="12"/>
        <v>16</v>
      </c>
      <c r="AD35" s="15">
        <f t="shared" si="13"/>
        <v>25</v>
      </c>
      <c r="AF35" s="15">
        <f t="shared" ca="1" si="14"/>
        <v>10</v>
      </c>
      <c r="AH35" s="15">
        <f t="shared" si="7"/>
        <v>2</v>
      </c>
      <c r="AI35" s="38">
        <f t="shared" ca="1" si="15"/>
        <v>5.5173680889277206</v>
      </c>
      <c r="AJ35" s="29"/>
      <c r="AK35" s="29"/>
      <c r="AL35" s="29"/>
    </row>
    <row r="36" spans="1:38" x14ac:dyDescent="0.2">
      <c r="A36" s="15">
        <v>19</v>
      </c>
      <c r="B36" s="2">
        <f t="shared" si="0"/>
        <v>187.85</v>
      </c>
      <c r="C36" s="25">
        <v>5.2</v>
      </c>
      <c r="D36" s="25">
        <v>0.72</v>
      </c>
      <c r="E36" s="25">
        <v>25.34</v>
      </c>
      <c r="F36" s="3" t="str">
        <f t="shared" ca="1" si="1"/>
        <v>ИГЭ-2</v>
      </c>
      <c r="G36" s="30" t="str">
        <f t="shared" ca="1" si="2"/>
        <v>пыл.-глинист.</v>
      </c>
      <c r="I36" s="13">
        <f t="shared" ca="1" si="8"/>
        <v>708</v>
      </c>
      <c r="J36" s="14">
        <f t="shared" ca="1" si="3"/>
        <v>0.9</v>
      </c>
      <c r="L36" s="14">
        <f t="shared" ca="1" si="4"/>
        <v>0.93300000000000005</v>
      </c>
      <c r="M36" s="22">
        <f t="shared" ca="1" si="9"/>
        <v>2.8252220000000028</v>
      </c>
      <c r="N36" s="37">
        <f t="shared" ca="1" si="5"/>
        <v>1</v>
      </c>
      <c r="O36" s="37">
        <f t="shared" ca="1" si="6"/>
        <v>0</v>
      </c>
      <c r="Q36" s="22">
        <f t="shared" si="16"/>
        <v>2.2000000000000002</v>
      </c>
      <c r="R36" s="22">
        <f t="shared" ca="1" si="17"/>
        <v>78.057000000000002</v>
      </c>
      <c r="S36" s="22">
        <f ca="1">IF(Q36="","",IF(Q36=0,0,SUMPRODUCT(OFFSET(M$18,MATCH(MIN(Q$18:Q$137),Q$18:Q$137,0),0,COUNT(M$18:M36)-MATCH(MIN(Q$18:Q$137),Q$18:Q$137,0),1),OFFSET(M$18,MATCH(MIN(Q$18:Q$137),Q$18:Q$137,0),1,COUNT(M$18:M36)-MATCH(MIN(Q$18:Q$137),Q$18:Q$137,0),1))*$T$6))</f>
        <v>10.074710800000004</v>
      </c>
      <c r="T36" s="22">
        <f t="shared" ca="1" si="18"/>
        <v>88.131710800000008</v>
      </c>
      <c r="V36" s="22">
        <f ca="1">IF(Q36="","",IF(Q36=0,0,SUMPRODUCT(OFFSET(M$18,MATCH(MIN(Q$18:Q$137),Q$18:Q$137,0),0,COUNT(M$18:M36)-MATCH(MIN(Q$18:Q$137),Q$18:Q$137,0),1),OFFSET(M$18,MATCH(MIN(Q$18:Q$137),Q$18:Q$137,0),2,COUNT(M$18:M36)-MATCH(MIN(Q$18:Q$137),Q$18:Q$137,0),1))*$T$6*$T$14))</f>
        <v>0</v>
      </c>
      <c r="W36" s="29"/>
      <c r="X36" s="23">
        <f t="shared" ca="1" si="19"/>
        <v>6.4459666044852186</v>
      </c>
      <c r="Z36" s="15">
        <f t="shared" si="10"/>
        <v>4.8500000000000005</v>
      </c>
      <c r="AA36" s="15">
        <f t="shared" si="11"/>
        <v>6.6</v>
      </c>
      <c r="AC36" s="15">
        <f t="shared" si="12"/>
        <v>17</v>
      </c>
      <c r="AD36" s="15">
        <f t="shared" si="13"/>
        <v>26</v>
      </c>
      <c r="AF36" s="15">
        <f t="shared" ca="1" si="14"/>
        <v>10</v>
      </c>
      <c r="AH36" s="15">
        <f t="shared" si="7"/>
        <v>2</v>
      </c>
      <c r="AI36" s="38">
        <f t="shared" ca="1" si="15"/>
        <v>5.8466817274242358</v>
      </c>
      <c r="AJ36" s="29"/>
      <c r="AK36" s="29"/>
      <c r="AL36" s="29"/>
    </row>
    <row r="37" spans="1:38" x14ac:dyDescent="0.2">
      <c r="A37" s="15">
        <v>20</v>
      </c>
      <c r="B37" s="2">
        <f t="shared" si="0"/>
        <v>187.65</v>
      </c>
      <c r="C37" s="25">
        <v>5.4</v>
      </c>
      <c r="D37" s="25">
        <v>0.72</v>
      </c>
      <c r="E37" s="25">
        <v>16.13</v>
      </c>
      <c r="F37" s="3" t="str">
        <f t="shared" ca="1" si="1"/>
        <v>ИГЭ-2</v>
      </c>
      <c r="G37" s="30" t="str">
        <f t="shared" ca="1" si="2"/>
        <v>пыл.-глинист.</v>
      </c>
      <c r="I37" s="13">
        <f t="shared" ca="1" si="8"/>
        <v>708</v>
      </c>
      <c r="J37" s="14">
        <f t="shared" ca="1" si="3"/>
        <v>0.9</v>
      </c>
      <c r="L37" s="14">
        <f t="shared" ca="1" si="4"/>
        <v>1</v>
      </c>
      <c r="M37" s="22">
        <f t="shared" ca="1" si="9"/>
        <v>3.9772220000000038</v>
      </c>
      <c r="N37" s="37">
        <f t="shared" ca="1" si="5"/>
        <v>1</v>
      </c>
      <c r="O37" s="37">
        <f t="shared" ca="1" si="6"/>
        <v>0</v>
      </c>
      <c r="Q37" s="22">
        <f t="shared" si="16"/>
        <v>2.4</v>
      </c>
      <c r="R37" s="22">
        <f t="shared" ca="1" si="17"/>
        <v>78.057000000000002</v>
      </c>
      <c r="S37" s="22">
        <f ca="1">IF(Q37="","",IF(Q37=0,0,SUMPRODUCT(OFFSET(M$18,MATCH(MIN(Q$18:Q$137),Q$18:Q$137,0),0,COUNT(M$18:M37)-MATCH(MIN(Q$18:Q$137),Q$18:Q$137,0),1),OFFSET(M$18,MATCH(MIN(Q$18:Q$137),Q$18:Q$137,0),1,COUNT(M$18:M37)-MATCH(MIN(Q$18:Q$137),Q$18:Q$137,0),1))*$T$6))</f>
        <v>15.642821600000008</v>
      </c>
      <c r="T37" s="22">
        <f t="shared" ca="1" si="18"/>
        <v>93.699821600000007</v>
      </c>
      <c r="V37" s="22">
        <f ca="1">IF(Q37="","",IF(Q37=0,0,SUMPRODUCT(OFFSET(M$18,MATCH(MIN(Q$18:Q$137),Q$18:Q$137,0),0,COUNT(M$18:M37)-MATCH(MIN(Q$18:Q$137),Q$18:Q$137,0),1),OFFSET(M$18,MATCH(MIN(Q$18:Q$137),Q$18:Q$137,0),2,COUNT(M$18:M37)-MATCH(MIN(Q$18:Q$137),Q$18:Q$137,0),1))*$T$6*$T$14))</f>
        <v>0</v>
      </c>
      <c r="W37" s="29"/>
      <c r="X37" s="23">
        <f t="shared" ca="1" si="19"/>
        <v>6.8326679184505617</v>
      </c>
      <c r="Z37" s="15">
        <f t="shared" si="10"/>
        <v>5.0500000000000007</v>
      </c>
      <c r="AA37" s="15">
        <f t="shared" si="11"/>
        <v>6.8000000000000007</v>
      </c>
      <c r="AC37" s="15">
        <f t="shared" si="12"/>
        <v>18</v>
      </c>
      <c r="AD37" s="15">
        <f t="shared" si="13"/>
        <v>27</v>
      </c>
      <c r="AF37" s="15">
        <f t="shared" ca="1" si="14"/>
        <v>10</v>
      </c>
      <c r="AH37" s="15">
        <f t="shared" si="7"/>
        <v>2</v>
      </c>
      <c r="AI37" s="38">
        <f t="shared" ca="1" si="15"/>
        <v>6.197431218549263</v>
      </c>
      <c r="AJ37" s="29"/>
      <c r="AK37" s="29"/>
      <c r="AL37" s="29"/>
    </row>
    <row r="38" spans="1:38" x14ac:dyDescent="0.2">
      <c r="A38" s="15">
        <v>21</v>
      </c>
      <c r="B38" s="2">
        <f t="shared" si="0"/>
        <v>187.45</v>
      </c>
      <c r="C38" s="25">
        <v>5.6</v>
      </c>
      <c r="D38" s="25">
        <v>0.72</v>
      </c>
      <c r="E38" s="25">
        <v>13.82</v>
      </c>
      <c r="F38" s="3" t="str">
        <f t="shared" ca="1" si="1"/>
        <v>ИГЭ-2</v>
      </c>
      <c r="G38" s="30" t="str">
        <f t="shared" ca="1" si="2"/>
        <v>пыл.-глинист.</v>
      </c>
      <c r="I38" s="13">
        <f t="shared" ca="1" si="8"/>
        <v>709</v>
      </c>
      <c r="J38" s="14">
        <f t="shared" ca="1" si="3"/>
        <v>0.9</v>
      </c>
      <c r="L38" s="14">
        <f t="shared" ca="1" si="4"/>
        <v>1</v>
      </c>
      <c r="M38" s="22">
        <f t="shared" ca="1" si="9"/>
        <v>2.9949999999999894</v>
      </c>
      <c r="N38" s="37">
        <f t="shared" ca="1" si="5"/>
        <v>1</v>
      </c>
      <c r="O38" s="37">
        <f t="shared" ca="1" si="6"/>
        <v>0</v>
      </c>
      <c r="Q38" s="22">
        <f t="shared" si="16"/>
        <v>2.6</v>
      </c>
      <c r="R38" s="22">
        <f t="shared" ca="1" si="17"/>
        <v>78.167249999999996</v>
      </c>
      <c r="S38" s="22">
        <f ca="1">IF(Q38="","",IF(Q38=0,0,SUMPRODUCT(OFFSET(M$18,MATCH(MIN(Q$18:Q$137),Q$18:Q$137,0),0,COUNT(M$18:M38)-MATCH(MIN(Q$18:Q$137),Q$18:Q$137,0),1),OFFSET(M$18,MATCH(MIN(Q$18:Q$137),Q$18:Q$137,0),1,COUNT(M$18:M38)-MATCH(MIN(Q$18:Q$137),Q$18:Q$137,0),1))*$T$6))</f>
        <v>19.835821599999996</v>
      </c>
      <c r="T38" s="22">
        <f t="shared" ca="1" si="18"/>
        <v>98.003071599999998</v>
      </c>
      <c r="V38" s="22">
        <f ca="1">IF(Q38="","",IF(Q38=0,0,SUMPRODUCT(OFFSET(M$18,MATCH(MIN(Q$18:Q$137),Q$18:Q$137,0),0,COUNT(M$18:M38)-MATCH(MIN(Q$18:Q$137),Q$18:Q$137,0),1),OFFSET(M$18,MATCH(MIN(Q$18:Q$137),Q$18:Q$137,0),2,COUNT(M$18:M38)-MATCH(MIN(Q$18:Q$137),Q$18:Q$137,0),1))*$T$6*$T$14))</f>
        <v>0</v>
      </c>
      <c r="W38" s="29"/>
      <c r="X38" s="23">
        <f t="shared" ca="1" si="19"/>
        <v>7.1162205433231387</v>
      </c>
      <c r="Z38" s="15">
        <f t="shared" si="10"/>
        <v>5.25</v>
      </c>
      <c r="AA38" s="15">
        <f t="shared" si="11"/>
        <v>7</v>
      </c>
      <c r="AC38" s="15">
        <f t="shared" si="12"/>
        <v>18</v>
      </c>
      <c r="AD38" s="15">
        <f t="shared" si="13"/>
        <v>28</v>
      </c>
      <c r="AF38" s="15">
        <f t="shared" ca="1" si="14"/>
        <v>11</v>
      </c>
      <c r="AH38" s="15">
        <f t="shared" si="7"/>
        <v>2</v>
      </c>
      <c r="AI38" s="38">
        <f t="shared" ca="1" si="15"/>
        <v>6.4546218080028472</v>
      </c>
      <c r="AJ38" s="29"/>
      <c r="AK38" s="29"/>
      <c r="AL38" s="29"/>
    </row>
    <row r="39" spans="1:38" x14ac:dyDescent="0.2">
      <c r="A39" s="15">
        <v>22</v>
      </c>
      <c r="B39" s="2">
        <f t="shared" si="0"/>
        <v>187.25</v>
      </c>
      <c r="C39" s="25">
        <v>5.8</v>
      </c>
      <c r="D39" s="25">
        <v>0.72</v>
      </c>
      <c r="E39" s="25">
        <v>16.13</v>
      </c>
      <c r="F39" s="3" t="str">
        <f t="shared" ca="1" si="1"/>
        <v>ИГЭ-2</v>
      </c>
      <c r="G39" s="30" t="str">
        <f t="shared" ca="1" si="2"/>
        <v>пыл.-глинист.</v>
      </c>
      <c r="I39" s="13">
        <f t="shared" ca="1" si="8"/>
        <v>720</v>
      </c>
      <c r="J39" s="14">
        <f t="shared" ca="1" si="3"/>
        <v>0.9</v>
      </c>
      <c r="L39" s="14">
        <f t="shared" ca="1" si="4"/>
        <v>1</v>
      </c>
      <c r="M39" s="22">
        <f t="shared" ca="1" si="9"/>
        <v>2.9950000000000028</v>
      </c>
      <c r="N39" s="37">
        <f t="shared" ca="1" si="5"/>
        <v>1</v>
      </c>
      <c r="O39" s="37">
        <f t="shared" ca="1" si="6"/>
        <v>0</v>
      </c>
      <c r="Q39" s="22">
        <f t="shared" si="16"/>
        <v>2.8</v>
      </c>
      <c r="R39" s="22">
        <f t="shared" ca="1" si="17"/>
        <v>79.38</v>
      </c>
      <c r="S39" s="22">
        <f ca="1">IF(Q39="","",IF(Q39=0,0,SUMPRODUCT(OFFSET(M$18,MATCH(MIN(Q$18:Q$137),Q$18:Q$137,0),0,COUNT(M$18:M39)-MATCH(MIN(Q$18:Q$137),Q$18:Q$137,0),1),OFFSET(M$18,MATCH(MIN(Q$18:Q$137),Q$18:Q$137,0),1,COUNT(M$18:M39)-MATCH(MIN(Q$18:Q$137),Q$18:Q$137,0),1))*$T$6))</f>
        <v>24.028821599999997</v>
      </c>
      <c r="T39" s="22">
        <f t="shared" ca="1" si="18"/>
        <v>103.4088216</v>
      </c>
      <c r="V39" s="22">
        <f ca="1">IF(Q39="","",IF(Q39=0,0,SUMPRODUCT(OFFSET(M$18,MATCH(MIN(Q$18:Q$137),Q$18:Q$137,0),0,COUNT(M$18:M39)-MATCH(MIN(Q$18:Q$137),Q$18:Q$137,0),1),OFFSET(M$18,MATCH(MIN(Q$18:Q$137),Q$18:Q$137,0),2,COUNT(M$18:M39)-MATCH(MIN(Q$18:Q$137),Q$18:Q$137,0),1))*$T$6*$T$14))</f>
        <v>0</v>
      </c>
      <c r="W39" s="29"/>
      <c r="X39" s="23">
        <f t="shared" ca="1" si="19"/>
        <v>7.4896814250764523</v>
      </c>
      <c r="Z39" s="15">
        <f t="shared" si="10"/>
        <v>5.45</v>
      </c>
      <c r="AA39" s="15">
        <f t="shared" si="11"/>
        <v>7.1999999999999993</v>
      </c>
      <c r="AC39" s="15">
        <f t="shared" si="12"/>
        <v>20</v>
      </c>
      <c r="AD39" s="15">
        <f t="shared" si="13"/>
        <v>29</v>
      </c>
      <c r="AF39" s="15">
        <f t="shared" ca="1" si="14"/>
        <v>10</v>
      </c>
      <c r="AH39" s="15">
        <f t="shared" si="7"/>
        <v>2</v>
      </c>
      <c r="AI39" s="38">
        <f t="shared" ca="1" si="15"/>
        <v>6.7933618368040394</v>
      </c>
      <c r="AJ39" s="29"/>
      <c r="AK39" s="29"/>
      <c r="AL39" s="29"/>
    </row>
    <row r="40" spans="1:38" x14ac:dyDescent="0.2">
      <c r="A40" s="15">
        <v>23</v>
      </c>
      <c r="B40" s="2">
        <f t="shared" si="0"/>
        <v>187.05</v>
      </c>
      <c r="C40" s="25">
        <v>6</v>
      </c>
      <c r="D40" s="25">
        <v>0.72</v>
      </c>
      <c r="E40" s="25">
        <v>13.82</v>
      </c>
      <c r="F40" s="3" t="str">
        <f t="shared" ca="1" si="1"/>
        <v>ИГЭ-2</v>
      </c>
      <c r="G40" s="30" t="str">
        <f t="shared" ca="1" si="2"/>
        <v>пыл.-глинист.</v>
      </c>
      <c r="I40" s="13">
        <f t="shared" ca="1" si="8"/>
        <v>732</v>
      </c>
      <c r="J40" s="14">
        <f t="shared" ca="1" si="3"/>
        <v>0.9</v>
      </c>
      <c r="L40" s="14">
        <f t="shared" ca="1" si="4"/>
        <v>1</v>
      </c>
      <c r="M40" s="22">
        <f t="shared" ca="1" si="9"/>
        <v>2.9950000000000028</v>
      </c>
      <c r="N40" s="37">
        <f t="shared" ca="1" si="5"/>
        <v>1</v>
      </c>
      <c r="O40" s="37">
        <f t="shared" ca="1" si="6"/>
        <v>0</v>
      </c>
      <c r="Q40" s="22">
        <f t="shared" si="16"/>
        <v>3</v>
      </c>
      <c r="R40" s="22">
        <f t="shared" ca="1" si="17"/>
        <v>80.703000000000003</v>
      </c>
      <c r="S40" s="22">
        <f ca="1">IF(Q40="","",IF(Q40=0,0,SUMPRODUCT(OFFSET(M$18,MATCH(MIN(Q$18:Q$137),Q$18:Q$137,0),0,COUNT(M$18:M40)-MATCH(MIN(Q$18:Q$137),Q$18:Q$137,0),1),OFFSET(M$18,MATCH(MIN(Q$18:Q$137),Q$18:Q$137,0),1,COUNT(M$18:M40)-MATCH(MIN(Q$18:Q$137),Q$18:Q$137,0),1))*$T$6))</f>
        <v>28.221821600000002</v>
      </c>
      <c r="T40" s="22">
        <f t="shared" ca="1" si="18"/>
        <v>108.9248216</v>
      </c>
      <c r="V40" s="22">
        <f ca="1">IF(Q40="","",IF(Q40=0,0,SUMPRODUCT(OFFSET(M$18,MATCH(MIN(Q$18:Q$137),Q$18:Q$137,0),0,COUNT(M$18:M40)-MATCH(MIN(Q$18:Q$137),Q$18:Q$137,0),1),OFFSET(M$18,MATCH(MIN(Q$18:Q$137),Q$18:Q$137,0),2,COUNT(M$18:M40)-MATCH(MIN(Q$18:Q$137),Q$18:Q$137,0),1))*$T$6*$T$14))</f>
        <v>0</v>
      </c>
      <c r="W40" s="29"/>
      <c r="X40" s="23">
        <f t="shared" ca="1" si="19"/>
        <v>7.8721331325178392</v>
      </c>
      <c r="Z40" s="15">
        <f t="shared" si="10"/>
        <v>5.65</v>
      </c>
      <c r="AA40" s="15">
        <f t="shared" si="11"/>
        <v>7.4</v>
      </c>
      <c r="AC40" s="15">
        <f t="shared" si="12"/>
        <v>21</v>
      </c>
      <c r="AD40" s="15">
        <f t="shared" si="13"/>
        <v>30</v>
      </c>
      <c r="AF40" s="15">
        <f t="shared" ca="1" si="14"/>
        <v>10</v>
      </c>
      <c r="AH40" s="15">
        <f t="shared" si="7"/>
        <v>2</v>
      </c>
      <c r="AI40" s="38">
        <f t="shared" ca="1" si="15"/>
        <v>7.1402568095399914</v>
      </c>
      <c r="AJ40" s="29"/>
      <c r="AK40" s="29"/>
      <c r="AL40" s="29"/>
    </row>
    <row r="41" spans="1:38" x14ac:dyDescent="0.2">
      <c r="A41" s="15">
        <v>24</v>
      </c>
      <c r="B41" s="2">
        <f t="shared" si="0"/>
        <v>186.85</v>
      </c>
      <c r="C41" s="25">
        <v>6.2</v>
      </c>
      <c r="D41" s="25">
        <v>0.72</v>
      </c>
      <c r="E41" s="25">
        <v>18.43</v>
      </c>
      <c r="F41" s="3" t="str">
        <f t="shared" ca="1" si="1"/>
        <v>ИГЭ-2</v>
      </c>
      <c r="G41" s="30" t="str">
        <f t="shared" ca="1" si="2"/>
        <v>пыл.-глинист.</v>
      </c>
      <c r="I41" s="13">
        <f t="shared" ca="1" si="8"/>
        <v>744</v>
      </c>
      <c r="J41" s="14">
        <f t="shared" ca="1" si="3"/>
        <v>0.9</v>
      </c>
      <c r="L41" s="14">
        <f t="shared" ca="1" si="4"/>
        <v>1</v>
      </c>
      <c r="M41" s="22">
        <f t="shared" ca="1" si="9"/>
        <v>3.2250000000000028</v>
      </c>
      <c r="N41" s="37">
        <f t="shared" ca="1" si="5"/>
        <v>1</v>
      </c>
      <c r="O41" s="37">
        <f t="shared" ca="1" si="6"/>
        <v>0</v>
      </c>
      <c r="Q41" s="22">
        <f t="shared" si="16"/>
        <v>3.2</v>
      </c>
      <c r="R41" s="22">
        <f t="shared" ca="1" si="17"/>
        <v>82.025999999999996</v>
      </c>
      <c r="S41" s="22">
        <f ca="1">IF(Q41="","",IF(Q41=0,0,SUMPRODUCT(OFFSET(M$18,MATCH(MIN(Q$18:Q$137),Q$18:Q$137,0),0,COUNT(M$18:M41)-MATCH(MIN(Q$18:Q$137),Q$18:Q$137,0),1),OFFSET(M$18,MATCH(MIN(Q$18:Q$137),Q$18:Q$137,0),1,COUNT(M$18:M41)-MATCH(MIN(Q$18:Q$137),Q$18:Q$137,0),1))*$T$6))</f>
        <v>32.736821600000006</v>
      </c>
      <c r="T41" s="22">
        <f t="shared" ca="1" si="18"/>
        <v>114.7628216</v>
      </c>
      <c r="V41" s="22">
        <f ca="1">IF(Q41="","",IF(Q41=0,0,SUMPRODUCT(OFFSET(M$18,MATCH(MIN(Q$18:Q$137),Q$18:Q$137,0),0,COUNT(M$18:M41)-MATCH(MIN(Q$18:Q$137),Q$18:Q$137,0),1),OFFSET(M$18,MATCH(MIN(Q$18:Q$137),Q$18:Q$137,0),2,COUNT(M$18:M41)-MATCH(MIN(Q$18:Q$137),Q$18:Q$137,0),1))*$T$6*$T$14))</f>
        <v>0</v>
      </c>
      <c r="W41" s="29"/>
      <c r="X41" s="23">
        <f t="shared" ca="1" si="19"/>
        <v>8.2808437594291551</v>
      </c>
      <c r="Z41" s="15">
        <f t="shared" si="10"/>
        <v>5.8500000000000005</v>
      </c>
      <c r="AA41" s="15">
        <f t="shared" si="11"/>
        <v>7.6</v>
      </c>
      <c r="AC41" s="15">
        <f t="shared" si="12"/>
        <v>22</v>
      </c>
      <c r="AD41" s="15">
        <f t="shared" si="13"/>
        <v>31</v>
      </c>
      <c r="AF41" s="15">
        <f t="shared" ca="1" si="14"/>
        <v>10</v>
      </c>
      <c r="AH41" s="15">
        <f t="shared" si="7"/>
        <v>2</v>
      </c>
      <c r="AI41" s="38">
        <f t="shared" ca="1" si="15"/>
        <v>7.5109693963076252</v>
      </c>
      <c r="AJ41" s="29"/>
      <c r="AK41" s="29"/>
      <c r="AL41" s="29"/>
    </row>
    <row r="42" spans="1:38" x14ac:dyDescent="0.2">
      <c r="A42" s="15">
        <v>25</v>
      </c>
      <c r="B42" s="2">
        <f t="shared" si="0"/>
        <v>186.65</v>
      </c>
      <c r="C42" s="25">
        <v>6.4</v>
      </c>
      <c r="D42" s="25">
        <v>0.72</v>
      </c>
      <c r="E42" s="25">
        <v>13.82</v>
      </c>
      <c r="F42" s="3" t="str">
        <f t="shared" ca="1" si="1"/>
        <v>ИГЭ-2</v>
      </c>
      <c r="G42" s="30" t="str">
        <f t="shared" ca="1" si="2"/>
        <v>пыл.-глинист.</v>
      </c>
      <c r="I42" s="13">
        <f t="shared" ca="1" si="8"/>
        <v>756</v>
      </c>
      <c r="J42" s="14">
        <f t="shared" ca="1" si="3"/>
        <v>0.9</v>
      </c>
      <c r="L42" s="14">
        <f t="shared" ca="1" si="4"/>
        <v>1</v>
      </c>
      <c r="M42" s="22">
        <f t="shared" ca="1" si="9"/>
        <v>3.2250000000000028</v>
      </c>
      <c r="N42" s="37">
        <f t="shared" ca="1" si="5"/>
        <v>1</v>
      </c>
      <c r="O42" s="37">
        <f t="shared" ca="1" si="6"/>
        <v>0</v>
      </c>
      <c r="Q42" s="22">
        <f t="shared" si="16"/>
        <v>3.4</v>
      </c>
      <c r="R42" s="22">
        <f t="shared" ca="1" si="17"/>
        <v>83.34899999999999</v>
      </c>
      <c r="S42" s="22">
        <f ca="1">IF(Q42="","",IF(Q42=0,0,SUMPRODUCT(OFFSET(M$18,MATCH(MIN(Q$18:Q$137),Q$18:Q$137,0),0,COUNT(M$18:M42)-MATCH(MIN(Q$18:Q$137),Q$18:Q$137,0),1),OFFSET(M$18,MATCH(MIN(Q$18:Q$137),Q$18:Q$137,0),1,COUNT(M$18:M42)-MATCH(MIN(Q$18:Q$137),Q$18:Q$137,0),1))*$T$6))</f>
        <v>37.251821600000007</v>
      </c>
      <c r="T42" s="22">
        <f t="shared" ca="1" si="18"/>
        <v>120.60082159999999</v>
      </c>
      <c r="V42" s="22">
        <f ca="1">IF(Q42="","",IF(Q42=0,0,SUMPRODUCT(OFFSET(M$18,MATCH(MIN(Q$18:Q$137),Q$18:Q$137,0),0,COUNT(M$18:M42)-MATCH(MIN(Q$18:Q$137),Q$18:Q$137,0),1),OFFSET(M$18,MATCH(MIN(Q$18:Q$137),Q$18:Q$137,0),2,COUNT(M$18:M42)-MATCH(MIN(Q$18:Q$137),Q$18:Q$137,0),1))*$T$6*$T$14))</f>
        <v>0</v>
      </c>
      <c r="W42" s="29"/>
      <c r="X42" s="23">
        <f t="shared" ca="1" si="19"/>
        <v>8.6895543863404683</v>
      </c>
      <c r="Z42" s="15">
        <f t="shared" si="10"/>
        <v>6.0500000000000007</v>
      </c>
      <c r="AA42" s="15">
        <f t="shared" si="11"/>
        <v>7.8000000000000007</v>
      </c>
      <c r="AC42" s="15">
        <f t="shared" si="12"/>
        <v>23</v>
      </c>
      <c r="AD42" s="15">
        <f t="shared" si="13"/>
        <v>32</v>
      </c>
      <c r="AF42" s="15">
        <f t="shared" ca="1" si="14"/>
        <v>10</v>
      </c>
      <c r="AH42" s="15">
        <f t="shared" si="7"/>
        <v>2</v>
      </c>
      <c r="AI42" s="38">
        <f t="shared" ca="1" si="15"/>
        <v>7.8816819830752554</v>
      </c>
      <c r="AJ42" s="29"/>
      <c r="AK42" s="29"/>
      <c r="AL42" s="29"/>
    </row>
    <row r="43" spans="1:38" x14ac:dyDescent="0.2">
      <c r="A43" s="15">
        <v>26</v>
      </c>
      <c r="B43" s="2">
        <f t="shared" si="0"/>
        <v>186.45</v>
      </c>
      <c r="C43" s="25">
        <v>6.6</v>
      </c>
      <c r="D43" s="25">
        <v>0.6</v>
      </c>
      <c r="E43" s="25">
        <v>11.52</v>
      </c>
      <c r="F43" s="3" t="str">
        <f t="shared" ca="1" si="1"/>
        <v>ИГЭ-2</v>
      </c>
      <c r="G43" s="30" t="str">
        <f t="shared" ca="1" si="2"/>
        <v>пыл.-глинист.</v>
      </c>
      <c r="I43" s="13">
        <f t="shared" ca="1" si="8"/>
        <v>764</v>
      </c>
      <c r="J43" s="14">
        <f t="shared" ca="1" si="3"/>
        <v>0.9</v>
      </c>
      <c r="L43" s="14">
        <f t="shared" ca="1" si="4"/>
        <v>1</v>
      </c>
      <c r="M43" s="22">
        <f t="shared" ca="1" si="9"/>
        <v>2.5339999999999909</v>
      </c>
      <c r="N43" s="37">
        <f t="shared" ca="1" si="5"/>
        <v>1</v>
      </c>
      <c r="O43" s="37">
        <f t="shared" ca="1" si="6"/>
        <v>0</v>
      </c>
      <c r="Q43" s="22">
        <f t="shared" si="16"/>
        <v>3.6</v>
      </c>
      <c r="R43" s="22">
        <f t="shared" ca="1" si="17"/>
        <v>84.230999999999995</v>
      </c>
      <c r="S43" s="22">
        <f ca="1">IF(Q43="","",IF(Q43=0,0,SUMPRODUCT(OFFSET(M$18,MATCH(MIN(Q$18:Q$137),Q$18:Q$137,0),0,COUNT(M$18:M43)-MATCH(MIN(Q$18:Q$137),Q$18:Q$137,0),1),OFFSET(M$18,MATCH(MIN(Q$18:Q$137),Q$18:Q$137,0),1,COUNT(M$18:M43)-MATCH(MIN(Q$18:Q$137),Q$18:Q$137,0),1))*$T$6))</f>
        <v>40.799421599999995</v>
      </c>
      <c r="T43" s="22">
        <f t="shared" ca="1" si="18"/>
        <v>125.03042159999998</v>
      </c>
      <c r="V43" s="22">
        <f ca="1">IF(Q43="","",IF(Q43=0,0,SUMPRODUCT(OFFSET(M$18,MATCH(MIN(Q$18:Q$137),Q$18:Q$137,0),0,COUNT(M$18:M43)-MATCH(MIN(Q$18:Q$137),Q$18:Q$137,0),1),OFFSET(M$18,MATCH(MIN(Q$18:Q$137),Q$18:Q$137,0),2,COUNT(M$18:M43)-MATCH(MIN(Q$18:Q$137),Q$18:Q$137,0),1))*$T$6*$T$14))</f>
        <v>0</v>
      </c>
      <c r="W43" s="29"/>
      <c r="X43" s="23">
        <f t="shared" ca="1" si="19"/>
        <v>8.9834107828746159</v>
      </c>
      <c r="Z43" s="15">
        <f t="shared" si="10"/>
        <v>6.25</v>
      </c>
      <c r="AA43" s="15">
        <f t="shared" si="11"/>
        <v>8</v>
      </c>
      <c r="AC43" s="15">
        <f t="shared" si="12"/>
        <v>23</v>
      </c>
      <c r="AD43" s="15">
        <f t="shared" si="13"/>
        <v>33</v>
      </c>
      <c r="AF43" s="15">
        <f t="shared" ca="1" si="14"/>
        <v>11</v>
      </c>
      <c r="AH43" s="15">
        <f t="shared" si="7"/>
        <v>2</v>
      </c>
      <c r="AI43" s="38">
        <f t="shared" ca="1" si="15"/>
        <v>8.148218397165186</v>
      </c>
      <c r="AJ43" s="29"/>
      <c r="AK43" s="29"/>
      <c r="AL43" s="29"/>
    </row>
    <row r="44" spans="1:38" x14ac:dyDescent="0.2">
      <c r="A44" s="15">
        <v>27</v>
      </c>
      <c r="B44" s="2">
        <f t="shared" si="0"/>
        <v>186.25</v>
      </c>
      <c r="C44" s="25">
        <v>6.8</v>
      </c>
      <c r="D44" s="25">
        <v>0.72</v>
      </c>
      <c r="E44" s="25">
        <v>9.2200000000000006</v>
      </c>
      <c r="F44" s="3" t="str">
        <f t="shared" ca="1" si="1"/>
        <v>ИГЭ-2</v>
      </c>
      <c r="G44" s="30" t="str">
        <f t="shared" ca="1" si="2"/>
        <v>пыл.-глинист.</v>
      </c>
      <c r="I44" s="13">
        <f t="shared" ca="1" si="8"/>
        <v>780</v>
      </c>
      <c r="J44" s="14">
        <f t="shared" ca="1" si="3"/>
        <v>0.9</v>
      </c>
      <c r="L44" s="14">
        <f t="shared" ca="1" si="4"/>
        <v>1</v>
      </c>
      <c r="M44" s="22">
        <f t="shared" ca="1" si="9"/>
        <v>2.0740000000000021</v>
      </c>
      <c r="N44" s="37">
        <f t="shared" ca="1" si="5"/>
        <v>1</v>
      </c>
      <c r="O44" s="37">
        <f t="shared" ca="1" si="6"/>
        <v>0</v>
      </c>
      <c r="Q44" s="22">
        <f t="shared" si="16"/>
        <v>3.8</v>
      </c>
      <c r="R44" s="22">
        <f t="shared" ca="1" si="17"/>
        <v>85.99499999999999</v>
      </c>
      <c r="S44" s="22">
        <f ca="1">IF(Q44="","",IF(Q44=0,0,SUMPRODUCT(OFFSET(M$18,MATCH(MIN(Q$18:Q$137),Q$18:Q$137,0),0,COUNT(M$18:M44)-MATCH(MIN(Q$18:Q$137),Q$18:Q$137,0),1),OFFSET(M$18,MATCH(MIN(Q$18:Q$137),Q$18:Q$137,0),1,COUNT(M$18:M44)-MATCH(MIN(Q$18:Q$137),Q$18:Q$137,0),1))*$T$6))</f>
        <v>43.7030216</v>
      </c>
      <c r="T44" s="22">
        <f t="shared" ca="1" si="18"/>
        <v>129.6980216</v>
      </c>
      <c r="V44" s="22">
        <f ca="1">IF(Q44="","",IF(Q44=0,0,SUMPRODUCT(OFFSET(M$18,MATCH(MIN(Q$18:Q$137),Q$18:Q$137,0),0,COUNT(M$18:M44)-MATCH(MIN(Q$18:Q$137),Q$18:Q$137,0),1),OFFSET(M$18,MATCH(MIN(Q$18:Q$137),Q$18:Q$137,0),2,COUNT(M$18:M44)-MATCH(MIN(Q$18:Q$137),Q$18:Q$137,0),1))*$T$6*$T$14))</f>
        <v>0</v>
      </c>
      <c r="W44" s="29"/>
      <c r="X44" s="23">
        <f t="shared" ca="1" si="19"/>
        <v>9.2966759459734956</v>
      </c>
      <c r="Z44" s="15">
        <f t="shared" si="10"/>
        <v>6.45</v>
      </c>
      <c r="AA44" s="15">
        <f t="shared" si="11"/>
        <v>8.1999999999999993</v>
      </c>
      <c r="AC44" s="15">
        <f t="shared" si="12"/>
        <v>25</v>
      </c>
      <c r="AD44" s="15">
        <f t="shared" si="13"/>
        <v>34</v>
      </c>
      <c r="AF44" s="15">
        <f t="shared" ca="1" si="14"/>
        <v>10</v>
      </c>
      <c r="AH44" s="15">
        <f t="shared" si="7"/>
        <v>2</v>
      </c>
      <c r="AI44" s="38">
        <f t="shared" ca="1" si="15"/>
        <v>8.4323591346698379</v>
      </c>
      <c r="AJ44" s="29"/>
      <c r="AK44" s="29"/>
      <c r="AL44" s="29"/>
    </row>
    <row r="45" spans="1:38" x14ac:dyDescent="0.2">
      <c r="A45" s="15">
        <v>28</v>
      </c>
      <c r="B45" s="2">
        <f t="shared" si="0"/>
        <v>186.05</v>
      </c>
      <c r="C45" s="25">
        <v>7</v>
      </c>
      <c r="D45" s="25">
        <v>0.72</v>
      </c>
      <c r="E45" s="25">
        <v>9.2200000000000006</v>
      </c>
      <c r="F45" s="3" t="str">
        <f t="shared" ca="1" si="1"/>
        <v>ИГЭ-2</v>
      </c>
      <c r="G45" s="30" t="str">
        <f t="shared" ca="1" si="2"/>
        <v>пыл.-глинист.</v>
      </c>
      <c r="I45" s="13">
        <f t="shared" ca="1" si="8"/>
        <v>792</v>
      </c>
      <c r="J45" s="14">
        <f t="shared" ca="1" si="3"/>
        <v>0.9</v>
      </c>
      <c r="L45" s="14">
        <f t="shared" ca="1" si="4"/>
        <v>1</v>
      </c>
      <c r="M45" s="22">
        <f t="shared" ca="1" si="9"/>
        <v>1.8440000000000019</v>
      </c>
      <c r="N45" s="37">
        <f t="shared" ca="1" si="5"/>
        <v>1</v>
      </c>
      <c r="O45" s="37">
        <f t="shared" ca="1" si="6"/>
        <v>0</v>
      </c>
      <c r="Q45" s="22">
        <f t="shared" si="16"/>
        <v>4</v>
      </c>
      <c r="R45" s="22">
        <f t="shared" ca="1" si="17"/>
        <v>87.317999999999998</v>
      </c>
      <c r="S45" s="22">
        <f ca="1">IF(Q45="","",IF(Q45=0,0,SUMPRODUCT(OFFSET(M$18,MATCH(MIN(Q$18:Q$137),Q$18:Q$137,0),0,COUNT(M$18:M45)-MATCH(MIN(Q$18:Q$137),Q$18:Q$137,0),1),OFFSET(M$18,MATCH(MIN(Q$18:Q$137),Q$18:Q$137,0),1,COUNT(M$18:M45)-MATCH(MIN(Q$18:Q$137),Q$18:Q$137,0),1))*$T$6))</f>
        <v>46.284621600000001</v>
      </c>
      <c r="T45" s="22">
        <f t="shared" ca="1" si="18"/>
        <v>133.60262159999999</v>
      </c>
      <c r="V45" s="22">
        <f ca="1">IF(Q45="","",IF(Q45=0,0,SUMPRODUCT(OFFSET(M$18,MATCH(MIN(Q$18:Q$137),Q$18:Q$137,0),0,COUNT(M$18:M45)-MATCH(MIN(Q$18:Q$137),Q$18:Q$137,0),1),OFFSET(M$18,MATCH(MIN(Q$18:Q$137),Q$18:Q$137,0),2,COUNT(M$18:M45)-MATCH(MIN(Q$18:Q$137),Q$18:Q$137,0),1))*$T$6*$T$14))</f>
        <v>0</v>
      </c>
      <c r="W45" s="29"/>
      <c r="X45" s="23">
        <f t="shared" ca="1" si="19"/>
        <v>9.5477188868501521</v>
      </c>
      <c r="Z45" s="15">
        <f t="shared" si="10"/>
        <v>6.65</v>
      </c>
      <c r="AA45" s="15">
        <f t="shared" si="11"/>
        <v>8.4</v>
      </c>
      <c r="AC45" s="15">
        <f t="shared" si="12"/>
        <v>26</v>
      </c>
      <c r="AD45" s="15">
        <f t="shared" si="13"/>
        <v>35</v>
      </c>
      <c r="AF45" s="15">
        <f t="shared" ca="1" si="14"/>
        <v>10</v>
      </c>
      <c r="AH45" s="15">
        <f t="shared" si="7"/>
        <v>2</v>
      </c>
      <c r="AI45" s="38">
        <f t="shared" ca="1" si="15"/>
        <v>8.6600624824037666</v>
      </c>
      <c r="AJ45" s="29"/>
      <c r="AK45" s="29"/>
      <c r="AL45" s="29"/>
    </row>
    <row r="46" spans="1:38" x14ac:dyDescent="0.2">
      <c r="A46" s="15">
        <v>29</v>
      </c>
      <c r="B46" s="2">
        <f t="shared" si="0"/>
        <v>185.85</v>
      </c>
      <c r="C46" s="25">
        <v>7.2</v>
      </c>
      <c r="D46" s="25">
        <v>0.84</v>
      </c>
      <c r="E46" s="25">
        <v>25.34</v>
      </c>
      <c r="F46" s="3" t="str">
        <f t="shared" ca="1" si="1"/>
        <v>ИГЭ-2</v>
      </c>
      <c r="G46" s="30" t="str">
        <f t="shared" ca="1" si="2"/>
        <v>пыл.-глинист.</v>
      </c>
      <c r="I46" s="13">
        <f t="shared" ca="1" si="8"/>
        <v>816</v>
      </c>
      <c r="J46" s="14">
        <f t="shared" ca="1" si="3"/>
        <v>0.9</v>
      </c>
      <c r="L46" s="14">
        <f t="shared" ca="1" si="4"/>
        <v>0.93300000000000005</v>
      </c>
      <c r="M46" s="22">
        <f t="shared" ca="1" si="9"/>
        <v>3.2862220000000031</v>
      </c>
      <c r="N46" s="37">
        <f t="shared" ca="1" si="5"/>
        <v>1</v>
      </c>
      <c r="O46" s="37">
        <f t="shared" ca="1" si="6"/>
        <v>0</v>
      </c>
      <c r="Q46" s="22">
        <f t="shared" si="16"/>
        <v>4.2</v>
      </c>
      <c r="R46" s="22">
        <f t="shared" ca="1" si="17"/>
        <v>89.963999999999984</v>
      </c>
      <c r="S46" s="22">
        <f ca="1">IF(Q46="","",IF(Q46=0,0,SUMPRODUCT(OFFSET(M$18,MATCH(MIN(Q$18:Q$137),Q$18:Q$137,0),0,COUNT(M$18:M46)-MATCH(MIN(Q$18:Q$137),Q$18:Q$137,0),1),OFFSET(M$18,MATCH(MIN(Q$18:Q$137),Q$18:Q$137,0),1,COUNT(M$18:M46)-MATCH(MIN(Q$18:Q$137),Q$18:Q$137,0),1))*$T$6))</f>
        <v>50.885332400000003</v>
      </c>
      <c r="T46" s="22">
        <f t="shared" ca="1" si="18"/>
        <v>140.84933239999998</v>
      </c>
      <c r="V46" s="22">
        <f ca="1">IF(Q46="","",IF(Q46=0,0,SUMPRODUCT(OFFSET(M$18,MATCH(MIN(Q$18:Q$137),Q$18:Q$137,0),0,COUNT(M$18:M46)-MATCH(MIN(Q$18:Q$137),Q$18:Q$137,0),1),OFFSET(M$18,MATCH(MIN(Q$18:Q$137),Q$18:Q$137,0),2,COUNT(M$18:M46)-MATCH(MIN(Q$18:Q$137),Q$18:Q$137,0),1))*$T$6*$T$14))</f>
        <v>0</v>
      </c>
      <c r="W46" s="29"/>
      <c r="X46" s="23">
        <f t="shared" ca="1" si="19"/>
        <v>10.07130908970438</v>
      </c>
      <c r="Z46" s="15">
        <f t="shared" si="10"/>
        <v>6.8500000000000005</v>
      </c>
      <c r="AA46" s="15">
        <f t="shared" si="11"/>
        <v>8.6</v>
      </c>
      <c r="AC46" s="15">
        <f t="shared" si="12"/>
        <v>27</v>
      </c>
      <c r="AD46" s="15">
        <f t="shared" si="13"/>
        <v>36</v>
      </c>
      <c r="AF46" s="15">
        <f t="shared" ca="1" si="14"/>
        <v>10</v>
      </c>
      <c r="AH46" s="15">
        <f t="shared" si="7"/>
        <v>2</v>
      </c>
      <c r="AI46" s="38">
        <f t="shared" ca="1" si="15"/>
        <v>9.1349742310243816</v>
      </c>
      <c r="AJ46" s="29"/>
      <c r="AK46" s="29"/>
      <c r="AL46" s="29"/>
    </row>
    <row r="47" spans="1:38" x14ac:dyDescent="0.2">
      <c r="A47" s="15">
        <v>30</v>
      </c>
      <c r="B47" s="2">
        <f t="shared" si="0"/>
        <v>185.65</v>
      </c>
      <c r="C47" s="25">
        <v>7.4</v>
      </c>
      <c r="D47" s="25">
        <v>0.84</v>
      </c>
      <c r="E47" s="25">
        <v>23.04</v>
      </c>
      <c r="F47" s="3" t="str">
        <f t="shared" ca="1" si="1"/>
        <v>ИГЭ-2</v>
      </c>
      <c r="G47" s="30" t="str">
        <f t="shared" ca="1" si="2"/>
        <v>пыл.-глинист.</v>
      </c>
      <c r="I47" s="13">
        <f t="shared" ca="1" si="8"/>
        <v>816</v>
      </c>
      <c r="J47" s="14">
        <f t="shared" ca="1" si="3"/>
        <v>0.9</v>
      </c>
      <c r="L47" s="14">
        <f t="shared" ca="1" si="4"/>
        <v>0.96199999999999997</v>
      </c>
      <c r="M47" s="22">
        <f t="shared" ca="1" si="9"/>
        <v>4.580670000000004</v>
      </c>
      <c r="N47" s="37">
        <f t="shared" ca="1" si="5"/>
        <v>1</v>
      </c>
      <c r="O47" s="37">
        <f t="shared" ca="1" si="6"/>
        <v>0</v>
      </c>
      <c r="Q47" s="22">
        <f t="shared" si="16"/>
        <v>4.4000000000000004</v>
      </c>
      <c r="R47" s="22">
        <f t="shared" ca="1" si="17"/>
        <v>89.963999999999984</v>
      </c>
      <c r="S47" s="22">
        <f ca="1">IF(Q47="","",IF(Q47=0,0,SUMPRODUCT(OFFSET(M$18,MATCH(MIN(Q$18:Q$137),Q$18:Q$137,0),0,COUNT(M$18:M47)-MATCH(MIN(Q$18:Q$137),Q$18:Q$137,0),1),OFFSET(M$18,MATCH(MIN(Q$18:Q$137),Q$18:Q$137,0),1,COUNT(M$18:M47)-MATCH(MIN(Q$18:Q$137),Q$18:Q$137,0),1))*$T$6))</f>
        <v>57.298270400000014</v>
      </c>
      <c r="T47" s="22">
        <f t="shared" ca="1" si="18"/>
        <v>147.26227040000001</v>
      </c>
      <c r="V47" s="22">
        <f ca="1">IF(Q47="","",IF(Q47=0,0,SUMPRODUCT(OFFSET(M$18,MATCH(MIN(Q$18:Q$137),Q$18:Q$137,0),0,COUNT(M$18:M47)-MATCH(MIN(Q$18:Q$137),Q$18:Q$137,0),1),OFFSET(M$18,MATCH(MIN(Q$18:Q$137),Q$18:Q$137,0),2,COUNT(M$18:M47)-MATCH(MIN(Q$18:Q$137),Q$18:Q$137,0),1))*$T$6*$T$14))</f>
        <v>0</v>
      </c>
      <c r="W47" s="29"/>
      <c r="X47" s="23">
        <f t="shared" ca="1" si="19"/>
        <v>10.526905588175332</v>
      </c>
      <c r="Z47" s="15">
        <f t="shared" si="10"/>
        <v>7.0500000000000007</v>
      </c>
      <c r="AA47" s="15">
        <f t="shared" si="11"/>
        <v>8.8000000000000007</v>
      </c>
      <c r="AC47" s="15">
        <f t="shared" si="12"/>
        <v>28</v>
      </c>
      <c r="AD47" s="15">
        <f t="shared" si="13"/>
        <v>37</v>
      </c>
      <c r="AF47" s="15">
        <f t="shared" ca="1" si="14"/>
        <v>10</v>
      </c>
      <c r="AH47" s="15">
        <f t="shared" si="7"/>
        <v>2</v>
      </c>
      <c r="AI47" s="38">
        <f t="shared" ca="1" si="15"/>
        <v>9.5482136854198032</v>
      </c>
      <c r="AJ47" s="29"/>
      <c r="AK47" s="29"/>
      <c r="AL47" s="29"/>
    </row>
    <row r="48" spans="1:38" x14ac:dyDescent="0.2">
      <c r="A48" s="15">
        <v>31</v>
      </c>
      <c r="B48" s="2">
        <f t="shared" si="0"/>
        <v>185.45</v>
      </c>
      <c r="C48" s="25">
        <v>7.6</v>
      </c>
      <c r="D48" s="25">
        <v>0.84</v>
      </c>
      <c r="E48" s="25">
        <v>20.73</v>
      </c>
      <c r="F48" s="3" t="str">
        <f t="shared" ca="1" si="1"/>
        <v>ИГЭ-2</v>
      </c>
      <c r="G48" s="30" t="str">
        <f t="shared" ca="1" si="2"/>
        <v>пыл.-глинист.</v>
      </c>
      <c r="I48" s="13">
        <f t="shared" ca="1" si="8"/>
        <v>807</v>
      </c>
      <c r="J48" s="14">
        <f t="shared" ca="1" si="3"/>
        <v>0.9</v>
      </c>
      <c r="L48" s="14">
        <f t="shared" ca="1" si="4"/>
        <v>0.99099999999999999</v>
      </c>
      <c r="M48" s="22">
        <f t="shared" ca="1" si="9"/>
        <v>4.2707909999999849</v>
      </c>
      <c r="N48" s="37">
        <f t="shared" ca="1" si="5"/>
        <v>1</v>
      </c>
      <c r="O48" s="37">
        <f t="shared" ca="1" si="6"/>
        <v>0</v>
      </c>
      <c r="Q48" s="22">
        <f t="shared" si="16"/>
        <v>4.5999999999999996</v>
      </c>
      <c r="R48" s="22">
        <f t="shared" ca="1" si="17"/>
        <v>88.97175</v>
      </c>
      <c r="S48" s="22">
        <f ca="1">IF(Q48="","",IF(Q48=0,0,SUMPRODUCT(OFFSET(M$18,MATCH(MIN(Q$18:Q$137),Q$18:Q$137,0),0,COUNT(M$18:M48)-MATCH(MIN(Q$18:Q$137),Q$18:Q$137,0),1),OFFSET(M$18,MATCH(MIN(Q$18:Q$137),Q$18:Q$137,0),1,COUNT(M$18:M48)-MATCH(MIN(Q$18:Q$137),Q$18:Q$137,0),1))*$T$6))</f>
        <v>63.277377799999996</v>
      </c>
      <c r="T48" s="22">
        <f t="shared" ca="1" si="18"/>
        <v>152.2491278</v>
      </c>
      <c r="V48" s="22">
        <f ca="1">IF(Q48="","",IF(Q48=0,0,SUMPRODUCT(OFFSET(M$18,MATCH(MIN(Q$18:Q$137),Q$18:Q$137,0),0,COUNT(M$18:M48)-MATCH(MIN(Q$18:Q$137),Q$18:Q$137,0),1),OFFSET(M$18,MATCH(MIN(Q$18:Q$137),Q$18:Q$137,0),2,COUNT(M$18:M48)-MATCH(MIN(Q$18:Q$137),Q$18:Q$137,0),1))*$T$6*$T$14))</f>
        <v>0</v>
      </c>
      <c r="W48" s="29"/>
      <c r="X48" s="23">
        <f t="shared" ca="1" si="19"/>
        <v>10.866206013251784</v>
      </c>
      <c r="Z48" s="15">
        <f t="shared" si="10"/>
        <v>7.25</v>
      </c>
      <c r="AA48" s="15">
        <f t="shared" si="11"/>
        <v>9</v>
      </c>
      <c r="AC48" s="15">
        <f t="shared" si="12"/>
        <v>28</v>
      </c>
      <c r="AD48" s="15">
        <f t="shared" si="13"/>
        <v>38</v>
      </c>
      <c r="AF48" s="15">
        <f t="shared" ca="1" si="14"/>
        <v>11</v>
      </c>
      <c r="AH48" s="15">
        <f t="shared" si="7"/>
        <v>2</v>
      </c>
      <c r="AI48" s="38">
        <f t="shared" ca="1" si="15"/>
        <v>9.8559691730174919</v>
      </c>
      <c r="AJ48" s="29"/>
      <c r="AK48" s="29"/>
      <c r="AL48" s="29"/>
    </row>
    <row r="49" spans="1:38" x14ac:dyDescent="0.2">
      <c r="A49" s="15">
        <v>32</v>
      </c>
      <c r="B49" s="2">
        <f t="shared" si="0"/>
        <v>185.25</v>
      </c>
      <c r="C49" s="25">
        <v>7.8</v>
      </c>
      <c r="D49" s="25">
        <v>0.84</v>
      </c>
      <c r="E49" s="25">
        <v>18.43</v>
      </c>
      <c r="F49" s="3" t="str">
        <f t="shared" ca="1" si="1"/>
        <v>ИГЭ-2</v>
      </c>
      <c r="G49" s="30" t="str">
        <f t="shared" ca="1" si="2"/>
        <v>пыл.-глинист.</v>
      </c>
      <c r="I49" s="13">
        <f t="shared" ca="1" si="8"/>
        <v>816</v>
      </c>
      <c r="J49" s="14">
        <f t="shared" ca="1" si="3"/>
        <v>0.9</v>
      </c>
      <c r="L49" s="14">
        <f t="shared" ca="1" si="4"/>
        <v>1</v>
      </c>
      <c r="M49" s="22">
        <f t="shared" ca="1" si="9"/>
        <v>3.8973430000000033</v>
      </c>
      <c r="N49" s="37">
        <f t="shared" ca="1" si="5"/>
        <v>1</v>
      </c>
      <c r="O49" s="37">
        <f t="shared" ca="1" si="6"/>
        <v>0</v>
      </c>
      <c r="Q49" s="22">
        <f t="shared" si="16"/>
        <v>4.8</v>
      </c>
      <c r="R49" s="22">
        <f t="shared" ca="1" si="17"/>
        <v>89.963999999999984</v>
      </c>
      <c r="S49" s="22">
        <f ca="1">IF(Q49="","",IF(Q49=0,0,SUMPRODUCT(OFFSET(M$18,MATCH(MIN(Q$18:Q$137),Q$18:Q$137,0),0,COUNT(M$18:M49)-MATCH(MIN(Q$18:Q$137),Q$18:Q$137,0),1),OFFSET(M$18,MATCH(MIN(Q$18:Q$137),Q$18:Q$137,0),1,COUNT(M$18:M49)-MATCH(MIN(Q$18:Q$137),Q$18:Q$137,0),1))*$T$6))</f>
        <v>68.733658000000005</v>
      </c>
      <c r="T49" s="22">
        <f t="shared" ca="1" si="18"/>
        <v>158.69765799999999</v>
      </c>
      <c r="V49" s="22">
        <f ca="1">IF(Q49="","",IF(Q49=0,0,SUMPRODUCT(OFFSET(M$18,MATCH(MIN(Q$18:Q$137),Q$18:Q$137,0),0,COUNT(M$18:M49)-MATCH(MIN(Q$18:Q$137),Q$18:Q$137,0),1),OFFSET(M$18,MATCH(MIN(Q$18:Q$137),Q$18:Q$137,0),2,COUNT(M$18:M49)-MATCH(MIN(Q$18:Q$137),Q$18:Q$137,0),1))*$T$6*$T$14))</f>
        <v>0</v>
      </c>
      <c r="W49" s="29"/>
      <c r="X49" s="23">
        <f t="shared" ca="1" si="19"/>
        <v>11.32470503567788</v>
      </c>
      <c r="Z49" s="15">
        <f t="shared" si="10"/>
        <v>7.45</v>
      </c>
      <c r="AA49" s="15">
        <f t="shared" si="11"/>
        <v>9.1999999999999993</v>
      </c>
      <c r="AC49" s="15">
        <f t="shared" si="12"/>
        <v>30</v>
      </c>
      <c r="AD49" s="15">
        <f t="shared" si="13"/>
        <v>39</v>
      </c>
      <c r="AF49" s="15">
        <f t="shared" ca="1" si="14"/>
        <v>10</v>
      </c>
      <c r="AH49" s="15">
        <f t="shared" si="7"/>
        <v>2</v>
      </c>
      <c r="AI49" s="38">
        <f t="shared" ca="1" si="15"/>
        <v>10.27184130220216</v>
      </c>
      <c r="AJ49" s="29"/>
      <c r="AK49" s="29"/>
      <c r="AL49" s="29"/>
    </row>
    <row r="50" spans="1:38" x14ac:dyDescent="0.2">
      <c r="A50" s="15">
        <v>33</v>
      </c>
      <c r="B50" s="2">
        <f t="shared" ref="B50:B81" si="20">IF(C50="","",ROUND($D$6-C50,2))</f>
        <v>185.05</v>
      </c>
      <c r="C50" s="25">
        <v>8</v>
      </c>
      <c r="D50" s="25">
        <v>0.84</v>
      </c>
      <c r="E50" s="25">
        <v>16.13</v>
      </c>
      <c r="F50" s="3" t="str">
        <f t="shared" ref="F50:F81" ca="1" si="21">IF(C50="","",OFFSET($C$5,MATCH(B50,D$6:D$15,-1),0,1,1))</f>
        <v>ИГЭ-2</v>
      </c>
      <c r="G50" s="30" t="str">
        <f t="shared" ref="G50:G81" ca="1" si="22">IF(C50="","",OFFSET($E$5,MATCH(B50,D$6:D$15,-1),0,1,1))</f>
        <v>пыл.-глинист.</v>
      </c>
      <c r="I50" s="13">
        <f t="shared" ca="1" si="8"/>
        <v>816</v>
      </c>
      <c r="J50" s="14">
        <f t="shared" ref="J50:J81" ca="1" si="23">IF(I50="","",IF(I50&lt;=1000,0.9,IF(I50&lt;=2500,ROUND(0.967-0.000067*I50,3),IF(I50&lt;=5000,ROUND(0.95-0.00006*I50,3),IF(I50&lt;=7500,ROUND(0.85-0.00004*I50,3),IF(I50&lt;=10000,ROUND(0.85-0.00004*I50,3),IF(I50&lt;=15000,ROUND(0.65-0.00002*I50,3),IF(I50&lt;=30000,0.5-0.00001*I50,0.2))))))))</f>
        <v>0.9</v>
      </c>
      <c r="L50" s="14">
        <f t="shared" ref="L50:L81" ca="1" si="24">IF(G50="","",IF(G50="песчаный",IF(E50&lt;=20,0.75,IF(E50&lt;=40,ROUND(0.9-0.0075*E50,3),IF(E50&lt;=120,ROUND(0.7-0.0025*E50,3),0.4))),IF(E50&lt;=20,1,IF(E50&lt;=40,ROUND(1.25-0.0125*E50,3),IF(E50&lt;=80,ROUND(1.05-0.0075*E50,3),IF(E50&lt;=100,ROUND(0.65-0.0025*E50,3),IF(E50&lt;=120,ROUND(0.9-0.005*E50,3),0.3)))))))</f>
        <v>1</v>
      </c>
      <c r="M50" s="22">
        <f t="shared" ca="1" si="9"/>
        <v>3.4560000000000035</v>
      </c>
      <c r="N50" s="37">
        <f t="shared" ref="N50:N81" ca="1" si="25">IF(C50="","",IF(OFFSET($C$5,MATCH(B50,D$6:D$15,-1),4,1,1)="",1,0))</f>
        <v>1</v>
      </c>
      <c r="O50" s="37">
        <f t="shared" ref="O50:O81" ca="1" si="26">IF(C50="","",IF(OFFSET($C$5,MATCH(B50,D$6:D$15,-1),4,1,1)="тип II",1,0))</f>
        <v>0</v>
      </c>
      <c r="Q50" s="22">
        <f t="shared" si="16"/>
        <v>5</v>
      </c>
      <c r="R50" s="22">
        <f t="shared" ca="1" si="17"/>
        <v>89.963999999999984</v>
      </c>
      <c r="S50" s="22">
        <f ca="1">IF(Q50="","",IF(Q50=0,0,SUMPRODUCT(OFFSET(M$18,MATCH(MIN(Q$18:Q$137),Q$18:Q$137,0),0,COUNT(M$18:M50)-MATCH(MIN(Q$18:Q$137),Q$18:Q$137,0),1),OFFSET(M$18,MATCH(MIN(Q$18:Q$137),Q$18:Q$137,0),1,COUNT(M$18:M50)-MATCH(MIN(Q$18:Q$137),Q$18:Q$137,0),1))*$T$6))</f>
        <v>73.572058000000013</v>
      </c>
      <c r="T50" s="22">
        <f t="shared" ca="1" si="18"/>
        <v>163.536058</v>
      </c>
      <c r="V50" s="22">
        <f ca="1">IF(Q50="","",IF(Q50=0,0,SUMPRODUCT(OFFSET(M$18,MATCH(MIN(Q$18:Q$137),Q$18:Q$137,0),0,COUNT(M$18:M50)-MATCH(MIN(Q$18:Q$137),Q$18:Q$137,0),1),OFFSET(M$18,MATCH(MIN(Q$18:Q$137),Q$18:Q$137,0),2,COUNT(M$18:M50)-MATCH(MIN(Q$18:Q$137),Q$18:Q$137,0),1))*$T$6*$T$14))</f>
        <v>0</v>
      </c>
      <c r="W50" s="29"/>
      <c r="X50" s="23">
        <f t="shared" ca="1" si="19"/>
        <v>11.65189884301733</v>
      </c>
      <c r="Z50" s="15">
        <f t="shared" si="10"/>
        <v>7.65</v>
      </c>
      <c r="AA50" s="15">
        <f t="shared" si="11"/>
        <v>9.4</v>
      </c>
      <c r="AC50" s="15">
        <f t="shared" si="12"/>
        <v>31</v>
      </c>
      <c r="AD50" s="15">
        <f t="shared" si="13"/>
        <v>40</v>
      </c>
      <c r="AF50" s="15">
        <f t="shared" ca="1" si="14"/>
        <v>10</v>
      </c>
      <c r="AH50" s="15">
        <f t="shared" ref="AH50:AH81" si="27">MATCH(B50,D$6:D$15,-1)</f>
        <v>2</v>
      </c>
      <c r="AI50" s="38">
        <f t="shared" ca="1" si="15"/>
        <v>10.568615730627965</v>
      </c>
      <c r="AJ50" s="29"/>
      <c r="AK50" s="29"/>
      <c r="AL50" s="29"/>
    </row>
    <row r="51" spans="1:38" x14ac:dyDescent="0.2">
      <c r="A51" s="15">
        <v>34</v>
      </c>
      <c r="B51" s="2">
        <f t="shared" si="20"/>
        <v>184.85</v>
      </c>
      <c r="C51" s="25">
        <v>8.1999999999999993</v>
      </c>
      <c r="D51" s="25">
        <v>0.84</v>
      </c>
      <c r="E51" s="25">
        <v>16.13</v>
      </c>
      <c r="F51" s="3" t="str">
        <f t="shared" ca="1" si="21"/>
        <v>ИГЭ-2</v>
      </c>
      <c r="G51" s="30" t="str">
        <f t="shared" ca="1" si="22"/>
        <v>пыл.-глинист.</v>
      </c>
      <c r="I51" s="13">
        <f t="shared" ref="I51:I82" ca="1" si="28">IF(D51="","",ROUND(AVERAGE(OFFSET($D$17,MATCH(MAX(FLOOR(C51-$T$5,(C51-C50)),C$18),C$18:C$137),0,MATCH(MIN(CEILING(C51+4*$T$5,(C51-C50)),C$137),C$18:C$137)-MATCH(MAX(FLOOR(C51-$T$5,(C51-C50)),C$18),C$18:C$137)+1,1))*1000,0))</f>
        <v>807</v>
      </c>
      <c r="J51" s="14">
        <f t="shared" ca="1" si="23"/>
        <v>0.9</v>
      </c>
      <c r="L51" s="14">
        <f t="shared" ca="1" si="24"/>
        <v>1</v>
      </c>
      <c r="M51" s="22">
        <f t="shared" ref="M51:M82" ca="1" si="29">IF(L51="","",(C51-C50)*SUMPRODUCT(E50:E51,L50:L51)/2)</f>
        <v>3.2259999999999884</v>
      </c>
      <c r="N51" s="37">
        <f t="shared" ca="1" si="25"/>
        <v>1</v>
      </c>
      <c r="O51" s="37">
        <f t="shared" ca="1" si="26"/>
        <v>0</v>
      </c>
      <c r="Q51" s="22">
        <f t="shared" si="16"/>
        <v>5.2</v>
      </c>
      <c r="R51" s="22">
        <f t="shared" ca="1" si="17"/>
        <v>88.97175</v>
      </c>
      <c r="S51" s="22">
        <f ca="1">IF(Q51="","",IF(Q51=0,0,SUMPRODUCT(OFFSET(M$18,MATCH(MIN(Q$18:Q$137),Q$18:Q$137,0),0,COUNT(M$18:M51)-MATCH(MIN(Q$18:Q$137),Q$18:Q$137,0),1),OFFSET(M$18,MATCH(MIN(Q$18:Q$137),Q$18:Q$137,0),1,COUNT(M$18:M51)-MATCH(MIN(Q$18:Q$137),Q$18:Q$137,0),1))*$T$6))</f>
        <v>78.088457999999989</v>
      </c>
      <c r="T51" s="22">
        <f t="shared" ca="1" si="18"/>
        <v>167.06020799999999</v>
      </c>
      <c r="V51" s="22">
        <f ca="1">IF(Q51="","",IF(Q51=0,0,SUMPRODUCT(OFFSET(M$18,MATCH(MIN(Q$18:Q$137),Q$18:Q$137,0),0,COUNT(M$18:M51)-MATCH(MIN(Q$18:Q$137),Q$18:Q$137,0),1),OFFSET(M$18,MATCH(MIN(Q$18:Q$137),Q$18:Q$137,0),2,COUNT(M$18:M51)-MATCH(MIN(Q$18:Q$137),Q$18:Q$137,0),1))*$T$6*$T$14))</f>
        <v>0</v>
      </c>
      <c r="W51" s="29"/>
      <c r="X51" s="23">
        <f t="shared" ca="1" si="19"/>
        <v>11.871916299694186</v>
      </c>
      <c r="Z51" s="15">
        <f t="shared" ref="Z51:Z82" si="30">C51-T$5</f>
        <v>7.85</v>
      </c>
      <c r="AA51" s="15">
        <f t="shared" ref="AA51:AA82" si="31">C51+4*T$5</f>
        <v>9.6</v>
      </c>
      <c r="AC51" s="15">
        <f t="shared" ref="AC51:AC82" si="32">MATCH(MAX(FLOOR(C51-$T$5,(C51-C50)),C$18),C$18:C$137)</f>
        <v>31</v>
      </c>
      <c r="AD51" s="15">
        <f t="shared" ref="AD51:AD82" si="33">MATCH(MIN(CEILING(C51+4*$T$5,(C51-C50)),C$137),C$18:C$137)</f>
        <v>41</v>
      </c>
      <c r="AF51" s="15">
        <f t="shared" ref="AF51:AF82" ca="1" si="34">COUNT(OFFSET($D$17,AC51,0,AD51-AC51+1,1))</f>
        <v>11</v>
      </c>
      <c r="AH51" s="15">
        <f t="shared" si="27"/>
        <v>2</v>
      </c>
      <c r="AI51" s="38">
        <f t="shared" ca="1" si="15"/>
        <v>10.76817804960924</v>
      </c>
      <c r="AJ51" s="29"/>
      <c r="AK51" s="29"/>
      <c r="AL51" s="29"/>
    </row>
    <row r="52" spans="1:38" x14ac:dyDescent="0.2">
      <c r="A52" s="15">
        <v>35</v>
      </c>
      <c r="B52" s="2">
        <f t="shared" si="20"/>
        <v>184.65</v>
      </c>
      <c r="C52" s="25">
        <v>8.4</v>
      </c>
      <c r="D52" s="25">
        <v>0.84</v>
      </c>
      <c r="E52" s="25">
        <v>13.82</v>
      </c>
      <c r="F52" s="3" t="str">
        <f t="shared" ca="1" si="21"/>
        <v>ИГЭ-2</v>
      </c>
      <c r="G52" s="30" t="str">
        <f t="shared" ca="1" si="22"/>
        <v>пыл.-глинист.</v>
      </c>
      <c r="I52" s="13">
        <f t="shared" ca="1" si="28"/>
        <v>804</v>
      </c>
      <c r="J52" s="14">
        <f t="shared" ca="1" si="23"/>
        <v>0.9</v>
      </c>
      <c r="L52" s="14">
        <f t="shared" ca="1" si="24"/>
        <v>1</v>
      </c>
      <c r="M52" s="22">
        <f t="shared" ca="1" si="29"/>
        <v>2.9950000000000161</v>
      </c>
      <c r="N52" s="37">
        <f t="shared" ca="1" si="25"/>
        <v>1</v>
      </c>
      <c r="O52" s="37">
        <f t="shared" ca="1" si="26"/>
        <v>0</v>
      </c>
      <c r="Q52" s="22">
        <f t="shared" si="16"/>
        <v>5.4</v>
      </c>
      <c r="R52" s="22">
        <f t="shared" ca="1" si="17"/>
        <v>88.640999999999991</v>
      </c>
      <c r="S52" s="22">
        <f ca="1">IF(Q52="","",IF(Q52=0,0,SUMPRODUCT(OFFSET(M$18,MATCH(MIN(Q$18:Q$137),Q$18:Q$137,0),0,COUNT(M$18:M52)-MATCH(MIN(Q$18:Q$137),Q$18:Q$137,0),1),OFFSET(M$18,MATCH(MIN(Q$18:Q$137),Q$18:Q$137,0),1,COUNT(M$18:M52)-MATCH(MIN(Q$18:Q$137),Q$18:Q$137,0),1))*$T$6))</f>
        <v>82.281458000000015</v>
      </c>
      <c r="T52" s="22">
        <f t="shared" ca="1" si="18"/>
        <v>170.92245800000001</v>
      </c>
      <c r="V52" s="22">
        <f ca="1">IF(Q52="","",IF(Q52=0,0,SUMPRODUCT(OFFSET(M$18,MATCH(MIN(Q$18:Q$137),Q$18:Q$137,0),0,COUNT(M$18:M52)-MATCH(MIN(Q$18:Q$137),Q$18:Q$137,0),1),OFFSET(M$18,MATCH(MIN(Q$18:Q$137),Q$18:Q$137,0),2,COUNT(M$18:M52)-MATCH(MIN(Q$18:Q$137),Q$18:Q$137,0),1))*$T$6*$T$14))</f>
        <v>0</v>
      </c>
      <c r="W52" s="29"/>
      <c r="X52" s="23">
        <f t="shared" ca="1" si="19"/>
        <v>12.119505621814476</v>
      </c>
      <c r="Z52" s="15">
        <f t="shared" si="30"/>
        <v>8.0500000000000007</v>
      </c>
      <c r="AA52" s="15">
        <f t="shared" si="31"/>
        <v>9.8000000000000007</v>
      </c>
      <c r="AC52" s="15">
        <f t="shared" si="32"/>
        <v>33</v>
      </c>
      <c r="AD52" s="15">
        <f t="shared" si="33"/>
        <v>42</v>
      </c>
      <c r="AF52" s="15">
        <f t="shared" ca="1" si="34"/>
        <v>10</v>
      </c>
      <c r="AH52" s="15">
        <f t="shared" si="27"/>
        <v>2</v>
      </c>
      <c r="AI52" s="38">
        <f t="shared" ca="1" si="15"/>
        <v>10.99274886332379</v>
      </c>
      <c r="AJ52" s="29"/>
      <c r="AK52" s="29"/>
      <c r="AL52" s="29"/>
    </row>
    <row r="53" spans="1:38" x14ac:dyDescent="0.2">
      <c r="A53" s="15">
        <v>36</v>
      </c>
      <c r="B53" s="2">
        <f t="shared" si="20"/>
        <v>184.45</v>
      </c>
      <c r="C53" s="25">
        <v>8.6</v>
      </c>
      <c r="D53" s="25">
        <v>0.84</v>
      </c>
      <c r="E53" s="25">
        <v>13.82</v>
      </c>
      <c r="F53" s="3" t="str">
        <f t="shared" ca="1" si="21"/>
        <v>ИГЭ-2</v>
      </c>
      <c r="G53" s="30" t="str">
        <f t="shared" ca="1" si="22"/>
        <v>пыл.-глинист.</v>
      </c>
      <c r="I53" s="13">
        <f t="shared" ca="1" si="28"/>
        <v>807</v>
      </c>
      <c r="J53" s="14">
        <f t="shared" ca="1" si="23"/>
        <v>0.9</v>
      </c>
      <c r="L53" s="14">
        <f t="shared" ca="1" si="24"/>
        <v>1</v>
      </c>
      <c r="M53" s="22">
        <f t="shared" ca="1" si="29"/>
        <v>2.76399999999999</v>
      </c>
      <c r="N53" s="37">
        <f t="shared" ca="1" si="25"/>
        <v>1</v>
      </c>
      <c r="O53" s="37">
        <f t="shared" ca="1" si="26"/>
        <v>0</v>
      </c>
      <c r="Q53" s="22">
        <f t="shared" si="16"/>
        <v>5.6</v>
      </c>
      <c r="R53" s="22">
        <f t="shared" ca="1" si="17"/>
        <v>88.97175</v>
      </c>
      <c r="S53" s="22">
        <f ca="1">IF(Q53="","",IF(Q53=0,0,SUMPRODUCT(OFFSET(M$18,MATCH(MIN(Q$18:Q$137),Q$18:Q$137,0),0,COUNT(M$18:M53)-MATCH(MIN(Q$18:Q$137),Q$18:Q$137,0),1),OFFSET(M$18,MATCH(MIN(Q$18:Q$137),Q$18:Q$137,0),1,COUNT(M$18:M53)-MATCH(MIN(Q$18:Q$137),Q$18:Q$137,0),1))*$T$6))</f>
        <v>86.151057999999992</v>
      </c>
      <c r="T53" s="22">
        <f t="shared" ca="1" si="18"/>
        <v>175.12280799999999</v>
      </c>
      <c r="V53" s="22">
        <f ca="1">IF(Q53="","",IF(Q53=0,0,SUMPRODUCT(OFFSET(M$18,MATCH(MIN(Q$18:Q$137),Q$18:Q$137,0),0,COUNT(M$18:M53)-MATCH(MIN(Q$18:Q$137),Q$18:Q$137,0),1),OFFSET(M$18,MATCH(MIN(Q$18:Q$137),Q$18:Q$137,0),2,COUNT(M$18:M53)-MATCH(MIN(Q$18:Q$137),Q$18:Q$137,0),1))*$T$6*$T$14))</f>
        <v>0</v>
      </c>
      <c r="W53" s="29"/>
      <c r="X53" s="23">
        <f t="shared" ca="1" si="19"/>
        <v>12.394666809378185</v>
      </c>
      <c r="Z53" s="15">
        <f t="shared" si="30"/>
        <v>8.25</v>
      </c>
      <c r="AA53" s="15">
        <f t="shared" si="31"/>
        <v>10</v>
      </c>
      <c r="AC53" s="15">
        <f t="shared" si="32"/>
        <v>33</v>
      </c>
      <c r="AD53" s="15">
        <f t="shared" si="33"/>
        <v>43</v>
      </c>
      <c r="AF53" s="15">
        <f t="shared" ca="1" si="34"/>
        <v>11</v>
      </c>
      <c r="AH53" s="15">
        <f t="shared" si="27"/>
        <v>2</v>
      </c>
      <c r="AI53" s="38">
        <f t="shared" ca="1" si="15"/>
        <v>11.242328171771597</v>
      </c>
      <c r="AJ53" s="29"/>
      <c r="AK53" s="29"/>
      <c r="AL53" s="29"/>
    </row>
    <row r="54" spans="1:38" x14ac:dyDescent="0.2">
      <c r="A54" s="15">
        <v>37</v>
      </c>
      <c r="B54" s="2">
        <f t="shared" si="20"/>
        <v>184.25</v>
      </c>
      <c r="C54" s="25">
        <v>8.8000000000000007</v>
      </c>
      <c r="D54" s="25">
        <v>0.72</v>
      </c>
      <c r="E54" s="25">
        <v>13.82</v>
      </c>
      <c r="F54" s="3" t="str">
        <f t="shared" ca="1" si="21"/>
        <v>ИГЭ-2</v>
      </c>
      <c r="G54" s="30" t="str">
        <f t="shared" ca="1" si="22"/>
        <v>пыл.-глинист.</v>
      </c>
      <c r="I54" s="13">
        <f t="shared" ca="1" si="28"/>
        <v>804</v>
      </c>
      <c r="J54" s="14">
        <f t="shared" ca="1" si="23"/>
        <v>0.9</v>
      </c>
      <c r="L54" s="14">
        <f t="shared" ca="1" si="24"/>
        <v>1</v>
      </c>
      <c r="M54" s="22">
        <f t="shared" ca="1" si="29"/>
        <v>2.7640000000000149</v>
      </c>
      <c r="N54" s="37">
        <f t="shared" ca="1" si="25"/>
        <v>1</v>
      </c>
      <c r="O54" s="37">
        <f t="shared" ca="1" si="26"/>
        <v>0</v>
      </c>
      <c r="Q54" s="22">
        <f t="shared" si="16"/>
        <v>5.8</v>
      </c>
      <c r="R54" s="22">
        <f t="shared" ca="1" si="17"/>
        <v>88.640999999999991</v>
      </c>
      <c r="S54" s="22">
        <f ca="1">IF(Q54="","",IF(Q54=0,0,SUMPRODUCT(OFFSET(M$18,MATCH(MIN(Q$18:Q$137),Q$18:Q$137,0),0,COUNT(M$18:M54)-MATCH(MIN(Q$18:Q$137),Q$18:Q$137,0),1),OFFSET(M$18,MATCH(MIN(Q$18:Q$137),Q$18:Q$137,0),1,COUNT(M$18:M54)-MATCH(MIN(Q$18:Q$137),Q$18:Q$137,0),1))*$T$6))</f>
        <v>90.020658000000026</v>
      </c>
      <c r="T54" s="22">
        <f t="shared" ca="1" si="18"/>
        <v>178.66165800000002</v>
      </c>
      <c r="V54" s="22">
        <f ca="1">IF(Q54="","",IF(Q54=0,0,SUMPRODUCT(OFFSET(M$18,MATCH(MIN(Q$18:Q$137),Q$18:Q$137,0),0,COUNT(M$18:M54)-MATCH(MIN(Q$18:Q$137),Q$18:Q$137,0),1),OFFSET(M$18,MATCH(MIN(Q$18:Q$137),Q$18:Q$137,0),2,COUNT(M$18:M54)-MATCH(MIN(Q$18:Q$137),Q$18:Q$137,0),1))*$T$6*$T$14))</f>
        <v>0</v>
      </c>
      <c r="W54" s="29"/>
      <c r="X54" s="23">
        <f t="shared" ca="1" si="19"/>
        <v>12.615883042813456</v>
      </c>
      <c r="Z54" s="15">
        <f t="shared" si="30"/>
        <v>8.4500000000000011</v>
      </c>
      <c r="AA54" s="15">
        <f t="shared" si="31"/>
        <v>10.200000000000001</v>
      </c>
      <c r="AC54" s="15">
        <f t="shared" si="32"/>
        <v>35</v>
      </c>
      <c r="AD54" s="15">
        <f t="shared" si="33"/>
        <v>44</v>
      </c>
      <c r="AF54" s="15">
        <f t="shared" ca="1" si="34"/>
        <v>10</v>
      </c>
      <c r="AH54" s="15">
        <f t="shared" si="27"/>
        <v>2</v>
      </c>
      <c r="AI54" s="38">
        <f t="shared" ca="1" si="15"/>
        <v>11.442977816610846</v>
      </c>
      <c r="AJ54" s="29"/>
      <c r="AK54" s="29"/>
      <c r="AL54" s="29"/>
    </row>
    <row r="55" spans="1:38" x14ac:dyDescent="0.2">
      <c r="A55" s="15">
        <v>38</v>
      </c>
      <c r="B55" s="2">
        <f t="shared" si="20"/>
        <v>184.05</v>
      </c>
      <c r="C55" s="25">
        <v>9</v>
      </c>
      <c r="D55" s="25">
        <v>0.72</v>
      </c>
      <c r="E55" s="25">
        <v>11.52</v>
      </c>
      <c r="F55" s="3" t="str">
        <f t="shared" ca="1" si="21"/>
        <v>ИГЭ-2</v>
      </c>
      <c r="G55" s="30" t="str">
        <f t="shared" ca="1" si="22"/>
        <v>пыл.-глинист.</v>
      </c>
      <c r="I55" s="13">
        <f t="shared" ca="1" si="28"/>
        <v>807</v>
      </c>
      <c r="J55" s="14">
        <f t="shared" ca="1" si="23"/>
        <v>0.9</v>
      </c>
      <c r="L55" s="14">
        <f t="shared" ca="1" si="24"/>
        <v>1</v>
      </c>
      <c r="M55" s="22">
        <f t="shared" ca="1" si="29"/>
        <v>2.5339999999999909</v>
      </c>
      <c r="N55" s="37">
        <f t="shared" ca="1" si="25"/>
        <v>1</v>
      </c>
      <c r="O55" s="37">
        <f t="shared" ca="1" si="26"/>
        <v>0</v>
      </c>
      <c r="Q55" s="22">
        <f t="shared" si="16"/>
        <v>6</v>
      </c>
      <c r="R55" s="22">
        <f t="shared" ca="1" si="17"/>
        <v>88.97175</v>
      </c>
      <c r="S55" s="22">
        <f ca="1">IF(Q55="","",IF(Q55=0,0,SUMPRODUCT(OFFSET(M$18,MATCH(MIN(Q$18:Q$137),Q$18:Q$137,0),0,COUNT(M$18:M55)-MATCH(MIN(Q$18:Q$137),Q$18:Q$137,0),1),OFFSET(M$18,MATCH(MIN(Q$18:Q$137),Q$18:Q$137,0),1,COUNT(M$18:M55)-MATCH(MIN(Q$18:Q$137),Q$18:Q$137,0),1))*$T$6))</f>
        <v>93.568258000000014</v>
      </c>
      <c r="T55" s="22">
        <f t="shared" ca="1" si="18"/>
        <v>182.540008</v>
      </c>
      <c r="V55" s="22">
        <f ca="1">IF(Q55="","",IF(Q55=0,0,SUMPRODUCT(OFFSET(M$18,MATCH(MIN(Q$18:Q$137),Q$18:Q$137,0),0,COUNT(M$18:M55)-MATCH(MIN(Q$18:Q$137),Q$18:Q$137,0),1),OFFSET(M$18,MATCH(MIN(Q$18:Q$137),Q$18:Q$137,0),2,COUNT(M$18:M55)-MATCH(MIN(Q$18:Q$137),Q$18:Q$137,0),1))*$T$6*$T$14))</f>
        <v>0</v>
      </c>
      <c r="W55" s="29"/>
      <c r="X55" s="23">
        <f t="shared" ca="1" si="19"/>
        <v>12.864785310907237</v>
      </c>
      <c r="Z55" s="15">
        <f t="shared" si="30"/>
        <v>8.65</v>
      </c>
      <c r="AA55" s="15">
        <f t="shared" si="31"/>
        <v>10.4</v>
      </c>
      <c r="AC55" s="15">
        <f t="shared" si="32"/>
        <v>35</v>
      </c>
      <c r="AD55" s="15">
        <f t="shared" si="33"/>
        <v>45</v>
      </c>
      <c r="AF55" s="15">
        <f t="shared" ca="1" si="34"/>
        <v>11</v>
      </c>
      <c r="AH55" s="15">
        <f t="shared" si="27"/>
        <v>2</v>
      </c>
      <c r="AI55" s="38">
        <f t="shared" ca="1" si="15"/>
        <v>11.668739511026974</v>
      </c>
      <c r="AJ55" s="29"/>
      <c r="AK55" s="29"/>
      <c r="AL55" s="29"/>
    </row>
    <row r="56" spans="1:38" x14ac:dyDescent="0.2">
      <c r="A56" s="15">
        <v>39</v>
      </c>
      <c r="B56" s="2">
        <f t="shared" si="20"/>
        <v>183.85</v>
      </c>
      <c r="C56" s="25">
        <v>9.1999999999999993</v>
      </c>
      <c r="D56" s="25">
        <v>0.84</v>
      </c>
      <c r="E56" s="25">
        <v>18.43</v>
      </c>
      <c r="F56" s="3" t="str">
        <f t="shared" ca="1" si="21"/>
        <v>ИГЭ-2</v>
      </c>
      <c r="G56" s="30" t="str">
        <f t="shared" ca="1" si="22"/>
        <v>пыл.-глинист.</v>
      </c>
      <c r="I56" s="13">
        <f t="shared" ca="1" si="28"/>
        <v>807</v>
      </c>
      <c r="J56" s="14">
        <f t="shared" ca="1" si="23"/>
        <v>0.9</v>
      </c>
      <c r="L56" s="14">
        <f t="shared" ca="1" si="24"/>
        <v>1</v>
      </c>
      <c r="M56" s="22">
        <f t="shared" ca="1" si="29"/>
        <v>2.9949999999999894</v>
      </c>
      <c r="N56" s="37">
        <f t="shared" ca="1" si="25"/>
        <v>1</v>
      </c>
      <c r="O56" s="37">
        <f t="shared" ca="1" si="26"/>
        <v>0</v>
      </c>
      <c r="Q56" s="22">
        <f t="shared" si="16"/>
        <v>6.2</v>
      </c>
      <c r="R56" s="22">
        <f t="shared" ca="1" si="17"/>
        <v>88.97175</v>
      </c>
      <c r="S56" s="22">
        <f ca="1">IF(Q56="","",IF(Q56=0,0,SUMPRODUCT(OFFSET(M$18,MATCH(MIN(Q$18:Q$137),Q$18:Q$137,0),0,COUNT(M$18:M56)-MATCH(MIN(Q$18:Q$137),Q$18:Q$137,0),1),OFFSET(M$18,MATCH(MIN(Q$18:Q$137),Q$18:Q$137,0),1,COUNT(M$18:M56)-MATCH(MIN(Q$18:Q$137),Q$18:Q$137,0),1))*$T$6))</f>
        <v>97.761257999999998</v>
      </c>
      <c r="T56" s="22">
        <f t="shared" ca="1" si="18"/>
        <v>186.73300799999998</v>
      </c>
      <c r="V56" s="22">
        <f ca="1">IF(Q56="","",IF(Q56=0,0,SUMPRODUCT(OFFSET(M$18,MATCH(MIN(Q$18:Q$137),Q$18:Q$137,0),0,COUNT(M$18:M56)-MATCH(MIN(Q$18:Q$137),Q$18:Q$137,0),1),OFFSET(M$18,MATCH(MIN(Q$18:Q$137),Q$18:Q$137,0),2,COUNT(M$18:M56)-MATCH(MIN(Q$18:Q$137),Q$18:Q$137,0),1))*$T$6*$T$14))</f>
        <v>0</v>
      </c>
      <c r="W56" s="29"/>
      <c r="X56" s="23">
        <f t="shared" ca="1" si="19"/>
        <v>13.139347110091741</v>
      </c>
      <c r="Z56" s="15">
        <f t="shared" si="30"/>
        <v>8.85</v>
      </c>
      <c r="AA56" s="15">
        <f t="shared" si="31"/>
        <v>10.6</v>
      </c>
      <c r="AC56" s="15">
        <f t="shared" si="32"/>
        <v>36</v>
      </c>
      <c r="AD56" s="15">
        <f t="shared" si="33"/>
        <v>46</v>
      </c>
      <c r="AF56" s="15">
        <f t="shared" ca="1" si="34"/>
        <v>11</v>
      </c>
      <c r="AH56" s="15">
        <f t="shared" si="27"/>
        <v>2</v>
      </c>
      <c r="AI56" s="38">
        <f t="shared" ca="1" si="15"/>
        <v>11.917775156545799</v>
      </c>
      <c r="AJ56" s="29"/>
      <c r="AK56" s="29"/>
      <c r="AL56" s="29"/>
    </row>
    <row r="57" spans="1:38" x14ac:dyDescent="0.2">
      <c r="A57" s="15">
        <v>40</v>
      </c>
      <c r="B57" s="2">
        <f t="shared" si="20"/>
        <v>183.65</v>
      </c>
      <c r="C57" s="25">
        <v>9.4</v>
      </c>
      <c r="D57" s="25">
        <v>0.84</v>
      </c>
      <c r="E57" s="25">
        <v>11.52</v>
      </c>
      <c r="F57" s="3" t="str">
        <f t="shared" ca="1" si="21"/>
        <v>ИГЭ-2</v>
      </c>
      <c r="G57" s="30" t="str">
        <f t="shared" ca="1" si="22"/>
        <v>пыл.-глинист.</v>
      </c>
      <c r="I57" s="13">
        <f t="shared" ca="1" si="28"/>
        <v>828</v>
      </c>
      <c r="J57" s="14">
        <f t="shared" ca="1" si="23"/>
        <v>0.9</v>
      </c>
      <c r="L57" s="14">
        <f t="shared" ca="1" si="24"/>
        <v>1</v>
      </c>
      <c r="M57" s="22">
        <f t="shared" ca="1" si="29"/>
        <v>2.9950000000000161</v>
      </c>
      <c r="N57" s="37">
        <f t="shared" ca="1" si="25"/>
        <v>1</v>
      </c>
      <c r="O57" s="37">
        <f t="shared" ca="1" si="26"/>
        <v>0</v>
      </c>
      <c r="Q57" s="22">
        <f t="shared" si="16"/>
        <v>6.4</v>
      </c>
      <c r="R57" s="22">
        <f t="shared" ca="1" si="17"/>
        <v>91.286999999999992</v>
      </c>
      <c r="S57" s="22">
        <f ca="1">IF(Q57="","",IF(Q57=0,0,SUMPRODUCT(OFFSET(M$18,MATCH(MIN(Q$18:Q$137),Q$18:Q$137,0),0,COUNT(M$18:M57)-MATCH(MIN(Q$18:Q$137),Q$18:Q$137,0),1),OFFSET(M$18,MATCH(MIN(Q$18:Q$137),Q$18:Q$137,0),1,COUNT(M$18:M57)-MATCH(MIN(Q$18:Q$137),Q$18:Q$137,0),1))*$T$6))</f>
        <v>101.95425800000002</v>
      </c>
      <c r="T57" s="22">
        <f t="shared" ca="1" si="18"/>
        <v>193.24125800000002</v>
      </c>
      <c r="V57" s="22">
        <f ca="1">IF(Q57="","",IF(Q57=0,0,SUMPRODUCT(OFFSET(M$18,MATCH(MIN(Q$18:Q$137),Q$18:Q$137,0),0,COUNT(M$18:M57)-MATCH(MIN(Q$18:Q$137),Q$18:Q$137,0),1),OFFSET(M$18,MATCH(MIN(Q$18:Q$137),Q$18:Q$137,0),2,COUNT(M$18:M57)-MATCH(MIN(Q$18:Q$137),Q$18:Q$137,0),1))*$T$6*$T$14))</f>
        <v>0</v>
      </c>
      <c r="W57" s="29"/>
      <c r="X57" s="23">
        <f t="shared" ca="1" si="19"/>
        <v>13.602716248725789</v>
      </c>
      <c r="Z57" s="15">
        <f t="shared" si="30"/>
        <v>9.0500000000000007</v>
      </c>
      <c r="AA57" s="15">
        <f t="shared" si="31"/>
        <v>10.8</v>
      </c>
      <c r="AC57" s="15">
        <f t="shared" si="32"/>
        <v>38</v>
      </c>
      <c r="AD57" s="15">
        <f t="shared" si="33"/>
        <v>47</v>
      </c>
      <c r="AF57" s="15">
        <f t="shared" ca="1" si="34"/>
        <v>10</v>
      </c>
      <c r="AH57" s="15">
        <f t="shared" si="27"/>
        <v>2</v>
      </c>
      <c r="AI57" s="38">
        <f t="shared" ca="1" si="15"/>
        <v>12.338064624694594</v>
      </c>
      <c r="AJ57" s="29"/>
      <c r="AK57" s="29"/>
      <c r="AL57" s="29"/>
    </row>
    <row r="58" spans="1:38" x14ac:dyDescent="0.2">
      <c r="A58" s="15">
        <v>41</v>
      </c>
      <c r="B58" s="2">
        <f t="shared" si="20"/>
        <v>183.45</v>
      </c>
      <c r="C58" s="25">
        <v>9.6</v>
      </c>
      <c r="D58" s="25">
        <v>0.72</v>
      </c>
      <c r="E58" s="25">
        <v>9.2200000000000006</v>
      </c>
      <c r="F58" s="3" t="str">
        <f t="shared" ca="1" si="21"/>
        <v>ИГЭ-2</v>
      </c>
      <c r="G58" s="30" t="str">
        <f t="shared" ca="1" si="22"/>
        <v>пыл.-глинист.</v>
      </c>
      <c r="I58" s="13">
        <f t="shared" ca="1" si="28"/>
        <v>840</v>
      </c>
      <c r="J58" s="14">
        <f t="shared" ca="1" si="23"/>
        <v>0.9</v>
      </c>
      <c r="L58" s="14">
        <f t="shared" ca="1" si="24"/>
        <v>1</v>
      </c>
      <c r="M58" s="22">
        <f t="shared" ca="1" si="29"/>
        <v>2.0739999999999927</v>
      </c>
      <c r="N58" s="37">
        <f t="shared" ca="1" si="25"/>
        <v>1</v>
      </c>
      <c r="O58" s="37">
        <f t="shared" ca="1" si="26"/>
        <v>0</v>
      </c>
      <c r="Q58" s="22">
        <f t="shared" si="16"/>
        <v>6.6</v>
      </c>
      <c r="R58" s="22">
        <f t="shared" ca="1" si="17"/>
        <v>92.609999999999985</v>
      </c>
      <c r="S58" s="22">
        <f ca="1">IF(Q58="","",IF(Q58=0,0,SUMPRODUCT(OFFSET(M$18,MATCH(MIN(Q$18:Q$137),Q$18:Q$137,0),0,COUNT(M$18:M58)-MATCH(MIN(Q$18:Q$137),Q$18:Q$137,0),1),OFFSET(M$18,MATCH(MIN(Q$18:Q$137),Q$18:Q$137,0),1,COUNT(M$18:M58)-MATCH(MIN(Q$18:Q$137),Q$18:Q$137,0),1))*$T$6))</f>
        <v>104.85785800000002</v>
      </c>
      <c r="T58" s="22">
        <f t="shared" ca="1" si="18"/>
        <v>197.46785800000001</v>
      </c>
      <c r="V58" s="22">
        <f ca="1">IF(Q58="","",IF(Q58=0,0,SUMPRODUCT(OFFSET(M$18,MATCH(MIN(Q$18:Q$137),Q$18:Q$137,0),0,COUNT(M$18:M58)-MATCH(MIN(Q$18:Q$137),Q$18:Q$137,0),1),OFFSET(M$18,MATCH(MIN(Q$18:Q$137),Q$18:Q$137,0),2,COUNT(M$18:M58)-MATCH(MIN(Q$18:Q$137),Q$18:Q$137,0),1))*$T$6*$T$14))</f>
        <v>0</v>
      </c>
      <c r="W58" s="29"/>
      <c r="X58" s="23">
        <f t="shared" ca="1" si="19"/>
        <v>13.880018109072374</v>
      </c>
      <c r="Z58" s="15">
        <f t="shared" si="30"/>
        <v>9.25</v>
      </c>
      <c r="AA58" s="15">
        <f t="shared" si="31"/>
        <v>11</v>
      </c>
      <c r="AC58" s="15">
        <f t="shared" si="32"/>
        <v>38</v>
      </c>
      <c r="AD58" s="15">
        <f t="shared" si="33"/>
        <v>48</v>
      </c>
      <c r="AF58" s="15">
        <f t="shared" ca="1" si="34"/>
        <v>11</v>
      </c>
      <c r="AH58" s="15">
        <f t="shared" si="27"/>
        <v>2</v>
      </c>
      <c r="AI58" s="38">
        <f t="shared" ca="1" si="15"/>
        <v>12.589585586460206</v>
      </c>
      <c r="AJ58" s="29"/>
      <c r="AK58" s="29"/>
      <c r="AL58" s="29"/>
    </row>
    <row r="59" spans="1:38" x14ac:dyDescent="0.2">
      <c r="A59" s="15">
        <v>42</v>
      </c>
      <c r="B59" s="2">
        <f t="shared" si="20"/>
        <v>183.25</v>
      </c>
      <c r="C59" s="25">
        <v>9.8000000000000007</v>
      </c>
      <c r="D59" s="25">
        <v>0.84</v>
      </c>
      <c r="E59" s="25">
        <v>6.91</v>
      </c>
      <c r="F59" s="3" t="str">
        <f t="shared" ca="1" si="21"/>
        <v>ИГЭ-2</v>
      </c>
      <c r="G59" s="30" t="str">
        <f t="shared" ca="1" si="22"/>
        <v>пыл.-глинист.</v>
      </c>
      <c r="I59" s="13">
        <f t="shared" ca="1" si="28"/>
        <v>864</v>
      </c>
      <c r="J59" s="14">
        <f t="shared" ca="1" si="23"/>
        <v>0.9</v>
      </c>
      <c r="L59" s="14">
        <f t="shared" ca="1" si="24"/>
        <v>1</v>
      </c>
      <c r="M59" s="22">
        <f t="shared" ca="1" si="29"/>
        <v>1.6130000000000089</v>
      </c>
      <c r="N59" s="37">
        <f t="shared" ca="1" si="25"/>
        <v>1</v>
      </c>
      <c r="O59" s="37">
        <f t="shared" ca="1" si="26"/>
        <v>0</v>
      </c>
      <c r="Q59" s="22">
        <f t="shared" si="16"/>
        <v>6.8</v>
      </c>
      <c r="R59" s="22">
        <f t="shared" ca="1" si="17"/>
        <v>95.255999999999986</v>
      </c>
      <c r="S59" s="22">
        <f ca="1">IF(Q59="","",IF(Q59=0,0,SUMPRODUCT(OFFSET(M$18,MATCH(MIN(Q$18:Q$137),Q$18:Q$137,0),0,COUNT(M$18:M59)-MATCH(MIN(Q$18:Q$137),Q$18:Q$137,0),1),OFFSET(M$18,MATCH(MIN(Q$18:Q$137),Q$18:Q$137,0),1,COUNT(M$18:M59)-MATCH(MIN(Q$18:Q$137),Q$18:Q$137,0),1))*$T$6))</f>
        <v>107.11605800000004</v>
      </c>
      <c r="T59" s="22">
        <f t="shared" ca="1" si="18"/>
        <v>202.37205800000004</v>
      </c>
      <c r="V59" s="22">
        <f ca="1">IF(Q59="","",IF(Q59=0,0,SUMPRODUCT(OFFSET(M$18,MATCH(MIN(Q$18:Q$137),Q$18:Q$137,0),0,COUNT(M$18:M59)-MATCH(MIN(Q$18:Q$137),Q$18:Q$137,0),1),OFFSET(M$18,MATCH(MIN(Q$18:Q$137),Q$18:Q$137,0),2,COUNT(M$18:M59)-MATCH(MIN(Q$18:Q$137),Q$18:Q$137,0),1))*$T$6*$T$14))</f>
        <v>0</v>
      </c>
      <c r="W59" s="29"/>
      <c r="X59" s="23">
        <f t="shared" ca="1" si="19"/>
        <v>14.212577869520903</v>
      </c>
      <c r="Z59" s="15">
        <f t="shared" si="30"/>
        <v>9.4500000000000011</v>
      </c>
      <c r="AA59" s="15">
        <f t="shared" si="31"/>
        <v>11.200000000000001</v>
      </c>
      <c r="AC59" s="15">
        <f t="shared" si="32"/>
        <v>40</v>
      </c>
      <c r="AD59" s="15">
        <f t="shared" si="33"/>
        <v>49</v>
      </c>
      <c r="AF59" s="15">
        <f t="shared" ca="1" si="34"/>
        <v>10</v>
      </c>
      <c r="AH59" s="15">
        <f t="shared" si="27"/>
        <v>2</v>
      </c>
      <c r="AI59" s="38">
        <f t="shared" ca="1" si="15"/>
        <v>12.891227092535967</v>
      </c>
      <c r="AJ59" s="29"/>
      <c r="AK59" s="29"/>
      <c r="AL59" s="29"/>
    </row>
    <row r="60" spans="1:38" x14ac:dyDescent="0.2">
      <c r="A60" s="15">
        <v>43</v>
      </c>
      <c r="B60" s="2">
        <f t="shared" si="20"/>
        <v>183.05</v>
      </c>
      <c r="C60" s="25">
        <v>10</v>
      </c>
      <c r="D60" s="25">
        <v>0.84</v>
      </c>
      <c r="E60" s="25">
        <v>6.91</v>
      </c>
      <c r="F60" s="3" t="str">
        <f t="shared" ca="1" si="21"/>
        <v>ИГЭ-2</v>
      </c>
      <c r="G60" s="30" t="str">
        <f t="shared" ca="1" si="22"/>
        <v>пыл.-глинист.</v>
      </c>
      <c r="I60" s="13">
        <f t="shared" ca="1" si="28"/>
        <v>873</v>
      </c>
      <c r="J60" s="14">
        <f t="shared" ca="1" si="23"/>
        <v>0.9</v>
      </c>
      <c r="L60" s="14">
        <f t="shared" ca="1" si="24"/>
        <v>1</v>
      </c>
      <c r="M60" s="22">
        <f t="shared" ca="1" si="29"/>
        <v>1.381999999999995</v>
      </c>
      <c r="N60" s="37">
        <f t="shared" ca="1" si="25"/>
        <v>1</v>
      </c>
      <c r="O60" s="37">
        <f t="shared" ca="1" si="26"/>
        <v>0</v>
      </c>
      <c r="Q60" s="22">
        <f t="shared" si="16"/>
        <v>7</v>
      </c>
      <c r="R60" s="22">
        <f t="shared" ca="1" si="17"/>
        <v>96.248249999999999</v>
      </c>
      <c r="S60" s="22">
        <f ca="1">IF(Q60="","",IF(Q60=0,0,SUMPRODUCT(OFFSET(M$18,MATCH(MIN(Q$18:Q$137),Q$18:Q$137,0),0,COUNT(M$18:M60)-MATCH(MIN(Q$18:Q$137),Q$18:Q$137,0),1),OFFSET(M$18,MATCH(MIN(Q$18:Q$137),Q$18:Q$137,0),1,COUNT(M$18:M60)-MATCH(MIN(Q$18:Q$137),Q$18:Q$137,0),1))*$T$6))</f>
        <v>109.05085800000002</v>
      </c>
      <c r="T60" s="22">
        <f t="shared" ca="1" si="18"/>
        <v>205.29910800000002</v>
      </c>
      <c r="V60" s="22">
        <f ca="1">IF(Q60="","",IF(Q60=0,0,SUMPRODUCT(OFFSET(M$18,MATCH(MIN(Q$18:Q$137),Q$18:Q$137,0),0,COUNT(M$18:M60)-MATCH(MIN(Q$18:Q$137),Q$18:Q$137,0),1),OFFSET(M$18,MATCH(MIN(Q$18:Q$137),Q$18:Q$137,0),2,COUNT(M$18:M60)-MATCH(MIN(Q$18:Q$137),Q$18:Q$137,0),1))*$T$6*$T$14))</f>
        <v>0</v>
      </c>
      <c r="W60" s="29"/>
      <c r="X60" s="23">
        <f t="shared" ca="1" si="19"/>
        <v>14.383902155963304</v>
      </c>
      <c r="Z60" s="15">
        <f t="shared" si="30"/>
        <v>9.65</v>
      </c>
      <c r="AA60" s="15">
        <f t="shared" si="31"/>
        <v>11.4</v>
      </c>
      <c r="AC60" s="15">
        <f t="shared" si="32"/>
        <v>40</v>
      </c>
      <c r="AD60" s="15">
        <f t="shared" si="33"/>
        <v>50</v>
      </c>
      <c r="AF60" s="15">
        <f t="shared" ca="1" si="34"/>
        <v>11</v>
      </c>
      <c r="AH60" s="15">
        <f t="shared" si="27"/>
        <v>2</v>
      </c>
      <c r="AI60" s="38">
        <f t="shared" ca="1" si="15"/>
        <v>13.046623270715015</v>
      </c>
      <c r="AJ60" s="29"/>
      <c r="AK60" s="29"/>
      <c r="AL60" s="29"/>
    </row>
    <row r="61" spans="1:38" x14ac:dyDescent="0.2">
      <c r="A61" s="15">
        <v>44</v>
      </c>
      <c r="B61" s="2">
        <f t="shared" si="20"/>
        <v>182.85</v>
      </c>
      <c r="C61" s="25">
        <v>10.199999999999999</v>
      </c>
      <c r="D61" s="25">
        <v>0.84</v>
      </c>
      <c r="E61" s="25">
        <v>11.52</v>
      </c>
      <c r="F61" s="3" t="str">
        <f t="shared" ca="1" si="21"/>
        <v>ИГЭ-2</v>
      </c>
      <c r="G61" s="30" t="str">
        <f t="shared" ca="1" si="22"/>
        <v>пыл.-глинист.</v>
      </c>
      <c r="I61" s="13">
        <f t="shared" ca="1" si="28"/>
        <v>884</v>
      </c>
      <c r="J61" s="14">
        <f t="shared" ca="1" si="23"/>
        <v>0.9</v>
      </c>
      <c r="L61" s="14">
        <f t="shared" ca="1" si="24"/>
        <v>1</v>
      </c>
      <c r="M61" s="22">
        <f t="shared" ca="1" si="29"/>
        <v>1.8429999999999935</v>
      </c>
      <c r="N61" s="37">
        <f t="shared" ca="1" si="25"/>
        <v>1</v>
      </c>
      <c r="O61" s="37">
        <f t="shared" ca="1" si="26"/>
        <v>0</v>
      </c>
      <c r="Q61" s="22">
        <f t="shared" si="16"/>
        <v>7.2</v>
      </c>
      <c r="R61" s="22">
        <f t="shared" ca="1" si="17"/>
        <v>97.460999999999984</v>
      </c>
      <c r="S61" s="22">
        <f ca="1">IF(Q61="","",IF(Q61=0,0,SUMPRODUCT(OFFSET(M$18,MATCH(MIN(Q$18:Q$137),Q$18:Q$137,0),0,COUNT(M$18:M61)-MATCH(MIN(Q$18:Q$137),Q$18:Q$137,0),1),OFFSET(M$18,MATCH(MIN(Q$18:Q$137),Q$18:Q$137,0),1,COUNT(M$18:M61)-MATCH(MIN(Q$18:Q$137),Q$18:Q$137,0),1))*$T$6))</f>
        <v>111.63105800000001</v>
      </c>
      <c r="T61" s="22">
        <f t="shared" ca="1" si="18"/>
        <v>209.09205800000001</v>
      </c>
      <c r="V61" s="22">
        <f ca="1">IF(Q61="","",IF(Q61=0,0,SUMPRODUCT(OFFSET(M$18,MATCH(MIN(Q$18:Q$137),Q$18:Q$137,0),0,COUNT(M$18:M61)-MATCH(MIN(Q$18:Q$137),Q$18:Q$137,0),1),OFFSET(M$18,MATCH(MIN(Q$18:Q$137),Q$18:Q$137,0),2,COUNT(M$18:M61)-MATCH(MIN(Q$18:Q$137),Q$18:Q$137,0),1))*$T$6*$T$14))</f>
        <v>0</v>
      </c>
      <c r="W61" s="29"/>
      <c r="X61" s="23">
        <f t="shared" ca="1" si="19"/>
        <v>14.625840101936802</v>
      </c>
      <c r="Z61" s="15">
        <f t="shared" si="30"/>
        <v>9.85</v>
      </c>
      <c r="AA61" s="15">
        <f t="shared" si="31"/>
        <v>11.6</v>
      </c>
      <c r="AC61" s="15">
        <f t="shared" si="32"/>
        <v>41</v>
      </c>
      <c r="AD61" s="15">
        <f t="shared" si="33"/>
        <v>51</v>
      </c>
      <c r="AF61" s="15">
        <f t="shared" ca="1" si="34"/>
        <v>11</v>
      </c>
      <c r="AH61" s="15">
        <f t="shared" si="27"/>
        <v>2</v>
      </c>
      <c r="AI61" s="38">
        <f t="shared" ca="1" si="15"/>
        <v>13.266068119670571</v>
      </c>
      <c r="AJ61" s="29"/>
      <c r="AK61" s="29"/>
      <c r="AL61" s="29"/>
    </row>
    <row r="62" spans="1:38" x14ac:dyDescent="0.2">
      <c r="A62" s="15">
        <v>45</v>
      </c>
      <c r="B62" s="2">
        <f t="shared" si="20"/>
        <v>182.65</v>
      </c>
      <c r="C62" s="25">
        <v>10.4</v>
      </c>
      <c r="D62" s="25">
        <v>0.84</v>
      </c>
      <c r="E62" s="25">
        <v>11.52</v>
      </c>
      <c r="F62" s="3" t="str">
        <f t="shared" ca="1" si="21"/>
        <v>ИГЭ-2</v>
      </c>
      <c r="G62" s="30" t="str">
        <f t="shared" ca="1" si="22"/>
        <v>пыл.-глинист.</v>
      </c>
      <c r="I62" s="13">
        <f t="shared" ca="1" si="28"/>
        <v>900</v>
      </c>
      <c r="J62" s="14">
        <f t="shared" ca="1" si="23"/>
        <v>0.9</v>
      </c>
      <c r="L62" s="14">
        <f t="shared" ca="1" si="24"/>
        <v>1</v>
      </c>
      <c r="M62" s="22">
        <f t="shared" ca="1" si="29"/>
        <v>2.3040000000000123</v>
      </c>
      <c r="N62" s="37">
        <f t="shared" ca="1" si="25"/>
        <v>1</v>
      </c>
      <c r="O62" s="37">
        <f t="shared" ca="1" si="26"/>
        <v>0</v>
      </c>
      <c r="Q62" s="22">
        <f t="shared" si="16"/>
        <v>7.4</v>
      </c>
      <c r="R62" s="22">
        <f t="shared" ca="1" si="17"/>
        <v>99.22499999999998</v>
      </c>
      <c r="S62" s="22">
        <f ca="1">IF(Q62="","",IF(Q62=0,0,SUMPRODUCT(OFFSET(M$18,MATCH(MIN(Q$18:Q$137),Q$18:Q$137,0),0,COUNT(M$18:M62)-MATCH(MIN(Q$18:Q$137),Q$18:Q$137,0),1),OFFSET(M$18,MATCH(MIN(Q$18:Q$137),Q$18:Q$137,0),1,COUNT(M$18:M62)-MATCH(MIN(Q$18:Q$137),Q$18:Q$137,0),1))*$T$6))</f>
        <v>114.85665800000002</v>
      </c>
      <c r="T62" s="22">
        <f t="shared" ca="1" si="18"/>
        <v>214.081658</v>
      </c>
      <c r="V62" s="22">
        <f ca="1">IF(Q62="","",IF(Q62=0,0,SUMPRODUCT(OFFSET(M$18,MATCH(MIN(Q$18:Q$137),Q$18:Q$137,0),0,COUNT(M$18:M62)-MATCH(MIN(Q$18:Q$137),Q$18:Q$137,0),1),OFFSET(M$18,MATCH(MIN(Q$18:Q$137),Q$18:Q$137,0),2,COUNT(M$18:M62)-MATCH(MIN(Q$18:Q$137),Q$18:Q$137,0),1))*$T$6*$T$14))</f>
        <v>0</v>
      </c>
      <c r="W62" s="29"/>
      <c r="X62" s="23">
        <f t="shared" ca="1" si="19"/>
        <v>14.965364184505605</v>
      </c>
      <c r="Z62" s="15">
        <f t="shared" si="30"/>
        <v>10.050000000000001</v>
      </c>
      <c r="AA62" s="15">
        <f t="shared" si="31"/>
        <v>11.8</v>
      </c>
      <c r="AC62" s="15">
        <f t="shared" si="32"/>
        <v>43</v>
      </c>
      <c r="AD62" s="15">
        <f t="shared" si="33"/>
        <v>52</v>
      </c>
      <c r="AF62" s="15">
        <f t="shared" ca="1" si="34"/>
        <v>10</v>
      </c>
      <c r="AH62" s="15">
        <f t="shared" si="27"/>
        <v>2</v>
      </c>
      <c r="AI62" s="38">
        <f t="shared" ca="1" si="15"/>
        <v>13.574026471206899</v>
      </c>
      <c r="AJ62" s="29"/>
      <c r="AK62" s="29"/>
      <c r="AL62" s="29"/>
    </row>
    <row r="63" spans="1:38" x14ac:dyDescent="0.2">
      <c r="A63" s="15">
        <v>46</v>
      </c>
      <c r="B63" s="2">
        <f t="shared" si="20"/>
        <v>182.45</v>
      </c>
      <c r="C63" s="25">
        <v>10.6</v>
      </c>
      <c r="D63" s="25">
        <v>0.84</v>
      </c>
      <c r="E63" s="25">
        <v>9.2200000000000006</v>
      </c>
      <c r="F63" s="3" t="str">
        <f t="shared" ca="1" si="21"/>
        <v>ИГЭ-2</v>
      </c>
      <c r="G63" s="30" t="str">
        <f t="shared" ca="1" si="22"/>
        <v>пыл.-глинист.</v>
      </c>
      <c r="I63" s="13">
        <f t="shared" ca="1" si="28"/>
        <v>884</v>
      </c>
      <c r="J63" s="14">
        <f t="shared" ca="1" si="23"/>
        <v>0.9</v>
      </c>
      <c r="L63" s="14">
        <f t="shared" ca="1" si="24"/>
        <v>1</v>
      </c>
      <c r="M63" s="22">
        <f t="shared" ca="1" si="29"/>
        <v>2.0739999999999927</v>
      </c>
      <c r="N63" s="37">
        <f t="shared" ca="1" si="25"/>
        <v>1</v>
      </c>
      <c r="O63" s="37">
        <f t="shared" ca="1" si="26"/>
        <v>0</v>
      </c>
      <c r="Q63" s="22">
        <f t="shared" si="16"/>
        <v>7.6</v>
      </c>
      <c r="R63" s="22">
        <f t="shared" ca="1" si="17"/>
        <v>97.460999999999984</v>
      </c>
      <c r="S63" s="22">
        <f ca="1">IF(Q63="","",IF(Q63=0,0,SUMPRODUCT(OFFSET(M$18,MATCH(MIN(Q$18:Q$137),Q$18:Q$137,0),0,COUNT(M$18:M63)-MATCH(MIN(Q$18:Q$137),Q$18:Q$137,0),1),OFFSET(M$18,MATCH(MIN(Q$18:Q$137),Q$18:Q$137,0),1,COUNT(M$18:M63)-MATCH(MIN(Q$18:Q$137),Q$18:Q$137,0),1))*$T$6))</f>
        <v>117.76025800000002</v>
      </c>
      <c r="T63" s="22">
        <f t="shared" ca="1" si="18"/>
        <v>215.22125800000001</v>
      </c>
      <c r="V63" s="22">
        <f ca="1">IF(Q63="","",IF(Q63=0,0,SUMPRODUCT(OFFSET(M$18,MATCH(MIN(Q$18:Q$137),Q$18:Q$137,0),0,COUNT(M$18:M63)-MATCH(MIN(Q$18:Q$137),Q$18:Q$137,0),1),OFFSET(M$18,MATCH(MIN(Q$18:Q$137),Q$18:Q$137,0),2,COUNT(M$18:M63)-MATCH(MIN(Q$18:Q$137),Q$18:Q$137,0),1))*$T$6*$T$14))</f>
        <v>0</v>
      </c>
      <c r="W63" s="29"/>
      <c r="X63" s="23">
        <f t="shared" ca="1" si="19"/>
        <v>14.990922925586137</v>
      </c>
      <c r="Z63" s="15">
        <f t="shared" si="30"/>
        <v>10.25</v>
      </c>
      <c r="AA63" s="15">
        <f t="shared" si="31"/>
        <v>12</v>
      </c>
      <c r="AC63" s="15">
        <f t="shared" si="32"/>
        <v>43</v>
      </c>
      <c r="AD63" s="15">
        <f t="shared" si="33"/>
        <v>53</v>
      </c>
      <c r="AF63" s="15">
        <f t="shared" ca="1" si="34"/>
        <v>11</v>
      </c>
      <c r="AH63" s="15">
        <f t="shared" si="27"/>
        <v>2</v>
      </c>
      <c r="AI63" s="38">
        <f t="shared" ca="1" si="15"/>
        <v>13.597209002799218</v>
      </c>
      <c r="AJ63" s="29"/>
      <c r="AK63" s="29"/>
      <c r="AL63" s="29"/>
    </row>
    <row r="64" spans="1:38" x14ac:dyDescent="0.2">
      <c r="A64" s="15">
        <v>47</v>
      </c>
      <c r="B64" s="2">
        <f t="shared" si="20"/>
        <v>182.25</v>
      </c>
      <c r="C64" s="25">
        <v>10.8</v>
      </c>
      <c r="D64" s="25">
        <v>0.96</v>
      </c>
      <c r="E64" s="25">
        <v>9.2200000000000006</v>
      </c>
      <c r="F64" s="3" t="str">
        <f t="shared" ca="1" si="21"/>
        <v>ИГЭ-2</v>
      </c>
      <c r="G64" s="30" t="str">
        <f t="shared" ca="1" si="22"/>
        <v>пыл.-глинист.</v>
      </c>
      <c r="I64" s="13">
        <f t="shared" ca="1" si="28"/>
        <v>888</v>
      </c>
      <c r="J64" s="14">
        <f t="shared" ca="1" si="23"/>
        <v>0.9</v>
      </c>
      <c r="L64" s="14">
        <f t="shared" ca="1" si="24"/>
        <v>1</v>
      </c>
      <c r="M64" s="22">
        <f t="shared" ca="1" si="29"/>
        <v>1.8440000000000099</v>
      </c>
      <c r="N64" s="37">
        <f t="shared" ca="1" si="25"/>
        <v>1</v>
      </c>
      <c r="O64" s="37">
        <f t="shared" ca="1" si="26"/>
        <v>0</v>
      </c>
      <c r="Q64" s="22">
        <f t="shared" si="16"/>
        <v>7.8</v>
      </c>
      <c r="R64" s="22">
        <f t="shared" ca="1" si="17"/>
        <v>97.901999999999987</v>
      </c>
      <c r="S64" s="22">
        <f ca="1">IF(Q64="","",IF(Q64=0,0,SUMPRODUCT(OFFSET(M$18,MATCH(MIN(Q$18:Q$137),Q$18:Q$137,0),0,COUNT(M$18:M64)-MATCH(MIN(Q$18:Q$137),Q$18:Q$137,0),1),OFFSET(M$18,MATCH(MIN(Q$18:Q$137),Q$18:Q$137,0),1,COUNT(M$18:M64)-MATCH(MIN(Q$18:Q$137),Q$18:Q$137,0),1))*$T$6))</f>
        <v>120.34185800000004</v>
      </c>
      <c r="T64" s="22">
        <f t="shared" ca="1" si="18"/>
        <v>218.24385800000005</v>
      </c>
      <c r="V64" s="22">
        <f ca="1">IF(Q64="","",IF(Q64=0,0,SUMPRODUCT(OFFSET(M$18,MATCH(MIN(Q$18:Q$137),Q$18:Q$137,0),0,COUNT(M$18:M64)-MATCH(MIN(Q$18:Q$137),Q$18:Q$137,0),1),OFFSET(M$18,MATCH(MIN(Q$18:Q$137),Q$18:Q$137,0),2,COUNT(M$18:M64)-MATCH(MIN(Q$18:Q$137),Q$18:Q$137,0),1))*$T$6*$T$14))</f>
        <v>0</v>
      </c>
      <c r="W64" s="29"/>
      <c r="X64" s="23">
        <f t="shared" ca="1" si="19"/>
        <v>15.170039260958211</v>
      </c>
      <c r="Z64" s="15">
        <f t="shared" si="30"/>
        <v>10.450000000000001</v>
      </c>
      <c r="AA64" s="15">
        <f t="shared" si="31"/>
        <v>12.200000000000001</v>
      </c>
      <c r="AC64" s="15">
        <f t="shared" si="32"/>
        <v>45</v>
      </c>
      <c r="AD64" s="15">
        <f t="shared" si="33"/>
        <v>54</v>
      </c>
      <c r="AF64" s="15">
        <f t="shared" ca="1" si="34"/>
        <v>10</v>
      </c>
      <c r="AH64" s="15">
        <f t="shared" si="27"/>
        <v>2</v>
      </c>
      <c r="AI64" s="38">
        <f t="shared" ca="1" si="15"/>
        <v>13.759672799055068</v>
      </c>
      <c r="AJ64" s="29"/>
      <c r="AK64" s="29"/>
      <c r="AL64" s="29"/>
    </row>
    <row r="65" spans="1:38" x14ac:dyDescent="0.2">
      <c r="A65" s="15">
        <v>48</v>
      </c>
      <c r="B65" s="2">
        <f t="shared" si="20"/>
        <v>182.05</v>
      </c>
      <c r="C65" s="25">
        <v>11</v>
      </c>
      <c r="D65" s="25">
        <v>0.96</v>
      </c>
      <c r="E65" s="25">
        <v>11.52</v>
      </c>
      <c r="F65" s="3" t="str">
        <f t="shared" ca="1" si="21"/>
        <v>ИГЭ-2</v>
      </c>
      <c r="G65" s="30" t="str">
        <f t="shared" ca="1" si="22"/>
        <v>пыл.-глинист.</v>
      </c>
      <c r="I65" s="13">
        <f t="shared" ca="1" si="28"/>
        <v>905</v>
      </c>
      <c r="J65" s="14">
        <f t="shared" ca="1" si="23"/>
        <v>0.9</v>
      </c>
      <c r="L65" s="14">
        <f t="shared" ca="1" si="24"/>
        <v>1</v>
      </c>
      <c r="M65" s="22">
        <f t="shared" ca="1" si="29"/>
        <v>2.0739999999999927</v>
      </c>
      <c r="N65" s="37">
        <f t="shared" ca="1" si="25"/>
        <v>1</v>
      </c>
      <c r="O65" s="37">
        <f t="shared" ca="1" si="26"/>
        <v>0</v>
      </c>
      <c r="Q65" s="22">
        <f t="shared" si="16"/>
        <v>8</v>
      </c>
      <c r="R65" s="22">
        <f t="shared" ca="1" si="17"/>
        <v>99.77624999999999</v>
      </c>
      <c r="S65" s="22">
        <f ca="1">IF(Q65="","",IF(Q65=0,0,SUMPRODUCT(OFFSET(M$18,MATCH(MIN(Q$18:Q$137),Q$18:Q$137,0),0,COUNT(M$18:M65)-MATCH(MIN(Q$18:Q$137),Q$18:Q$137,0),1),OFFSET(M$18,MATCH(MIN(Q$18:Q$137),Q$18:Q$137,0),1,COUNT(M$18:M65)-MATCH(MIN(Q$18:Q$137),Q$18:Q$137,0),1))*$T$6))</f>
        <v>123.24545800000004</v>
      </c>
      <c r="T65" s="22">
        <f t="shared" ca="1" si="18"/>
        <v>223.02170800000005</v>
      </c>
      <c r="V65" s="22">
        <f ca="1">IF(Q65="","",IF(Q65=0,0,SUMPRODUCT(OFFSET(M$18,MATCH(MIN(Q$18:Q$137),Q$18:Q$137,0),0,COUNT(M$18:M65)-MATCH(MIN(Q$18:Q$137),Q$18:Q$137,0),1),OFFSET(M$18,MATCH(MIN(Q$18:Q$137),Q$18:Q$137,0),2,COUNT(M$18:M65)-MATCH(MIN(Q$18:Q$137),Q$18:Q$137,0),1))*$T$6*$T$14))</f>
        <v>0</v>
      </c>
      <c r="W65" s="29"/>
      <c r="X65" s="23">
        <f t="shared" ca="1" si="19"/>
        <v>15.492295249745162</v>
      </c>
      <c r="Z65" s="15">
        <f t="shared" si="30"/>
        <v>10.65</v>
      </c>
      <c r="AA65" s="15">
        <f t="shared" si="31"/>
        <v>12.4</v>
      </c>
      <c r="AC65" s="15">
        <f t="shared" si="32"/>
        <v>45</v>
      </c>
      <c r="AD65" s="15">
        <f t="shared" si="33"/>
        <v>55</v>
      </c>
      <c r="AF65" s="15">
        <f t="shared" ca="1" si="34"/>
        <v>11</v>
      </c>
      <c r="AH65" s="15">
        <f t="shared" si="27"/>
        <v>2</v>
      </c>
      <c r="AI65" s="38">
        <f t="shared" ca="1" si="15"/>
        <v>14.05196848049448</v>
      </c>
      <c r="AJ65" s="29"/>
      <c r="AK65" s="29"/>
      <c r="AL65" s="29"/>
    </row>
    <row r="66" spans="1:38" x14ac:dyDescent="0.2">
      <c r="A66" s="15">
        <v>49</v>
      </c>
      <c r="B66" s="2">
        <f t="shared" si="20"/>
        <v>181.85</v>
      </c>
      <c r="C66" s="25">
        <v>11.2</v>
      </c>
      <c r="D66" s="25">
        <v>0.96</v>
      </c>
      <c r="E66" s="25">
        <v>23.04</v>
      </c>
      <c r="F66" s="3" t="str">
        <f t="shared" ca="1" si="21"/>
        <v>ИГЭ-2</v>
      </c>
      <c r="G66" s="30" t="str">
        <f t="shared" ca="1" si="22"/>
        <v>пыл.-глинист.</v>
      </c>
      <c r="I66" s="13">
        <f t="shared" ca="1" si="28"/>
        <v>938</v>
      </c>
      <c r="J66" s="14">
        <f t="shared" ca="1" si="23"/>
        <v>0.9</v>
      </c>
      <c r="L66" s="14">
        <f t="shared" ca="1" si="24"/>
        <v>0.96199999999999997</v>
      </c>
      <c r="M66" s="22">
        <f t="shared" ca="1" si="29"/>
        <v>3.3684479999999875</v>
      </c>
      <c r="N66" s="37">
        <f t="shared" ca="1" si="25"/>
        <v>1</v>
      </c>
      <c r="O66" s="37">
        <f t="shared" ca="1" si="26"/>
        <v>0</v>
      </c>
      <c r="Q66" s="22">
        <f t="shared" si="16"/>
        <v>8.1999999999999993</v>
      </c>
      <c r="R66" s="22">
        <f t="shared" ca="1" si="17"/>
        <v>103.41449999999999</v>
      </c>
      <c r="S66" s="22">
        <f ca="1">IF(Q66="","",IF(Q66=0,0,SUMPRODUCT(OFFSET(M$18,MATCH(MIN(Q$18:Q$137),Q$18:Q$137,0),0,COUNT(M$18:M66)-MATCH(MIN(Q$18:Q$137),Q$18:Q$137,0),1),OFFSET(M$18,MATCH(MIN(Q$18:Q$137),Q$18:Q$137,0),1,COUNT(M$18:M66)-MATCH(MIN(Q$18:Q$137),Q$18:Q$137,0),1))*$T$6))</f>
        <v>127.96128520000002</v>
      </c>
      <c r="T66" s="22">
        <f t="shared" ca="1" si="18"/>
        <v>231.3757852</v>
      </c>
      <c r="V66" s="22">
        <f ca="1">IF(Q66="","",IF(Q66=0,0,SUMPRODUCT(OFFSET(M$18,MATCH(MIN(Q$18:Q$137),Q$18:Q$137,0),0,COUNT(M$18:M66)-MATCH(MIN(Q$18:Q$137),Q$18:Q$137,0),1),OFFSET(M$18,MATCH(MIN(Q$18:Q$137),Q$18:Q$137,0),2,COUNT(M$18:M66)-MATCH(MIN(Q$18:Q$137),Q$18:Q$137,0),1))*$T$6*$T$14))</f>
        <v>0</v>
      </c>
      <c r="W66" s="29"/>
      <c r="X66" s="23">
        <f t="shared" ca="1" si="19"/>
        <v>16.106190561671763</v>
      </c>
      <c r="Z66" s="15">
        <f t="shared" si="30"/>
        <v>10.85</v>
      </c>
      <c r="AA66" s="15">
        <f t="shared" si="31"/>
        <v>12.6</v>
      </c>
      <c r="AC66" s="15">
        <f t="shared" si="32"/>
        <v>46</v>
      </c>
      <c r="AD66" s="15">
        <f t="shared" si="33"/>
        <v>56</v>
      </c>
      <c r="AF66" s="15">
        <f t="shared" ca="1" si="34"/>
        <v>11</v>
      </c>
      <c r="AH66" s="15">
        <f t="shared" si="27"/>
        <v>2</v>
      </c>
      <c r="AI66" s="38">
        <f t="shared" ca="1" si="15"/>
        <v>14.608789625099108</v>
      </c>
      <c r="AJ66" s="29"/>
      <c r="AK66" s="29"/>
      <c r="AL66" s="29"/>
    </row>
    <row r="67" spans="1:38" x14ac:dyDescent="0.2">
      <c r="A67" s="15">
        <v>50</v>
      </c>
      <c r="B67" s="2">
        <f t="shared" si="20"/>
        <v>181.65</v>
      </c>
      <c r="C67" s="25">
        <v>11.4</v>
      </c>
      <c r="D67" s="25">
        <v>0.96</v>
      </c>
      <c r="E67" s="25">
        <v>9.2200000000000006</v>
      </c>
      <c r="F67" s="3" t="str">
        <f t="shared" ca="1" si="21"/>
        <v>ИГЭ-2</v>
      </c>
      <c r="G67" s="30" t="str">
        <f t="shared" ca="1" si="22"/>
        <v>пыл.-глинист.</v>
      </c>
      <c r="I67" s="13">
        <f t="shared" ca="1" si="28"/>
        <v>972</v>
      </c>
      <c r="J67" s="14">
        <f t="shared" ca="1" si="23"/>
        <v>0.9</v>
      </c>
      <c r="L67" s="14">
        <f t="shared" ca="1" si="24"/>
        <v>1</v>
      </c>
      <c r="M67" s="22">
        <f t="shared" ca="1" si="29"/>
        <v>3.1384480000000163</v>
      </c>
      <c r="N67" s="37">
        <f t="shared" ca="1" si="25"/>
        <v>1</v>
      </c>
      <c r="O67" s="37">
        <f t="shared" ca="1" si="26"/>
        <v>0</v>
      </c>
      <c r="Q67" s="22">
        <f t="shared" si="16"/>
        <v>8.4</v>
      </c>
      <c r="R67" s="22">
        <f t="shared" ca="1" si="17"/>
        <v>107.163</v>
      </c>
      <c r="S67" s="22">
        <f ca="1">IF(Q67="","",IF(Q67=0,0,SUMPRODUCT(OFFSET(M$18,MATCH(MIN(Q$18:Q$137),Q$18:Q$137,0),0,COUNT(M$18:M67)-MATCH(MIN(Q$18:Q$137),Q$18:Q$137,0),1),OFFSET(M$18,MATCH(MIN(Q$18:Q$137),Q$18:Q$137,0),1,COUNT(M$18:M67)-MATCH(MIN(Q$18:Q$137),Q$18:Q$137,0),1))*$T$6))</f>
        <v>132.35511240000002</v>
      </c>
      <c r="T67" s="22">
        <f t="shared" ca="1" si="18"/>
        <v>239.51811240000001</v>
      </c>
      <c r="V67" s="22">
        <f ca="1">IF(Q67="","",IF(Q67=0,0,SUMPRODUCT(OFFSET(M$18,MATCH(MIN(Q$18:Q$137),Q$18:Q$137,0),0,COUNT(M$18:M67)-MATCH(MIN(Q$18:Q$137),Q$18:Q$137,0),1),OFFSET(M$18,MATCH(MIN(Q$18:Q$137),Q$18:Q$137,0),2,COUNT(M$18:M67)-MATCH(MIN(Q$18:Q$137),Q$18:Q$137,0),1))*$T$6*$T$14))</f>
        <v>0</v>
      </c>
      <c r="W67" s="29"/>
      <c r="X67" s="23">
        <f t="shared" ca="1" si="19"/>
        <v>16.702817779816513</v>
      </c>
      <c r="Z67" s="15">
        <f t="shared" si="30"/>
        <v>11.05</v>
      </c>
      <c r="AA67" s="15">
        <f t="shared" si="31"/>
        <v>12.8</v>
      </c>
      <c r="AC67" s="15">
        <f t="shared" si="32"/>
        <v>48</v>
      </c>
      <c r="AD67" s="15">
        <f t="shared" si="33"/>
        <v>57</v>
      </c>
      <c r="AF67" s="15">
        <f t="shared" ca="1" si="34"/>
        <v>10</v>
      </c>
      <c r="AH67" s="15">
        <f t="shared" si="27"/>
        <v>2</v>
      </c>
      <c r="AI67" s="38">
        <f t="shared" ca="1" si="15"/>
        <v>15.149948099606815</v>
      </c>
      <c r="AJ67" s="29"/>
      <c r="AK67" s="29"/>
      <c r="AL67" s="29"/>
    </row>
    <row r="68" spans="1:38" x14ac:dyDescent="0.2">
      <c r="A68" s="15">
        <v>51</v>
      </c>
      <c r="B68" s="2">
        <f t="shared" si="20"/>
        <v>181.45</v>
      </c>
      <c r="C68" s="25">
        <v>11.6</v>
      </c>
      <c r="D68" s="25">
        <v>0.96</v>
      </c>
      <c r="E68" s="25">
        <v>6.91</v>
      </c>
      <c r="F68" s="3" t="str">
        <f t="shared" ca="1" si="21"/>
        <v>ИГЭ-2</v>
      </c>
      <c r="G68" s="30" t="str">
        <f t="shared" ca="1" si="22"/>
        <v>пыл.-глинист.</v>
      </c>
      <c r="I68" s="13">
        <f t="shared" ca="1" si="28"/>
        <v>1004</v>
      </c>
      <c r="J68" s="14">
        <f t="shared" ca="1" si="23"/>
        <v>0.9</v>
      </c>
      <c r="L68" s="14">
        <f t="shared" ca="1" si="24"/>
        <v>1</v>
      </c>
      <c r="M68" s="22">
        <f t="shared" ca="1" si="29"/>
        <v>1.6129999999999944</v>
      </c>
      <c r="N68" s="37">
        <f t="shared" ca="1" si="25"/>
        <v>1</v>
      </c>
      <c r="O68" s="37">
        <f t="shared" ca="1" si="26"/>
        <v>0</v>
      </c>
      <c r="Q68" s="22">
        <f t="shared" si="16"/>
        <v>8.6</v>
      </c>
      <c r="R68" s="22">
        <f t="shared" ca="1" si="17"/>
        <v>110.69099999999999</v>
      </c>
      <c r="S68" s="22">
        <f ca="1">IF(Q68="","",IF(Q68=0,0,SUMPRODUCT(OFFSET(M$18,MATCH(MIN(Q$18:Q$137),Q$18:Q$137,0),0,COUNT(M$18:M68)-MATCH(MIN(Q$18:Q$137),Q$18:Q$137,0),1),OFFSET(M$18,MATCH(MIN(Q$18:Q$137),Q$18:Q$137,0),1,COUNT(M$18:M68)-MATCH(MIN(Q$18:Q$137),Q$18:Q$137,0),1))*$T$6))</f>
        <v>134.61331240000004</v>
      </c>
      <c r="T68" s="22">
        <f t="shared" ca="1" si="18"/>
        <v>245.30431240000001</v>
      </c>
      <c r="V68" s="22">
        <f ca="1">IF(Q68="","",IF(Q68=0,0,SUMPRODUCT(OFFSET(M$18,MATCH(MIN(Q$18:Q$137),Q$18:Q$137,0),0,COUNT(M$18:M68)-MATCH(MIN(Q$18:Q$137),Q$18:Q$137,0),1),OFFSET(M$18,MATCH(MIN(Q$18:Q$137),Q$18:Q$137,0),2,COUNT(M$18:M68)-MATCH(MIN(Q$18:Q$137),Q$18:Q$137,0),1))*$T$6*$T$14))</f>
        <v>0</v>
      </c>
      <c r="W68" s="29"/>
      <c r="X68" s="23">
        <f t="shared" ca="1" si="19"/>
        <v>17.107304145769625</v>
      </c>
      <c r="Z68" s="15">
        <f t="shared" si="30"/>
        <v>11.25</v>
      </c>
      <c r="AA68" s="15">
        <f t="shared" si="31"/>
        <v>13</v>
      </c>
      <c r="AC68" s="15">
        <f t="shared" si="32"/>
        <v>48</v>
      </c>
      <c r="AD68" s="15">
        <f t="shared" si="33"/>
        <v>58</v>
      </c>
      <c r="AF68" s="15">
        <f t="shared" ca="1" si="34"/>
        <v>11</v>
      </c>
      <c r="AH68" s="15">
        <f t="shared" si="27"/>
        <v>2</v>
      </c>
      <c r="AI68" s="38">
        <f t="shared" ca="1" si="15"/>
        <v>15.516829157160657</v>
      </c>
      <c r="AJ68" s="29"/>
      <c r="AK68" s="29"/>
      <c r="AL68" s="29"/>
    </row>
    <row r="69" spans="1:38" x14ac:dyDescent="0.2">
      <c r="A69" s="15">
        <v>52</v>
      </c>
      <c r="B69" s="2">
        <f t="shared" si="20"/>
        <v>181.25</v>
      </c>
      <c r="C69" s="25">
        <v>11.8</v>
      </c>
      <c r="D69" s="25">
        <v>0.84</v>
      </c>
      <c r="E69" s="25">
        <v>9.2200000000000006</v>
      </c>
      <c r="F69" s="3" t="str">
        <f t="shared" ca="1" si="21"/>
        <v>ИГЭ-2</v>
      </c>
      <c r="G69" s="30" t="str">
        <f t="shared" ca="1" si="22"/>
        <v>пыл.-глинист.</v>
      </c>
      <c r="I69" s="13">
        <f t="shared" ca="1" si="28"/>
        <v>1080</v>
      </c>
      <c r="J69" s="14">
        <f t="shared" ca="1" si="23"/>
        <v>0.89500000000000002</v>
      </c>
      <c r="L69" s="14">
        <f t="shared" ca="1" si="24"/>
        <v>1</v>
      </c>
      <c r="M69" s="22">
        <f t="shared" ca="1" si="29"/>
        <v>1.6130000000000089</v>
      </c>
      <c r="N69" s="37">
        <f t="shared" ca="1" si="25"/>
        <v>1</v>
      </c>
      <c r="O69" s="37">
        <f t="shared" ca="1" si="26"/>
        <v>0</v>
      </c>
      <c r="Q69" s="22">
        <f t="shared" si="16"/>
        <v>8.8000000000000007</v>
      </c>
      <c r="R69" s="22">
        <f t="shared" ca="1" si="17"/>
        <v>118.40849999999999</v>
      </c>
      <c r="S69" s="22">
        <f ca="1">IF(Q69="","",IF(Q69=0,0,SUMPRODUCT(OFFSET(M$18,MATCH(MIN(Q$18:Q$137),Q$18:Q$137,0),0,COUNT(M$18:M69)-MATCH(MIN(Q$18:Q$137),Q$18:Q$137,0),1),OFFSET(M$18,MATCH(MIN(Q$18:Q$137),Q$18:Q$137,0),1,COUNT(M$18:M69)-MATCH(MIN(Q$18:Q$137),Q$18:Q$137,0),1))*$T$6))</f>
        <v>136.87151240000006</v>
      </c>
      <c r="T69" s="22">
        <f t="shared" ca="1" si="18"/>
        <v>255.28001240000003</v>
      </c>
      <c r="V69" s="22">
        <f ca="1">IF(Q69="","",IF(Q69=0,0,SUMPRODUCT(OFFSET(M$18,MATCH(MIN(Q$18:Q$137),Q$18:Q$137,0),0,COUNT(M$18:M69)-MATCH(MIN(Q$18:Q$137),Q$18:Q$137,0),1),OFFSET(M$18,MATCH(MIN(Q$18:Q$137),Q$18:Q$137,0),2,COUNT(M$18:M69)-MATCH(MIN(Q$18:Q$137),Q$18:Q$137,0),1))*$T$6*$T$14))</f>
        <v>0</v>
      </c>
      <c r="W69" s="29"/>
      <c r="X69" s="23">
        <f t="shared" ca="1" si="19"/>
        <v>17.853441887869522</v>
      </c>
      <c r="Z69" s="15">
        <f t="shared" si="30"/>
        <v>11.450000000000001</v>
      </c>
      <c r="AA69" s="15">
        <f t="shared" si="31"/>
        <v>13.200000000000001</v>
      </c>
      <c r="AC69" s="15">
        <f t="shared" si="32"/>
        <v>50</v>
      </c>
      <c r="AD69" s="15">
        <f t="shared" si="33"/>
        <v>59</v>
      </c>
      <c r="AF69" s="15">
        <f t="shared" ca="1" si="34"/>
        <v>10</v>
      </c>
      <c r="AH69" s="15">
        <f t="shared" si="27"/>
        <v>2</v>
      </c>
      <c r="AI69" s="38">
        <f t="shared" ca="1" si="15"/>
        <v>16.193598084235397</v>
      </c>
      <c r="AJ69" s="29"/>
      <c r="AK69" s="29"/>
      <c r="AL69" s="29"/>
    </row>
    <row r="70" spans="1:38" x14ac:dyDescent="0.2">
      <c r="A70" s="15">
        <v>53</v>
      </c>
      <c r="B70" s="2">
        <f t="shared" si="20"/>
        <v>181.05</v>
      </c>
      <c r="C70" s="25">
        <v>12</v>
      </c>
      <c r="D70" s="25">
        <v>0.72</v>
      </c>
      <c r="E70" s="25">
        <v>6.91</v>
      </c>
      <c r="F70" s="3" t="str">
        <f t="shared" ca="1" si="21"/>
        <v>ИГЭ-2</v>
      </c>
      <c r="G70" s="30" t="str">
        <f t="shared" ca="1" si="22"/>
        <v>пыл.-глинист.</v>
      </c>
      <c r="I70" s="13">
        <f t="shared" ca="1" si="28"/>
        <v>1124</v>
      </c>
      <c r="J70" s="14">
        <f t="shared" ca="1" si="23"/>
        <v>0.89200000000000002</v>
      </c>
      <c r="L70" s="14">
        <f t="shared" ca="1" si="24"/>
        <v>1</v>
      </c>
      <c r="M70" s="22">
        <f t="shared" ca="1" si="29"/>
        <v>1.6129999999999944</v>
      </c>
      <c r="N70" s="37">
        <f t="shared" ca="1" si="25"/>
        <v>1</v>
      </c>
      <c r="O70" s="37">
        <f t="shared" ca="1" si="26"/>
        <v>0</v>
      </c>
      <c r="Q70" s="22">
        <f t="shared" si="16"/>
        <v>9</v>
      </c>
      <c r="R70" s="22">
        <f t="shared" ca="1" si="17"/>
        <v>122.81947999999998</v>
      </c>
      <c r="S70" s="22">
        <f ca="1">IF(Q70="","",IF(Q70=0,0,SUMPRODUCT(OFFSET(M$18,MATCH(MIN(Q$18:Q$137),Q$18:Q$137,0),0,COUNT(M$18:M70)-MATCH(MIN(Q$18:Q$137),Q$18:Q$137,0),1),OFFSET(M$18,MATCH(MIN(Q$18:Q$137),Q$18:Q$137,0),1,COUNT(M$18:M70)-MATCH(MIN(Q$18:Q$137),Q$18:Q$137,0),1))*$T$6))</f>
        <v>139.12971240000005</v>
      </c>
      <c r="T70" s="22">
        <f t="shared" ca="1" si="18"/>
        <v>261.94919240000002</v>
      </c>
      <c r="V70" s="22">
        <f ca="1">IF(Q70="","",IF(Q70=0,0,SUMPRODUCT(OFFSET(M$18,MATCH(MIN(Q$18:Q$137),Q$18:Q$137,0),0,COUNT(M$18:M70)-MATCH(MIN(Q$18:Q$137),Q$18:Q$137,0),1),OFFSET(M$18,MATCH(MIN(Q$18:Q$137),Q$18:Q$137,0),2,COUNT(M$18:M70)-MATCH(MIN(Q$18:Q$137),Q$18:Q$137,0),1))*$T$6*$T$14))</f>
        <v>0</v>
      </c>
      <c r="W70" s="29"/>
      <c r="X70" s="23">
        <f t="shared" ca="1" si="19"/>
        <v>18.32993477777778</v>
      </c>
      <c r="Z70" s="15">
        <f t="shared" si="30"/>
        <v>11.65</v>
      </c>
      <c r="AA70" s="15">
        <f t="shared" si="31"/>
        <v>13.4</v>
      </c>
      <c r="AC70" s="15">
        <f t="shared" si="32"/>
        <v>50</v>
      </c>
      <c r="AD70" s="15">
        <f t="shared" si="33"/>
        <v>60</v>
      </c>
      <c r="AF70" s="15">
        <f t="shared" ca="1" si="34"/>
        <v>11</v>
      </c>
      <c r="AH70" s="15">
        <f t="shared" si="27"/>
        <v>2</v>
      </c>
      <c r="AI70" s="38">
        <f t="shared" ca="1" si="15"/>
        <v>16.625791181657849</v>
      </c>
      <c r="AJ70" s="29"/>
      <c r="AK70" s="29"/>
      <c r="AL70" s="29"/>
    </row>
    <row r="71" spans="1:38" x14ac:dyDescent="0.2">
      <c r="A71" s="15">
        <v>54</v>
      </c>
      <c r="B71" s="2">
        <f t="shared" si="20"/>
        <v>180.85</v>
      </c>
      <c r="C71" s="25">
        <v>12.2</v>
      </c>
      <c r="D71" s="25">
        <v>0.84</v>
      </c>
      <c r="E71" s="25">
        <v>4.6100000000000003</v>
      </c>
      <c r="F71" s="3" t="str">
        <f t="shared" ca="1" si="21"/>
        <v>ИГЭ-2</v>
      </c>
      <c r="G71" s="30" t="str">
        <f t="shared" ca="1" si="22"/>
        <v>пыл.-глинист.</v>
      </c>
      <c r="I71" s="13">
        <f t="shared" ca="1" si="28"/>
        <v>1189</v>
      </c>
      <c r="J71" s="14">
        <f t="shared" ca="1" si="23"/>
        <v>0.88700000000000001</v>
      </c>
      <c r="L71" s="14">
        <f t="shared" ca="1" si="24"/>
        <v>1</v>
      </c>
      <c r="M71" s="22">
        <f t="shared" ca="1" si="29"/>
        <v>1.1519999999999959</v>
      </c>
      <c r="N71" s="37">
        <f t="shared" ca="1" si="25"/>
        <v>1</v>
      </c>
      <c r="O71" s="37">
        <f t="shared" ca="1" si="26"/>
        <v>0</v>
      </c>
      <c r="Q71" s="22">
        <f t="shared" si="16"/>
        <v>9.1999999999999993</v>
      </c>
      <c r="R71" s="22">
        <f t="shared" ca="1" si="17"/>
        <v>129.19376749999998</v>
      </c>
      <c r="S71" s="22">
        <f ca="1">IF(Q71="","",IF(Q71=0,0,SUMPRODUCT(OFFSET(M$18,MATCH(MIN(Q$18:Q$137),Q$18:Q$137,0),0,COUNT(M$18:M71)-MATCH(MIN(Q$18:Q$137),Q$18:Q$137,0),1),OFFSET(M$18,MATCH(MIN(Q$18:Q$137),Q$18:Q$137,0),1,COUNT(M$18:M71)-MATCH(MIN(Q$18:Q$137),Q$18:Q$137,0),1))*$T$6))</f>
        <v>140.74251240000004</v>
      </c>
      <c r="T71" s="22">
        <f t="shared" ca="1" si="18"/>
        <v>269.93627990000005</v>
      </c>
      <c r="V71" s="22">
        <f ca="1">IF(Q71="","",IF(Q71=0,0,SUMPRODUCT(OFFSET(M$18,MATCH(MIN(Q$18:Q$137),Q$18:Q$137,0),0,COUNT(M$18:M71)-MATCH(MIN(Q$18:Q$137),Q$18:Q$137,0),1),OFFSET(M$18,MATCH(MIN(Q$18:Q$137),Q$18:Q$137,0),2,COUNT(M$18:M71)-MATCH(MIN(Q$18:Q$137),Q$18:Q$137,0),1))*$T$6*$T$14))</f>
        <v>0</v>
      </c>
      <c r="W71" s="29"/>
      <c r="X71" s="23">
        <f t="shared" ca="1" si="19"/>
        <v>18.913902285423042</v>
      </c>
      <c r="Z71" s="15">
        <f t="shared" si="30"/>
        <v>11.85</v>
      </c>
      <c r="AA71" s="15">
        <f t="shared" si="31"/>
        <v>13.6</v>
      </c>
      <c r="AC71" s="15">
        <f t="shared" si="32"/>
        <v>51</v>
      </c>
      <c r="AD71" s="15">
        <f t="shared" si="33"/>
        <v>61</v>
      </c>
      <c r="AF71" s="15">
        <f t="shared" ca="1" si="34"/>
        <v>11</v>
      </c>
      <c r="AH71" s="15">
        <f t="shared" si="27"/>
        <v>2</v>
      </c>
      <c r="AI71" s="38">
        <f t="shared" ca="1" si="15"/>
        <v>17.155466925553782</v>
      </c>
      <c r="AJ71" s="29"/>
      <c r="AK71" s="29"/>
      <c r="AL71" s="29"/>
    </row>
    <row r="72" spans="1:38" x14ac:dyDescent="0.2">
      <c r="A72" s="15">
        <v>55</v>
      </c>
      <c r="B72" s="2">
        <f t="shared" si="20"/>
        <v>180.65</v>
      </c>
      <c r="C72" s="25">
        <v>12.4</v>
      </c>
      <c r="D72" s="25">
        <v>1.08</v>
      </c>
      <c r="E72" s="25">
        <v>4.6100000000000003</v>
      </c>
      <c r="F72" s="3" t="str">
        <f t="shared" ca="1" si="21"/>
        <v>ИГЭ-2</v>
      </c>
      <c r="G72" s="30" t="str">
        <f t="shared" ca="1" si="22"/>
        <v>пыл.-глинист.</v>
      </c>
      <c r="I72" s="13">
        <f t="shared" ca="1" si="28"/>
        <v>1296</v>
      </c>
      <c r="J72" s="14">
        <f t="shared" ca="1" si="23"/>
        <v>0.88</v>
      </c>
      <c r="L72" s="14">
        <f t="shared" ca="1" si="24"/>
        <v>1</v>
      </c>
      <c r="M72" s="22">
        <f t="shared" ca="1" si="29"/>
        <v>0.92200000000000493</v>
      </c>
      <c r="N72" s="37">
        <f t="shared" ca="1" si="25"/>
        <v>1</v>
      </c>
      <c r="O72" s="37">
        <f t="shared" ca="1" si="26"/>
        <v>0</v>
      </c>
      <c r="Q72" s="22">
        <f t="shared" si="16"/>
        <v>9.4</v>
      </c>
      <c r="R72" s="22">
        <f t="shared" ca="1" si="17"/>
        <v>139.7088</v>
      </c>
      <c r="S72" s="22">
        <f ca="1">IF(Q72="","",IF(Q72=0,0,SUMPRODUCT(OFFSET(M$18,MATCH(MIN(Q$18:Q$137),Q$18:Q$137,0),0,COUNT(M$18:M72)-MATCH(MIN(Q$18:Q$137),Q$18:Q$137,0),1),OFFSET(M$18,MATCH(MIN(Q$18:Q$137),Q$18:Q$137,0),1,COUNT(M$18:M72)-MATCH(MIN(Q$18:Q$137),Q$18:Q$137,0),1))*$T$6))</f>
        <v>142.03331240000006</v>
      </c>
      <c r="T72" s="22">
        <f t="shared" ca="1" si="18"/>
        <v>281.74211240000005</v>
      </c>
      <c r="V72" s="22">
        <f ca="1">IF(Q72="","",IF(Q72=0,0,SUMPRODUCT(OFFSET(M$18,MATCH(MIN(Q$18:Q$137),Q$18:Q$137,0),0,COUNT(M$18:M72)-MATCH(MIN(Q$18:Q$137),Q$18:Q$137,0),1),OFFSET(M$18,MATCH(MIN(Q$18:Q$137),Q$18:Q$137,0),2,COUNT(M$18:M72)-MATCH(MIN(Q$18:Q$137),Q$18:Q$137,0),1))*$T$6*$T$14))</f>
        <v>0</v>
      </c>
      <c r="W72" s="29"/>
      <c r="X72" s="23">
        <f t="shared" ca="1" si="19"/>
        <v>19.809286306829769</v>
      </c>
      <c r="Z72" s="15">
        <f t="shared" si="30"/>
        <v>12.05</v>
      </c>
      <c r="AA72" s="15">
        <f t="shared" si="31"/>
        <v>13.8</v>
      </c>
      <c r="AC72" s="15">
        <f t="shared" si="32"/>
        <v>53</v>
      </c>
      <c r="AD72" s="15">
        <f t="shared" si="33"/>
        <v>62</v>
      </c>
      <c r="AF72" s="15">
        <f t="shared" ca="1" si="34"/>
        <v>10</v>
      </c>
      <c r="AH72" s="15">
        <f t="shared" si="27"/>
        <v>2</v>
      </c>
      <c r="AI72" s="38">
        <f t="shared" ca="1" si="15"/>
        <v>17.967606627509994</v>
      </c>
      <c r="AJ72" s="29"/>
      <c r="AK72" s="29"/>
      <c r="AL72" s="29"/>
    </row>
    <row r="73" spans="1:38" x14ac:dyDescent="0.2">
      <c r="A73" s="15">
        <v>56</v>
      </c>
      <c r="B73" s="2">
        <f t="shared" si="20"/>
        <v>180.45</v>
      </c>
      <c r="C73" s="25">
        <v>12.6</v>
      </c>
      <c r="D73" s="25">
        <v>1.2</v>
      </c>
      <c r="E73" s="25">
        <v>9.2200000000000006</v>
      </c>
      <c r="F73" s="3" t="str">
        <f t="shared" ca="1" si="21"/>
        <v>ИГЭ-2</v>
      </c>
      <c r="G73" s="30" t="str">
        <f t="shared" ca="1" si="22"/>
        <v>пыл.-глинист.</v>
      </c>
      <c r="I73" s="13">
        <f t="shared" ca="1" si="28"/>
        <v>1320</v>
      </c>
      <c r="J73" s="14">
        <f t="shared" ca="1" si="23"/>
        <v>0.879</v>
      </c>
      <c r="L73" s="14">
        <f t="shared" ca="1" si="24"/>
        <v>1</v>
      </c>
      <c r="M73" s="22">
        <f t="shared" ca="1" si="29"/>
        <v>1.3829999999999953</v>
      </c>
      <c r="N73" s="37">
        <f t="shared" ca="1" si="25"/>
        <v>1</v>
      </c>
      <c r="O73" s="37">
        <f t="shared" ca="1" si="26"/>
        <v>0</v>
      </c>
      <c r="Q73" s="22">
        <f t="shared" si="16"/>
        <v>9.6</v>
      </c>
      <c r="R73" s="22">
        <f t="shared" ca="1" si="17"/>
        <v>142.13429999999997</v>
      </c>
      <c r="S73" s="22">
        <f ca="1">IF(Q73="","",IF(Q73=0,0,SUMPRODUCT(OFFSET(M$18,MATCH(MIN(Q$18:Q$137),Q$18:Q$137,0),0,COUNT(M$18:M73)-MATCH(MIN(Q$18:Q$137),Q$18:Q$137,0),1),OFFSET(M$18,MATCH(MIN(Q$18:Q$137),Q$18:Q$137,0),1,COUNT(M$18:M73)-MATCH(MIN(Q$18:Q$137),Q$18:Q$137,0),1))*$T$6))</f>
        <v>143.96951240000007</v>
      </c>
      <c r="T73" s="22">
        <f t="shared" ca="1" si="18"/>
        <v>286.10381240000004</v>
      </c>
      <c r="V73" s="22">
        <f ca="1">IF(Q73="","",IF(Q73=0,0,SUMPRODUCT(OFFSET(M$18,MATCH(MIN(Q$18:Q$137),Q$18:Q$137,0),0,COUNT(M$18:M73)-MATCH(MIN(Q$18:Q$137),Q$18:Q$137,0),1),OFFSET(M$18,MATCH(MIN(Q$18:Q$137),Q$18:Q$137,0),2,COUNT(M$18:M73)-MATCH(MIN(Q$18:Q$137),Q$18:Q$137,0),1))*$T$6*$T$14))</f>
        <v>0</v>
      </c>
      <c r="W73" s="29"/>
      <c r="X73" s="23">
        <f t="shared" ca="1" si="19"/>
        <v>20.097605496432216</v>
      </c>
      <c r="Z73" s="15">
        <f t="shared" si="30"/>
        <v>12.25</v>
      </c>
      <c r="AA73" s="15">
        <f t="shared" si="31"/>
        <v>14</v>
      </c>
      <c r="AC73" s="15">
        <f t="shared" si="32"/>
        <v>53</v>
      </c>
      <c r="AD73" s="15">
        <f t="shared" si="33"/>
        <v>63</v>
      </c>
      <c r="AF73" s="15">
        <f t="shared" ca="1" si="34"/>
        <v>11</v>
      </c>
      <c r="AH73" s="15">
        <f t="shared" si="27"/>
        <v>2</v>
      </c>
      <c r="AI73" s="38">
        <f t="shared" ca="1" si="15"/>
        <v>18.229120631684552</v>
      </c>
      <c r="AJ73" s="29"/>
      <c r="AK73" s="29"/>
      <c r="AL73" s="29"/>
    </row>
    <row r="74" spans="1:38" x14ac:dyDescent="0.2">
      <c r="A74" s="15">
        <v>57</v>
      </c>
      <c r="B74" s="2">
        <f t="shared" si="20"/>
        <v>180.25</v>
      </c>
      <c r="C74" s="25">
        <v>12.8</v>
      </c>
      <c r="D74" s="25">
        <v>1.2</v>
      </c>
      <c r="E74" s="25">
        <v>9.2200000000000006</v>
      </c>
      <c r="F74" s="3" t="str">
        <f t="shared" ca="1" si="21"/>
        <v>ИГЭ-2</v>
      </c>
      <c r="G74" s="30" t="str">
        <f t="shared" ca="1" si="22"/>
        <v>пыл.-глинист.</v>
      </c>
      <c r="I74" s="13">
        <f t="shared" ca="1" si="28"/>
        <v>1488</v>
      </c>
      <c r="J74" s="14">
        <f t="shared" ca="1" si="23"/>
        <v>0.86699999999999999</v>
      </c>
      <c r="L74" s="14">
        <f t="shared" ca="1" si="24"/>
        <v>1</v>
      </c>
      <c r="M74" s="22">
        <f t="shared" ca="1" si="29"/>
        <v>1.8440000000000099</v>
      </c>
      <c r="N74" s="37">
        <f t="shared" ca="1" si="25"/>
        <v>1</v>
      </c>
      <c r="O74" s="37">
        <f t="shared" ca="1" si="26"/>
        <v>0</v>
      </c>
      <c r="Q74" s="22">
        <f t="shared" si="16"/>
        <v>9.8000000000000007</v>
      </c>
      <c r="R74" s="22">
        <f t="shared" ca="1" si="17"/>
        <v>158.03675999999999</v>
      </c>
      <c r="S74" s="22">
        <f ca="1">IF(Q74="","",IF(Q74=0,0,SUMPRODUCT(OFFSET(M$18,MATCH(MIN(Q$18:Q$137),Q$18:Q$137,0),0,COUNT(M$18:M74)-MATCH(MIN(Q$18:Q$137),Q$18:Q$137,0),1),OFFSET(M$18,MATCH(MIN(Q$18:Q$137),Q$18:Q$137,0),1,COUNT(M$18:M74)-MATCH(MIN(Q$18:Q$137),Q$18:Q$137,0),1))*$T$6))</f>
        <v>146.55111240000008</v>
      </c>
      <c r="T74" s="22">
        <f t="shared" ca="1" si="18"/>
        <v>304.58787240000004</v>
      </c>
      <c r="V74" s="22">
        <f ca="1">IF(Q74="","",IF(Q74=0,0,SUMPRODUCT(OFFSET(M$18,MATCH(MIN(Q$18:Q$137),Q$18:Q$137,0),0,COUNT(M$18:M74)-MATCH(MIN(Q$18:Q$137),Q$18:Q$137,0),1),OFFSET(M$18,MATCH(MIN(Q$18:Q$137),Q$18:Q$137,0),2,COUNT(M$18:M74)-MATCH(MIN(Q$18:Q$137),Q$18:Q$137,0),1))*$T$6*$T$14))</f>
        <v>0</v>
      </c>
      <c r="W74" s="29"/>
      <c r="X74" s="23">
        <f t="shared" ca="1" si="19"/>
        <v>21.537595226299697</v>
      </c>
      <c r="Z74" s="15">
        <f t="shared" si="30"/>
        <v>12.450000000000001</v>
      </c>
      <c r="AA74" s="15">
        <f t="shared" si="31"/>
        <v>14.200000000000001</v>
      </c>
      <c r="AC74" s="15">
        <f t="shared" si="32"/>
        <v>55</v>
      </c>
      <c r="AD74" s="15">
        <f t="shared" si="33"/>
        <v>64</v>
      </c>
      <c r="AF74" s="15">
        <f t="shared" ca="1" si="34"/>
        <v>10</v>
      </c>
      <c r="AH74" s="15">
        <f t="shared" si="27"/>
        <v>2</v>
      </c>
      <c r="AI74" s="38">
        <f t="shared" ca="1" si="15"/>
        <v>19.535233765351201</v>
      </c>
      <c r="AJ74" s="29"/>
      <c r="AK74" s="29"/>
      <c r="AL74" s="29"/>
    </row>
    <row r="75" spans="1:38" x14ac:dyDescent="0.2">
      <c r="A75" s="15">
        <v>58</v>
      </c>
      <c r="B75" s="2">
        <f t="shared" si="20"/>
        <v>180.05</v>
      </c>
      <c r="C75" s="25">
        <v>13</v>
      </c>
      <c r="D75" s="25">
        <v>1.32</v>
      </c>
      <c r="E75" s="25">
        <v>9.2200000000000006</v>
      </c>
      <c r="F75" s="3" t="str">
        <f t="shared" ca="1" si="21"/>
        <v>ИГЭ-2</v>
      </c>
      <c r="G75" s="30" t="str">
        <f t="shared" ca="1" si="22"/>
        <v>пыл.-глинист.</v>
      </c>
      <c r="I75" s="13">
        <f t="shared" ca="1" si="28"/>
        <v>1505</v>
      </c>
      <c r="J75" s="14">
        <f t="shared" ca="1" si="23"/>
        <v>0.86599999999999999</v>
      </c>
      <c r="L75" s="14">
        <f t="shared" ca="1" si="24"/>
        <v>1</v>
      </c>
      <c r="M75" s="22">
        <f t="shared" ca="1" si="29"/>
        <v>1.8439999999999936</v>
      </c>
      <c r="N75" s="37">
        <f t="shared" ca="1" si="25"/>
        <v>1</v>
      </c>
      <c r="O75" s="37">
        <f t="shared" ca="1" si="26"/>
        <v>0</v>
      </c>
      <c r="Q75" s="22">
        <f t="shared" si="16"/>
        <v>10</v>
      </c>
      <c r="R75" s="22">
        <f t="shared" ca="1" si="17"/>
        <v>159.65792499999998</v>
      </c>
      <c r="S75" s="22">
        <f ca="1">IF(Q75="","",IF(Q75=0,0,SUMPRODUCT(OFFSET(M$18,MATCH(MIN(Q$18:Q$137),Q$18:Q$137,0),0,COUNT(M$18:M75)-MATCH(MIN(Q$18:Q$137),Q$18:Q$137,0),1),OFFSET(M$18,MATCH(MIN(Q$18:Q$137),Q$18:Q$137,0),1,COUNT(M$18:M75)-MATCH(MIN(Q$18:Q$137),Q$18:Q$137,0),1))*$T$6))</f>
        <v>149.13271240000006</v>
      </c>
      <c r="T75" s="22">
        <f t="shared" ca="1" si="18"/>
        <v>308.79063740000004</v>
      </c>
      <c r="V75" s="22">
        <f ca="1">IF(Q75="","",IF(Q75=0,0,SUMPRODUCT(OFFSET(M$18,MATCH(MIN(Q$18:Q$137),Q$18:Q$137,0),0,COUNT(M$18:M75)-MATCH(MIN(Q$18:Q$137),Q$18:Q$137,0),1),OFFSET(M$18,MATCH(MIN(Q$18:Q$137),Q$18:Q$137,0),2,COUNT(M$18:M75)-MATCH(MIN(Q$18:Q$137),Q$18:Q$137,0),1))*$T$6*$T$14))</f>
        <v>0</v>
      </c>
      <c r="W75" s="29"/>
      <c r="X75" s="23">
        <f t="shared" ca="1" si="19"/>
        <v>21.812953355759433</v>
      </c>
      <c r="Z75" s="15">
        <f t="shared" si="30"/>
        <v>12.65</v>
      </c>
      <c r="AA75" s="15">
        <f t="shared" si="31"/>
        <v>14.4</v>
      </c>
      <c r="AC75" s="15">
        <f t="shared" si="32"/>
        <v>55</v>
      </c>
      <c r="AD75" s="15">
        <f t="shared" si="33"/>
        <v>65</v>
      </c>
      <c r="AF75" s="15">
        <f t="shared" ca="1" si="34"/>
        <v>11</v>
      </c>
      <c r="AH75" s="15">
        <f t="shared" si="27"/>
        <v>2</v>
      </c>
      <c r="AI75" s="38">
        <f t="shared" ca="1" si="15"/>
        <v>19.78499170590425</v>
      </c>
      <c r="AJ75" s="29"/>
      <c r="AK75" s="29"/>
      <c r="AL75" s="29"/>
    </row>
    <row r="76" spans="1:38" x14ac:dyDescent="0.2">
      <c r="A76" s="15">
        <v>59</v>
      </c>
      <c r="B76" s="2">
        <f t="shared" si="20"/>
        <v>179.85</v>
      </c>
      <c r="C76" s="25">
        <v>13.2</v>
      </c>
      <c r="D76" s="25">
        <v>1.68</v>
      </c>
      <c r="E76" s="25">
        <v>43.77</v>
      </c>
      <c r="F76" s="3" t="str">
        <f t="shared" ca="1" si="21"/>
        <v>ИГЭ-2</v>
      </c>
      <c r="G76" s="30" t="str">
        <f t="shared" ca="1" si="22"/>
        <v>пыл.-глинист.</v>
      </c>
      <c r="I76" s="13">
        <f t="shared" ca="1" si="28"/>
        <v>1582</v>
      </c>
      <c r="J76" s="14">
        <f t="shared" ca="1" si="23"/>
        <v>0.86099999999999999</v>
      </c>
      <c r="L76" s="14">
        <f t="shared" ca="1" si="24"/>
        <v>0.72199999999999998</v>
      </c>
      <c r="M76" s="22">
        <f t="shared" ca="1" si="29"/>
        <v>4.0821939999999861</v>
      </c>
      <c r="N76" s="37">
        <f t="shared" ca="1" si="25"/>
        <v>1</v>
      </c>
      <c r="O76" s="37">
        <f t="shared" ca="1" si="26"/>
        <v>0</v>
      </c>
      <c r="Q76" s="22">
        <f t="shared" si="16"/>
        <v>10.199999999999999</v>
      </c>
      <c r="R76" s="22">
        <f t="shared" ca="1" si="17"/>
        <v>166.857495</v>
      </c>
      <c r="S76" s="22">
        <f ca="1">IF(Q76="","",IF(Q76=0,0,SUMPRODUCT(OFFSET(M$18,MATCH(MIN(Q$18:Q$137),Q$18:Q$137,0),0,COUNT(M$18:M76)-MATCH(MIN(Q$18:Q$137),Q$18:Q$137,0),1),OFFSET(M$18,MATCH(MIN(Q$18:Q$137),Q$18:Q$137,0),1,COUNT(M$18:M76)-MATCH(MIN(Q$18:Q$137),Q$18:Q$137,0),1))*$T$6))</f>
        <v>154.84778400000005</v>
      </c>
      <c r="T76" s="22">
        <f t="shared" ca="1" si="18"/>
        <v>321.70527900000002</v>
      </c>
      <c r="V76" s="22">
        <f ca="1">IF(Q76="","",IF(Q76=0,0,SUMPRODUCT(OFFSET(M$18,MATCH(MIN(Q$18:Q$137),Q$18:Q$137,0),0,COUNT(M$18:M76)-MATCH(MIN(Q$18:Q$137),Q$18:Q$137,0),1),OFFSET(M$18,MATCH(MIN(Q$18:Q$137),Q$18:Q$137,0),2,COUNT(M$18:M76)-MATCH(MIN(Q$18:Q$137),Q$18:Q$137,0),1))*$T$6*$T$14))</f>
        <v>0</v>
      </c>
      <c r="W76" s="29"/>
      <c r="X76" s="23">
        <f t="shared" ca="1" si="19"/>
        <v>22.798760137614678</v>
      </c>
      <c r="Z76" s="15">
        <f t="shared" si="30"/>
        <v>12.85</v>
      </c>
      <c r="AA76" s="15">
        <f t="shared" si="31"/>
        <v>14.6</v>
      </c>
      <c r="AC76" s="15">
        <f t="shared" si="32"/>
        <v>56</v>
      </c>
      <c r="AD76" s="15">
        <f t="shared" si="33"/>
        <v>66</v>
      </c>
      <c r="AF76" s="15">
        <f t="shared" ca="1" si="34"/>
        <v>11</v>
      </c>
      <c r="AH76" s="15">
        <f t="shared" si="27"/>
        <v>2</v>
      </c>
      <c r="AI76" s="38">
        <f t="shared" ca="1" si="15"/>
        <v>20.67914751711082</v>
      </c>
      <c r="AJ76" s="29"/>
      <c r="AK76" s="29"/>
      <c r="AL76" s="29"/>
    </row>
    <row r="77" spans="1:38" x14ac:dyDescent="0.2">
      <c r="A77" s="15">
        <v>60</v>
      </c>
      <c r="B77" s="2">
        <f t="shared" si="20"/>
        <v>179.65</v>
      </c>
      <c r="C77" s="25">
        <v>13.4</v>
      </c>
      <c r="D77" s="25">
        <v>1.56</v>
      </c>
      <c r="E77" s="25">
        <v>32.25</v>
      </c>
      <c r="F77" s="3" t="str">
        <f t="shared" ca="1" si="21"/>
        <v>ИГЭ-2</v>
      </c>
      <c r="G77" s="30" t="str">
        <f t="shared" ca="1" si="22"/>
        <v>пыл.-глинист.</v>
      </c>
      <c r="I77" s="13">
        <f t="shared" ca="1" si="28"/>
        <v>1680</v>
      </c>
      <c r="J77" s="14">
        <f t="shared" ca="1" si="23"/>
        <v>0.85399999999999998</v>
      </c>
      <c r="L77" s="14">
        <f t="shared" ca="1" si="24"/>
        <v>0.84699999999999998</v>
      </c>
      <c r="M77" s="22">
        <f t="shared" ca="1" si="29"/>
        <v>5.8917690000000311</v>
      </c>
      <c r="N77" s="37">
        <f t="shared" ca="1" si="25"/>
        <v>1</v>
      </c>
      <c r="O77" s="37">
        <f t="shared" ca="1" si="26"/>
        <v>0</v>
      </c>
      <c r="Q77" s="22">
        <f t="shared" si="16"/>
        <v>10.4</v>
      </c>
      <c r="R77" s="22">
        <f t="shared" ca="1" si="17"/>
        <v>175.75319999999999</v>
      </c>
      <c r="S77" s="22">
        <f ca="1">IF(Q77="","",IF(Q77=0,0,SUMPRODUCT(OFFSET(M$18,MATCH(MIN(Q$18:Q$137),Q$18:Q$137,0),0,COUNT(M$18:M77)-MATCH(MIN(Q$18:Q$137),Q$18:Q$137,0),1),OFFSET(M$18,MATCH(MIN(Q$18:Q$137),Q$18:Q$137,0),1,COUNT(M$18:M77)-MATCH(MIN(Q$18:Q$137),Q$18:Q$137,0),1))*$T$6))</f>
        <v>163.09626060000008</v>
      </c>
      <c r="T77" s="22">
        <f t="shared" ca="1" si="18"/>
        <v>338.84946060000004</v>
      </c>
      <c r="V77" s="22">
        <f ca="1">IF(Q77="","",IF(Q77=0,0,SUMPRODUCT(OFFSET(M$18,MATCH(MIN(Q$18:Q$137),Q$18:Q$137,0),0,COUNT(M$18:M77)-MATCH(MIN(Q$18:Q$137),Q$18:Q$137,0),1),OFFSET(M$18,MATCH(MIN(Q$18:Q$137),Q$18:Q$137,0),2,COUNT(M$18:M77)-MATCH(MIN(Q$18:Q$137),Q$18:Q$137,0),1))*$T$6*$T$14))</f>
        <v>0</v>
      </c>
      <c r="W77" s="29"/>
      <c r="X77" s="23">
        <f t="shared" ca="1" si="19"/>
        <v>24.129483535168198</v>
      </c>
      <c r="Z77" s="15">
        <f t="shared" si="30"/>
        <v>13.05</v>
      </c>
      <c r="AA77" s="15">
        <f t="shared" si="31"/>
        <v>14.8</v>
      </c>
      <c r="AC77" s="15">
        <f t="shared" si="32"/>
        <v>58</v>
      </c>
      <c r="AD77" s="15">
        <f t="shared" si="33"/>
        <v>67</v>
      </c>
      <c r="AF77" s="15">
        <f t="shared" ca="1" si="34"/>
        <v>10</v>
      </c>
      <c r="AH77" s="15">
        <f t="shared" si="27"/>
        <v>2</v>
      </c>
      <c r="AI77" s="38">
        <f t="shared" ca="1" si="15"/>
        <v>21.886152866365716</v>
      </c>
      <c r="AJ77" s="29"/>
      <c r="AK77" s="29"/>
      <c r="AL77" s="29"/>
    </row>
    <row r="78" spans="1:38" x14ac:dyDescent="0.2">
      <c r="A78" s="15">
        <v>61</v>
      </c>
      <c r="B78" s="2">
        <f t="shared" si="20"/>
        <v>179.45</v>
      </c>
      <c r="C78" s="25">
        <v>13.6</v>
      </c>
      <c r="D78" s="25">
        <v>1.68</v>
      </c>
      <c r="E78" s="25">
        <v>25.34</v>
      </c>
      <c r="F78" s="3" t="str">
        <f t="shared" ca="1" si="21"/>
        <v>ИГЭ-3</v>
      </c>
      <c r="G78" s="30" t="str">
        <f t="shared" ca="1" si="22"/>
        <v>пыл.-глинист.</v>
      </c>
      <c r="I78" s="13">
        <f t="shared" ca="1" si="28"/>
        <v>1724</v>
      </c>
      <c r="J78" s="14">
        <f t="shared" ca="1" si="23"/>
        <v>0.85099999999999998</v>
      </c>
      <c r="L78" s="14">
        <f t="shared" ca="1" si="24"/>
        <v>0.93300000000000005</v>
      </c>
      <c r="M78" s="22">
        <f t="shared" ca="1" si="29"/>
        <v>5.0957969999999824</v>
      </c>
      <c r="N78" s="37">
        <f t="shared" ca="1" si="25"/>
        <v>1</v>
      </c>
      <c r="O78" s="37">
        <f t="shared" ca="1" si="26"/>
        <v>0</v>
      </c>
      <c r="Q78" s="22">
        <f t="shared" si="16"/>
        <v>10.6</v>
      </c>
      <c r="R78" s="22">
        <f t="shared" ca="1" si="17"/>
        <v>179.72268999999997</v>
      </c>
      <c r="S78" s="22">
        <f ca="1">IF(Q78="","",IF(Q78=0,0,SUMPRODUCT(OFFSET(M$18,MATCH(MIN(Q$18:Q$137),Q$18:Q$137,0),0,COUNT(M$18:M78)-MATCH(MIN(Q$18:Q$137),Q$18:Q$137,0),1),OFFSET(M$18,MATCH(MIN(Q$18:Q$137),Q$18:Q$137,0),1,COUNT(M$18:M78)-MATCH(MIN(Q$18:Q$137),Q$18:Q$137,0),1))*$T$6))</f>
        <v>170.23037640000004</v>
      </c>
      <c r="T78" s="22">
        <f t="shared" ca="1" si="18"/>
        <v>349.95306640000001</v>
      </c>
      <c r="V78" s="22">
        <f ca="1">IF(Q78="","",IF(Q78=0,0,SUMPRODUCT(OFFSET(M$18,MATCH(MIN(Q$18:Q$137),Q$18:Q$137,0),0,COUNT(M$18:M78)-MATCH(MIN(Q$18:Q$137),Q$18:Q$137,0),1),OFFSET(M$18,MATCH(MIN(Q$18:Q$137),Q$18:Q$137,0),2,COUNT(M$18:M78)-MATCH(MIN(Q$18:Q$137),Q$18:Q$137,0),1))*$T$6*$T$14))</f>
        <v>0</v>
      </c>
      <c r="W78" s="29"/>
      <c r="X78" s="23">
        <f t="shared" ca="1" si="19"/>
        <v>24.967601362895003</v>
      </c>
      <c r="Z78" s="15">
        <f t="shared" si="30"/>
        <v>13.25</v>
      </c>
      <c r="AA78" s="15">
        <f t="shared" si="31"/>
        <v>15</v>
      </c>
      <c r="AC78" s="15">
        <f t="shared" si="32"/>
        <v>58</v>
      </c>
      <c r="AD78" s="15">
        <f t="shared" si="33"/>
        <v>68</v>
      </c>
      <c r="AF78" s="15">
        <f t="shared" ca="1" si="34"/>
        <v>11</v>
      </c>
      <c r="AH78" s="15">
        <f t="shared" si="27"/>
        <v>3</v>
      </c>
      <c r="AI78" s="38">
        <f t="shared" ca="1" si="15"/>
        <v>22.646350442535155</v>
      </c>
      <c r="AJ78" s="29"/>
      <c r="AK78" s="29"/>
      <c r="AL78" s="29"/>
    </row>
    <row r="79" spans="1:38" x14ac:dyDescent="0.2">
      <c r="A79" s="15">
        <v>62</v>
      </c>
      <c r="B79" s="2">
        <f t="shared" si="20"/>
        <v>179.25</v>
      </c>
      <c r="C79" s="25">
        <v>13.8</v>
      </c>
      <c r="D79" s="25">
        <v>1.68</v>
      </c>
      <c r="E79" s="25">
        <v>27.65</v>
      </c>
      <c r="F79" s="3" t="str">
        <f t="shared" ca="1" si="21"/>
        <v>ИГЭ-3</v>
      </c>
      <c r="G79" s="30" t="str">
        <f t="shared" ca="1" si="22"/>
        <v>пыл.-глинист.</v>
      </c>
      <c r="I79" s="13">
        <f t="shared" ca="1" si="28"/>
        <v>1800</v>
      </c>
      <c r="J79" s="14">
        <f t="shared" ca="1" si="23"/>
        <v>0.84599999999999997</v>
      </c>
      <c r="L79" s="14">
        <f t="shared" ca="1" si="24"/>
        <v>0.90400000000000003</v>
      </c>
      <c r="M79" s="22">
        <f t="shared" ca="1" si="29"/>
        <v>4.8637820000000263</v>
      </c>
      <c r="N79" s="37">
        <f t="shared" ca="1" si="25"/>
        <v>1</v>
      </c>
      <c r="O79" s="37">
        <f t="shared" ca="1" si="26"/>
        <v>0</v>
      </c>
      <c r="Q79" s="22">
        <f t="shared" si="16"/>
        <v>10.8</v>
      </c>
      <c r="R79" s="22">
        <f t="shared" ca="1" si="17"/>
        <v>186.54299999999998</v>
      </c>
      <c r="S79" s="22">
        <f ca="1">IF(Q79="","",IF(Q79=0,0,SUMPRODUCT(OFFSET(M$18,MATCH(MIN(Q$18:Q$137),Q$18:Q$137,0),0,COUNT(M$18:M79)-MATCH(MIN(Q$18:Q$137),Q$18:Q$137,0),1),OFFSET(M$18,MATCH(MIN(Q$18:Q$137),Q$18:Q$137,0),1,COUNT(M$18:M79)-MATCH(MIN(Q$18:Q$137),Q$18:Q$137,0),1))*$T$6))</f>
        <v>177.0396712000001</v>
      </c>
      <c r="T79" s="22">
        <f t="shared" ca="1" si="18"/>
        <v>363.58267120000005</v>
      </c>
      <c r="V79" s="22">
        <f ca="1">IF(Q79="","",IF(Q79=0,0,SUMPRODUCT(OFFSET(M$18,MATCH(MIN(Q$18:Q$137),Q$18:Q$137,0),0,COUNT(M$18:M79)-MATCH(MIN(Q$18:Q$137),Q$18:Q$137,0),1),OFFSET(M$18,MATCH(MIN(Q$18:Q$137),Q$18:Q$137,0),2,COUNT(M$18:M79)-MATCH(MIN(Q$18:Q$137),Q$18:Q$137,0),1))*$T$6*$T$14))</f>
        <v>0</v>
      </c>
      <c r="W79" s="29"/>
      <c r="X79" s="23">
        <f t="shared" ca="1" si="19"/>
        <v>26.011712992864428</v>
      </c>
      <c r="Z79" s="15">
        <f t="shared" si="30"/>
        <v>13.450000000000001</v>
      </c>
      <c r="AA79" s="15">
        <f t="shared" si="31"/>
        <v>15.200000000000001</v>
      </c>
      <c r="AC79" s="15">
        <f t="shared" si="32"/>
        <v>60</v>
      </c>
      <c r="AD79" s="15">
        <f t="shared" si="33"/>
        <v>69</v>
      </c>
      <c r="AF79" s="15">
        <f t="shared" ca="1" si="34"/>
        <v>10</v>
      </c>
      <c r="AH79" s="15">
        <f t="shared" si="27"/>
        <v>3</v>
      </c>
      <c r="AI79" s="38">
        <f t="shared" ca="1" si="15"/>
        <v>23.593390469718305</v>
      </c>
      <c r="AJ79" s="29"/>
      <c r="AK79" s="29"/>
      <c r="AL79" s="29"/>
    </row>
    <row r="80" spans="1:38" x14ac:dyDescent="0.2">
      <c r="A80" s="15">
        <v>63</v>
      </c>
      <c r="B80" s="2">
        <f t="shared" si="20"/>
        <v>179.05</v>
      </c>
      <c r="C80" s="25">
        <v>14</v>
      </c>
      <c r="D80" s="25">
        <v>1.56</v>
      </c>
      <c r="E80" s="25">
        <v>34.56</v>
      </c>
      <c r="F80" s="3" t="str">
        <f t="shared" ca="1" si="21"/>
        <v>ИГЭ-3</v>
      </c>
      <c r="G80" s="30" t="str">
        <f t="shared" ca="1" si="22"/>
        <v>пыл.-глинист.</v>
      </c>
      <c r="I80" s="13">
        <f t="shared" ca="1" si="28"/>
        <v>1800</v>
      </c>
      <c r="J80" s="14">
        <f t="shared" ca="1" si="23"/>
        <v>0.84599999999999997</v>
      </c>
      <c r="L80" s="14">
        <f t="shared" ca="1" si="24"/>
        <v>0.81799999999999995</v>
      </c>
      <c r="M80" s="22">
        <f t="shared" ca="1" si="29"/>
        <v>5.3265679999999813</v>
      </c>
      <c r="N80" s="37">
        <f t="shared" ca="1" si="25"/>
        <v>1</v>
      </c>
      <c r="O80" s="37">
        <f t="shared" ca="1" si="26"/>
        <v>0</v>
      </c>
      <c r="Q80" s="22">
        <f t="shared" si="16"/>
        <v>11</v>
      </c>
      <c r="R80" s="22">
        <f t="shared" ca="1" si="17"/>
        <v>186.54299999999998</v>
      </c>
      <c r="S80" s="22">
        <f ca="1">IF(Q80="","",IF(Q80=0,0,SUMPRODUCT(OFFSET(M$18,MATCH(MIN(Q$18:Q$137),Q$18:Q$137,0),0,COUNT(M$18:M80)-MATCH(MIN(Q$18:Q$137),Q$18:Q$137,0),1),OFFSET(M$18,MATCH(MIN(Q$18:Q$137),Q$18:Q$137,0),1,COUNT(M$18:M80)-MATCH(MIN(Q$18:Q$137),Q$18:Q$137,0),1))*$T$6))</f>
        <v>184.49686640000007</v>
      </c>
      <c r="T80" s="22">
        <f t="shared" ca="1" si="18"/>
        <v>371.03986640000005</v>
      </c>
      <c r="V80" s="22">
        <f ca="1">IF(Q80="","",IF(Q80=0,0,SUMPRODUCT(OFFSET(M$18,MATCH(MIN(Q$18:Q$137),Q$18:Q$137,0),0,COUNT(M$18:M80)-MATCH(MIN(Q$18:Q$137),Q$18:Q$137,0),1),OFFSET(M$18,MATCH(MIN(Q$18:Q$137),Q$18:Q$137,0),2,COUNT(M$18:M80)-MATCH(MIN(Q$18:Q$137),Q$18:Q$137,0),1))*$T$6*$T$14))</f>
        <v>0</v>
      </c>
      <c r="W80" s="29"/>
      <c r="X80" s="23">
        <f t="shared" ca="1" si="19"/>
        <v>26.552468080530069</v>
      </c>
      <c r="Z80" s="15">
        <f t="shared" si="30"/>
        <v>13.65</v>
      </c>
      <c r="AA80" s="15">
        <f t="shared" si="31"/>
        <v>15.4</v>
      </c>
      <c r="AC80" s="15">
        <f t="shared" si="32"/>
        <v>60</v>
      </c>
      <c r="AD80" s="15">
        <f t="shared" si="33"/>
        <v>70</v>
      </c>
      <c r="AF80" s="15">
        <f t="shared" ca="1" si="34"/>
        <v>11</v>
      </c>
      <c r="AH80" s="15">
        <f t="shared" si="27"/>
        <v>3</v>
      </c>
      <c r="AI80" s="38">
        <f t="shared" ca="1" si="15"/>
        <v>24.083871274857209</v>
      </c>
      <c r="AJ80" s="29"/>
      <c r="AK80" s="29"/>
      <c r="AL80" s="29"/>
    </row>
    <row r="81" spans="1:38" x14ac:dyDescent="0.2">
      <c r="A81" s="15">
        <v>64</v>
      </c>
      <c r="B81" s="2">
        <f t="shared" si="20"/>
        <v>178.85</v>
      </c>
      <c r="C81" s="25">
        <v>14.2</v>
      </c>
      <c r="D81" s="25">
        <v>1.92</v>
      </c>
      <c r="E81" s="25">
        <v>29.95</v>
      </c>
      <c r="F81" s="3" t="str">
        <f t="shared" ca="1" si="21"/>
        <v>ИГЭ-3</v>
      </c>
      <c r="G81" s="30" t="str">
        <f t="shared" ca="1" si="22"/>
        <v>пыл.-глинист.</v>
      </c>
      <c r="I81" s="13">
        <f t="shared" ca="1" si="28"/>
        <v>1822</v>
      </c>
      <c r="J81" s="14">
        <f t="shared" ca="1" si="23"/>
        <v>0.84499999999999997</v>
      </c>
      <c r="L81" s="14">
        <f t="shared" ca="1" si="24"/>
        <v>0.876</v>
      </c>
      <c r="M81" s="22">
        <f t="shared" ca="1" si="29"/>
        <v>5.4506279999999814</v>
      </c>
      <c r="N81" s="37">
        <f t="shared" ca="1" si="25"/>
        <v>1</v>
      </c>
      <c r="O81" s="37">
        <f t="shared" ca="1" si="26"/>
        <v>0</v>
      </c>
      <c r="Q81" s="22">
        <f t="shared" si="16"/>
        <v>11.2</v>
      </c>
      <c r="R81" s="22">
        <f t="shared" ca="1" si="17"/>
        <v>188.59977499999997</v>
      </c>
      <c r="S81" s="22">
        <f ca="1">IF(Q81="","",IF(Q81=0,0,SUMPRODUCT(OFFSET(M$18,MATCH(MIN(Q$18:Q$137),Q$18:Q$137,0),0,COUNT(M$18:M81)-MATCH(MIN(Q$18:Q$137),Q$18:Q$137,0),1),OFFSET(M$18,MATCH(MIN(Q$18:Q$137),Q$18:Q$137,0),1,COUNT(M$18:M81)-MATCH(MIN(Q$18:Q$137),Q$18:Q$137,0),1))*$T$6))</f>
        <v>192.12774560000008</v>
      </c>
      <c r="T81" s="22">
        <f t="shared" ca="1" si="18"/>
        <v>380.72752060000005</v>
      </c>
      <c r="V81" s="22">
        <f ca="1">IF(Q81="","",IF(Q81=0,0,SUMPRODUCT(OFFSET(M$18,MATCH(MIN(Q$18:Q$137),Q$18:Q$137,0),0,COUNT(M$18:M81)-MATCH(MIN(Q$18:Q$137),Q$18:Q$137,0),1),OFFSET(M$18,MATCH(MIN(Q$18:Q$137),Q$18:Q$137,0),2,COUNT(M$18:M81)-MATCH(MIN(Q$18:Q$137),Q$18:Q$137,0),1))*$T$6*$T$14))</f>
        <v>0</v>
      </c>
      <c r="W81" s="29"/>
      <c r="X81" s="23">
        <f t="shared" ca="1" si="19"/>
        <v>27.275115849133542</v>
      </c>
      <c r="Z81" s="15">
        <f t="shared" si="30"/>
        <v>13.85</v>
      </c>
      <c r="AA81" s="15">
        <f t="shared" si="31"/>
        <v>15.6</v>
      </c>
      <c r="AC81" s="15">
        <f t="shared" si="32"/>
        <v>61</v>
      </c>
      <c r="AD81" s="15">
        <f t="shared" si="33"/>
        <v>71</v>
      </c>
      <c r="AF81" s="15">
        <f t="shared" ca="1" si="34"/>
        <v>11</v>
      </c>
      <c r="AH81" s="15">
        <f t="shared" si="27"/>
        <v>3</v>
      </c>
      <c r="AI81" s="38">
        <f t="shared" ca="1" si="15"/>
        <v>24.739334103522488</v>
      </c>
      <c r="AJ81" s="29"/>
      <c r="AK81" s="29"/>
      <c r="AL81" s="29"/>
    </row>
    <row r="82" spans="1:38" x14ac:dyDescent="0.2">
      <c r="A82" s="15">
        <v>65</v>
      </c>
      <c r="B82" s="2">
        <f t="shared" ref="B82:B113" si="35">IF(C82="","",ROUND($D$6-C82,2))</f>
        <v>178.65</v>
      </c>
      <c r="C82" s="25">
        <v>14.4</v>
      </c>
      <c r="D82" s="25">
        <v>1.68</v>
      </c>
      <c r="E82" s="25">
        <v>32.25</v>
      </c>
      <c r="F82" s="3" t="str">
        <f t="shared" ref="F82:F113" ca="1" si="36">IF(C82="","",OFFSET($C$5,MATCH(B82,D$6:D$15,-1),0,1,1))</f>
        <v>ИГЭ-3</v>
      </c>
      <c r="G82" s="30" t="str">
        <f t="shared" ref="G82:G113" ca="1" si="37">IF(C82="","",OFFSET($E$5,MATCH(B82,D$6:D$15,-1),0,1,1))</f>
        <v>пыл.-глинист.</v>
      </c>
      <c r="I82" s="13">
        <f t="shared" ca="1" si="28"/>
        <v>1848</v>
      </c>
      <c r="J82" s="14">
        <f t="shared" ref="J82:J113" ca="1" si="38">IF(I82="","",IF(I82&lt;=1000,0.9,IF(I82&lt;=2500,ROUND(0.967-0.000067*I82,3),IF(I82&lt;=5000,ROUND(0.95-0.00006*I82,3),IF(I82&lt;=7500,ROUND(0.85-0.00004*I82,3),IF(I82&lt;=10000,ROUND(0.85-0.00004*I82,3),IF(I82&lt;=15000,ROUND(0.65-0.00002*I82,3),IF(I82&lt;=30000,0.5-0.00001*I82,0.2))))))))</f>
        <v>0.84299999999999997</v>
      </c>
      <c r="L82" s="14">
        <f t="shared" ref="L82:L113" ca="1" si="39">IF(G82="","",IF(G82="песчаный",IF(E82&lt;=20,0.75,IF(E82&lt;=40,ROUND(0.9-0.0075*E82,3),IF(E82&lt;=120,ROUND(0.7-0.0025*E82,3),0.4))),IF(E82&lt;=20,1,IF(E82&lt;=40,ROUND(1.25-0.0125*E82,3),IF(E82&lt;=80,ROUND(1.05-0.0075*E82,3),IF(E82&lt;=100,ROUND(0.65-0.0025*E82,3),IF(E82&lt;=120,ROUND(0.9-0.005*E82,3),0.3)))))))</f>
        <v>0.84699999999999998</v>
      </c>
      <c r="M82" s="22">
        <f t="shared" ca="1" si="29"/>
        <v>5.3551950000000286</v>
      </c>
      <c r="N82" s="37">
        <f t="shared" ref="N82:N113" ca="1" si="40">IF(C82="","",IF(OFFSET($C$5,MATCH(B82,D$6:D$15,-1),4,1,1)="",1,0))</f>
        <v>1</v>
      </c>
      <c r="O82" s="37">
        <f t="shared" ref="O82:O113" ca="1" si="41">IF(C82="","",IF(OFFSET($C$5,MATCH(B82,D$6:D$15,-1),4,1,1)="тип II",1,0))</f>
        <v>0</v>
      </c>
      <c r="Q82" s="22">
        <f t="shared" si="16"/>
        <v>11.4</v>
      </c>
      <c r="R82" s="22">
        <f t="shared" ca="1" si="17"/>
        <v>190.83833999999999</v>
      </c>
      <c r="S82" s="22">
        <f ca="1">IF(Q82="","",IF(Q82=0,0,SUMPRODUCT(OFFSET(M$18,MATCH(MIN(Q$18:Q$137),Q$18:Q$137,0),0,COUNT(M$18:M82)-MATCH(MIN(Q$18:Q$137),Q$18:Q$137,0),1),OFFSET(M$18,MATCH(MIN(Q$18:Q$137),Q$18:Q$137,0),1,COUNT(M$18:M82)-MATCH(MIN(Q$18:Q$137),Q$18:Q$137,0),1))*$T$6))</f>
        <v>199.62501860000012</v>
      </c>
      <c r="T82" s="22">
        <f t="shared" ca="1" si="18"/>
        <v>390.46335860000011</v>
      </c>
      <c r="V82" s="22">
        <f ca="1">IF(Q82="","",IF(Q82=0,0,SUMPRODUCT(OFFSET(M$18,MATCH(MIN(Q$18:Q$137),Q$18:Q$137,0),0,COUNT(M$18:M82)-MATCH(MIN(Q$18:Q$137),Q$18:Q$137,0),1),OFFSET(M$18,MATCH(MIN(Q$18:Q$137),Q$18:Q$137,0),2,COUNT(M$18:M82)-MATCH(MIN(Q$18:Q$137),Q$18:Q$137,0),1))*$T$6*$T$14))</f>
        <v>0</v>
      </c>
      <c r="W82" s="29"/>
      <c r="X82" s="23">
        <f t="shared" ca="1" si="19"/>
        <v>28.001692979612649</v>
      </c>
      <c r="Z82" s="15">
        <f t="shared" si="30"/>
        <v>14.05</v>
      </c>
      <c r="AA82" s="15">
        <f t="shared" si="31"/>
        <v>15.8</v>
      </c>
      <c r="AC82" s="15">
        <f t="shared" si="32"/>
        <v>63</v>
      </c>
      <c r="AD82" s="15">
        <f t="shared" si="33"/>
        <v>72</v>
      </c>
      <c r="AF82" s="15">
        <f t="shared" ca="1" si="34"/>
        <v>10</v>
      </c>
      <c r="AH82" s="15">
        <f t="shared" ref="AH82:AH113" si="42">MATCH(B82,D$6:D$15,-1)</f>
        <v>3</v>
      </c>
      <c r="AI82" s="38">
        <f t="shared" ca="1" si="15"/>
        <v>25.398360979240501</v>
      </c>
      <c r="AJ82" s="29"/>
      <c r="AK82" s="29"/>
      <c r="AL82" s="29"/>
    </row>
    <row r="83" spans="1:38" x14ac:dyDescent="0.2">
      <c r="A83" s="15">
        <v>66</v>
      </c>
      <c r="B83" s="2">
        <f t="shared" si="35"/>
        <v>178.45</v>
      </c>
      <c r="C83" s="25">
        <v>14.6</v>
      </c>
      <c r="D83" s="25">
        <v>1.92</v>
      </c>
      <c r="E83" s="25">
        <v>29.95</v>
      </c>
      <c r="F83" s="3" t="str">
        <f t="shared" ca="1" si="36"/>
        <v>ИГЭ-3</v>
      </c>
      <c r="G83" s="30" t="str">
        <f t="shared" ca="1" si="37"/>
        <v>пыл.-глинист.</v>
      </c>
      <c r="I83" s="13">
        <f t="shared" ref="I83:I114" ca="1" si="43">IF(D83="","",ROUND(AVERAGE(OFFSET($D$17,MATCH(MAX(FLOOR(C83-$T$5,(C83-C82)),C$18),C$18:C$137),0,MATCH(MIN(CEILING(C83+4*$T$5,(C83-C82)),C$137),C$18:C$137)-MATCH(MAX(FLOOR(C83-$T$5,(C83-C82)),C$18),C$18:C$137)+1,1))*1000,0))</f>
        <v>1833</v>
      </c>
      <c r="J83" s="14">
        <f t="shared" ca="1" si="38"/>
        <v>0.84399999999999997</v>
      </c>
      <c r="L83" s="14">
        <f t="shared" ca="1" si="39"/>
        <v>0.876</v>
      </c>
      <c r="M83" s="22">
        <f t="shared" ref="M83:M114" ca="1" si="44">IF(L83="","",(C83-C82)*SUMPRODUCT(E82:E83,L82:L83)/2)</f>
        <v>5.3551949999999806</v>
      </c>
      <c r="N83" s="37">
        <f t="shared" ca="1" si="40"/>
        <v>1</v>
      </c>
      <c r="O83" s="37">
        <f t="shared" ca="1" si="41"/>
        <v>0</v>
      </c>
      <c r="Q83" s="22">
        <f t="shared" si="16"/>
        <v>11.6</v>
      </c>
      <c r="R83" s="22">
        <f t="shared" ca="1" si="17"/>
        <v>189.51386999999997</v>
      </c>
      <c r="S83" s="22">
        <f ca="1">IF(Q83="","",IF(Q83=0,0,SUMPRODUCT(OFFSET(M$18,MATCH(MIN(Q$18:Q$137),Q$18:Q$137,0),0,COUNT(M$18:M83)-MATCH(MIN(Q$18:Q$137),Q$18:Q$137,0),1),OFFSET(M$18,MATCH(MIN(Q$18:Q$137),Q$18:Q$137,0),1,COUNT(M$18:M83)-MATCH(MIN(Q$18:Q$137),Q$18:Q$137,0),1))*$T$6))</f>
        <v>207.1222916000001</v>
      </c>
      <c r="T83" s="22">
        <f t="shared" ca="1" si="18"/>
        <v>396.63616160000004</v>
      </c>
      <c r="V83" s="22">
        <f ca="1">IF(Q83="","",IF(Q83=0,0,SUMPRODUCT(OFFSET(M$18,MATCH(MIN(Q$18:Q$137),Q$18:Q$137,0),0,COUNT(M$18:M83)-MATCH(MIN(Q$18:Q$137),Q$18:Q$137,0),1),OFFSET(M$18,MATCH(MIN(Q$18:Q$137),Q$18:Q$137,0),2,COUNT(M$18:M83)-MATCH(MIN(Q$18:Q$137),Q$18:Q$137,0),1))*$T$6*$T$14))</f>
        <v>0</v>
      </c>
      <c r="W83" s="29"/>
      <c r="X83" s="23">
        <f t="shared" ca="1" si="19"/>
        <v>28.437706603465855</v>
      </c>
      <c r="Z83" s="15">
        <f t="shared" ref="Z83:Z114" si="45">C83-T$5</f>
        <v>14.25</v>
      </c>
      <c r="AA83" s="15">
        <f t="shared" ref="AA83:AA114" si="46">C83+4*T$5</f>
        <v>16</v>
      </c>
      <c r="AC83" s="15">
        <f t="shared" ref="AC83:AC114" si="47">MATCH(MAX(FLOOR(C83-$T$5,(C83-C82)),C$18),C$18:C$137)</f>
        <v>63</v>
      </c>
      <c r="AD83" s="15">
        <f t="shared" ref="AD83:AD114" si="48">MATCH(MIN(CEILING(C83+4*$T$5,(C83-C82)),C$137),C$18:C$137)</f>
        <v>73</v>
      </c>
      <c r="AF83" s="15">
        <f t="shared" ref="AF83:AF114" ca="1" si="49">COUNT(OFFSET($D$17,AC83,0,AD83-AC83+1,1))</f>
        <v>11</v>
      </c>
      <c r="AH83" s="15">
        <f t="shared" si="42"/>
        <v>3</v>
      </c>
      <c r="AI83" s="38">
        <f t="shared" ca="1" si="15"/>
        <v>25.793838189084678</v>
      </c>
      <c r="AJ83" s="29"/>
      <c r="AK83" s="29"/>
      <c r="AL83" s="29"/>
    </row>
    <row r="84" spans="1:38" x14ac:dyDescent="0.2">
      <c r="A84" s="15">
        <v>67</v>
      </c>
      <c r="B84" s="2">
        <f t="shared" si="35"/>
        <v>178.25</v>
      </c>
      <c r="C84" s="25">
        <v>14.8</v>
      </c>
      <c r="D84" s="25">
        <v>1.8</v>
      </c>
      <c r="E84" s="25">
        <v>27.65</v>
      </c>
      <c r="F84" s="3" t="str">
        <f t="shared" ca="1" si="36"/>
        <v>ИГЭ-3</v>
      </c>
      <c r="G84" s="30" t="str">
        <f t="shared" ca="1" si="37"/>
        <v>пыл.-глинист.</v>
      </c>
      <c r="I84" s="13">
        <f t="shared" ca="1" si="43"/>
        <v>1824</v>
      </c>
      <c r="J84" s="14">
        <f t="shared" ca="1" si="38"/>
        <v>0.84499999999999997</v>
      </c>
      <c r="L84" s="14">
        <f t="shared" ca="1" si="39"/>
        <v>0.90400000000000003</v>
      </c>
      <c r="M84" s="22">
        <f t="shared" ca="1" si="44"/>
        <v>5.1231800000000272</v>
      </c>
      <c r="N84" s="37">
        <f t="shared" ca="1" si="40"/>
        <v>1</v>
      </c>
      <c r="O84" s="37">
        <f t="shared" ca="1" si="41"/>
        <v>0</v>
      </c>
      <c r="Q84" s="22">
        <f t="shared" si="16"/>
        <v>11.8</v>
      </c>
      <c r="R84" s="22">
        <f t="shared" ca="1" si="17"/>
        <v>188.80679999999998</v>
      </c>
      <c r="S84" s="22">
        <f ca="1">IF(Q84="","",IF(Q84=0,0,SUMPRODUCT(OFFSET(M$18,MATCH(MIN(Q$18:Q$137),Q$18:Q$137,0),0,COUNT(M$18:M84)-MATCH(MIN(Q$18:Q$137),Q$18:Q$137,0),1),OFFSET(M$18,MATCH(MIN(Q$18:Q$137),Q$18:Q$137,0),1,COUNT(M$18:M84)-MATCH(MIN(Q$18:Q$137),Q$18:Q$137,0),1))*$T$6))</f>
        <v>214.29474360000012</v>
      </c>
      <c r="T84" s="22">
        <f t="shared" ca="1" si="18"/>
        <v>403.10154360000013</v>
      </c>
      <c r="V84" s="22">
        <f ca="1">IF(Q84="","",IF(Q84=0,0,SUMPRODUCT(OFFSET(M$18,MATCH(MIN(Q$18:Q$137),Q$18:Q$137,0),0,COUNT(M$18:M84)-MATCH(MIN(Q$18:Q$137),Q$18:Q$137,0),1),OFFSET(M$18,MATCH(MIN(Q$18:Q$137),Q$18:Q$137,0),2,COUNT(M$18:M84)-MATCH(MIN(Q$18:Q$137),Q$18:Q$137,0),1))*$T$6*$T$14))</f>
        <v>0</v>
      </c>
      <c r="W84" s="29"/>
      <c r="X84" s="23">
        <f t="shared" ca="1" si="19"/>
        <v>28.897579880733957</v>
      </c>
      <c r="Z84" s="15">
        <f t="shared" si="45"/>
        <v>14.450000000000001</v>
      </c>
      <c r="AA84" s="15">
        <f t="shared" si="46"/>
        <v>16.2</v>
      </c>
      <c r="AC84" s="15">
        <f t="shared" si="47"/>
        <v>65</v>
      </c>
      <c r="AD84" s="15">
        <f t="shared" si="48"/>
        <v>74</v>
      </c>
      <c r="AF84" s="15">
        <f t="shared" ca="1" si="49"/>
        <v>10</v>
      </c>
      <c r="AH84" s="15">
        <f t="shared" si="42"/>
        <v>3</v>
      </c>
      <c r="AI84" s="38">
        <f t="shared" ref="AI84:AI137" ca="1" si="50">X84/T$5/T$5/9</f>
        <v>26.21095680792196</v>
      </c>
      <c r="AJ84" s="29"/>
      <c r="AK84" s="29"/>
      <c r="AL84" s="29"/>
    </row>
    <row r="85" spans="1:38" x14ac:dyDescent="0.2">
      <c r="A85" s="15">
        <v>68</v>
      </c>
      <c r="B85" s="2">
        <f t="shared" si="35"/>
        <v>178.05</v>
      </c>
      <c r="C85" s="25">
        <v>15</v>
      </c>
      <c r="D85" s="25">
        <v>2.16</v>
      </c>
      <c r="E85" s="25">
        <v>29.95</v>
      </c>
      <c r="F85" s="3" t="str">
        <f t="shared" ca="1" si="36"/>
        <v>ИГЭ-3</v>
      </c>
      <c r="G85" s="30" t="str">
        <f t="shared" ca="1" si="37"/>
        <v>пыл.-глинист.</v>
      </c>
      <c r="I85" s="13">
        <f t="shared" ca="1" si="43"/>
        <v>1822</v>
      </c>
      <c r="J85" s="14">
        <f t="shared" ca="1" si="38"/>
        <v>0.84499999999999997</v>
      </c>
      <c r="L85" s="14">
        <f t="shared" ca="1" si="39"/>
        <v>0.876</v>
      </c>
      <c r="M85" s="22">
        <f t="shared" ca="1" si="44"/>
        <v>5.1231799999999819</v>
      </c>
      <c r="N85" s="37">
        <f t="shared" ca="1" si="40"/>
        <v>1</v>
      </c>
      <c r="O85" s="37">
        <f t="shared" ca="1" si="41"/>
        <v>0</v>
      </c>
      <c r="Q85" s="22">
        <f t="shared" si="16"/>
        <v>12</v>
      </c>
      <c r="R85" s="22">
        <f t="shared" ca="1" si="17"/>
        <v>188.59977499999997</v>
      </c>
      <c r="S85" s="22">
        <f ca="1">IF(Q85="","",IF(Q85=0,0,SUMPRODUCT(OFFSET(M$18,MATCH(MIN(Q$18:Q$137),Q$18:Q$137,0),0,COUNT(M$18:M85)-MATCH(MIN(Q$18:Q$137),Q$18:Q$137,0),1),OFFSET(M$18,MATCH(MIN(Q$18:Q$137),Q$18:Q$137,0),1,COUNT(M$18:M85)-MATCH(MIN(Q$18:Q$137),Q$18:Q$137,0),1))*$T$6))</f>
        <v>221.46719560000011</v>
      </c>
      <c r="T85" s="22">
        <f t="shared" ca="1" si="18"/>
        <v>410.0669706000001</v>
      </c>
      <c r="V85" s="22">
        <f ca="1">IF(Q85="","",IF(Q85=0,0,SUMPRODUCT(OFFSET(M$18,MATCH(MIN(Q$18:Q$137),Q$18:Q$137,0),0,COUNT(M$18:M85)-MATCH(MIN(Q$18:Q$137),Q$18:Q$137,0),1),OFFSET(M$18,MATCH(MIN(Q$18:Q$137),Q$18:Q$137,0),2,COUNT(M$18:M85)-MATCH(MIN(Q$18:Q$137),Q$18:Q$137,0),1))*$T$6*$T$14))</f>
        <v>0</v>
      </c>
      <c r="W85" s="29"/>
      <c r="X85" s="23">
        <f t="shared" ca="1" si="19"/>
        <v>29.398231547400616</v>
      </c>
      <c r="Z85" s="15">
        <f t="shared" si="45"/>
        <v>14.65</v>
      </c>
      <c r="AA85" s="15">
        <f t="shared" si="46"/>
        <v>16.399999999999999</v>
      </c>
      <c r="AC85" s="15">
        <f t="shared" si="47"/>
        <v>65</v>
      </c>
      <c r="AD85" s="15">
        <f t="shared" si="48"/>
        <v>75</v>
      </c>
      <c r="AF85" s="15">
        <f t="shared" ca="1" si="49"/>
        <v>11</v>
      </c>
      <c r="AH85" s="15">
        <f t="shared" si="42"/>
        <v>3</v>
      </c>
      <c r="AI85" s="38">
        <f t="shared" ca="1" si="50"/>
        <v>26.665062628027773</v>
      </c>
      <c r="AJ85" s="29"/>
      <c r="AK85" s="29"/>
      <c r="AL85" s="29"/>
    </row>
    <row r="86" spans="1:38" x14ac:dyDescent="0.2">
      <c r="A86" s="15">
        <v>69</v>
      </c>
      <c r="B86" s="2">
        <f t="shared" si="35"/>
        <v>177.85</v>
      </c>
      <c r="C86" s="25">
        <v>15.2</v>
      </c>
      <c r="D86" s="25">
        <v>2.04</v>
      </c>
      <c r="E86" s="25">
        <v>76.03</v>
      </c>
      <c r="F86" s="3" t="str">
        <f t="shared" ca="1" si="36"/>
        <v>ИГЭ-3</v>
      </c>
      <c r="G86" s="30" t="str">
        <f t="shared" ca="1" si="37"/>
        <v>пыл.-глинист.</v>
      </c>
      <c r="I86" s="13">
        <f t="shared" ca="1" si="43"/>
        <v>1822</v>
      </c>
      <c r="J86" s="14">
        <f t="shared" ca="1" si="38"/>
        <v>0.84499999999999997</v>
      </c>
      <c r="L86" s="14">
        <f t="shared" ca="1" si="39"/>
        <v>0.48</v>
      </c>
      <c r="M86" s="22">
        <f t="shared" ca="1" si="44"/>
        <v>6.273059999999977</v>
      </c>
      <c r="N86" s="37">
        <f t="shared" ca="1" si="40"/>
        <v>1</v>
      </c>
      <c r="O86" s="37">
        <f t="shared" ca="1" si="41"/>
        <v>0</v>
      </c>
      <c r="Q86" s="22">
        <f t="shared" ref="Q86:Q135" si="51">IF(C86="","",IF(ROUND(($D$6-FLOOR($D$6-$T$8,$C$19-$C$18))-B86,2)&lt;0,"",ROUND(($D$6-FLOOR($D$6-$T$8,$C$19-$C$18))-B86,2)))</f>
        <v>12.2</v>
      </c>
      <c r="R86" s="22">
        <f t="shared" ref="R86:R135" ca="1" si="52">IF(Q86="","",J86*I86*$T$7)</f>
        <v>188.59977499999997</v>
      </c>
      <c r="S86" s="22">
        <f ca="1">IF(Q86="","",IF(Q86=0,0,SUMPRODUCT(OFFSET(M$18,MATCH(MIN(Q$18:Q$137),Q$18:Q$137,0),0,COUNT(M$18:M86)-MATCH(MIN(Q$18:Q$137),Q$18:Q$137,0),1),OFFSET(M$18,MATCH(MIN(Q$18:Q$137),Q$18:Q$137,0),1,COUNT(M$18:M86)-MATCH(MIN(Q$18:Q$137),Q$18:Q$137,0),1))*$T$6))</f>
        <v>230.24947960000009</v>
      </c>
      <c r="T86" s="22">
        <f t="shared" ref="T86:T135" ca="1" si="53">IF(Q86="","",R86+S86)</f>
        <v>418.84925460000005</v>
      </c>
      <c r="V86" s="22">
        <f ca="1">IF(Q86="","",IF(Q86=0,0,SUMPRODUCT(OFFSET(M$18,MATCH(MIN(Q$18:Q$137),Q$18:Q$137,0),0,COUNT(M$18:M86)-MATCH(MIN(Q$18:Q$137),Q$18:Q$137,0),1),OFFSET(M$18,MATCH(MIN(Q$18:Q$137),Q$18:Q$137,0),2,COUNT(M$18:M86)-MATCH(MIN(Q$18:Q$137),Q$18:Q$137,0),1))*$T$6*$T$14))</f>
        <v>0</v>
      </c>
      <c r="W86" s="29"/>
      <c r="X86" s="23">
        <f t="shared" ref="X86:X135" ca="1" si="54">IF(Q86="","",MAX(0,(T86/1.25-V86)/9.81-2.5*1.1*$T$7*Q86))</f>
        <v>30.047046883792053</v>
      </c>
      <c r="Z86" s="15">
        <f t="shared" si="45"/>
        <v>14.85</v>
      </c>
      <c r="AA86" s="15">
        <f t="shared" si="46"/>
        <v>16.599999999999998</v>
      </c>
      <c r="AC86" s="15">
        <f t="shared" si="47"/>
        <v>66</v>
      </c>
      <c r="AD86" s="15">
        <f t="shared" si="48"/>
        <v>76</v>
      </c>
      <c r="AF86" s="15">
        <f t="shared" ca="1" si="49"/>
        <v>11</v>
      </c>
      <c r="AH86" s="15">
        <f t="shared" si="42"/>
        <v>3</v>
      </c>
      <c r="AI86" s="38">
        <f t="shared" ca="1" si="50"/>
        <v>27.253557264210485</v>
      </c>
      <c r="AJ86" s="29"/>
      <c r="AK86" s="29"/>
      <c r="AL86" s="29"/>
    </row>
    <row r="87" spans="1:38" x14ac:dyDescent="0.2">
      <c r="A87" s="15">
        <v>70</v>
      </c>
      <c r="B87" s="2">
        <f t="shared" si="35"/>
        <v>177.65</v>
      </c>
      <c r="C87" s="25">
        <v>15.4</v>
      </c>
      <c r="D87" s="25">
        <v>1.8</v>
      </c>
      <c r="E87" s="25">
        <v>39.17</v>
      </c>
      <c r="F87" s="3" t="str">
        <f t="shared" ca="1" si="36"/>
        <v>ИГЭ-3</v>
      </c>
      <c r="G87" s="30" t="str">
        <f t="shared" ca="1" si="37"/>
        <v>пыл.-глинист.</v>
      </c>
      <c r="I87" s="13">
        <f t="shared" ca="1" si="43"/>
        <v>1776</v>
      </c>
      <c r="J87" s="14">
        <f t="shared" ca="1" si="38"/>
        <v>0.84799999999999998</v>
      </c>
      <c r="L87" s="14">
        <f t="shared" ca="1" si="39"/>
        <v>0.76</v>
      </c>
      <c r="M87" s="22">
        <f t="shared" ca="1" si="44"/>
        <v>6.6263600000000347</v>
      </c>
      <c r="N87" s="37">
        <f t="shared" ca="1" si="40"/>
        <v>1</v>
      </c>
      <c r="O87" s="37">
        <f t="shared" ca="1" si="41"/>
        <v>0</v>
      </c>
      <c r="Q87" s="22">
        <f t="shared" si="51"/>
        <v>12.4</v>
      </c>
      <c r="R87" s="22">
        <f t="shared" ca="1" si="52"/>
        <v>184.49087999999998</v>
      </c>
      <c r="S87" s="22">
        <f ca="1">IF(Q87="","",IF(Q87=0,0,SUMPRODUCT(OFFSET(M$18,MATCH(MIN(Q$18:Q$137),Q$18:Q$137,0),0,COUNT(M$18:M87)-MATCH(MIN(Q$18:Q$137),Q$18:Q$137,0),1),OFFSET(M$18,MATCH(MIN(Q$18:Q$137),Q$18:Q$137,0),1,COUNT(M$18:M87)-MATCH(MIN(Q$18:Q$137),Q$18:Q$137,0),1))*$T$6))</f>
        <v>239.52638360000014</v>
      </c>
      <c r="T87" s="22">
        <f t="shared" ca="1" si="53"/>
        <v>424.01726360000009</v>
      </c>
      <c r="V87" s="22">
        <f ca="1">IF(Q87="","",IF(Q87=0,0,SUMPRODUCT(OFFSET(M$18,MATCH(MIN(Q$18:Q$137),Q$18:Q$137,0),0,COUNT(M$18:M87)-MATCH(MIN(Q$18:Q$137),Q$18:Q$137,0),1),OFFSET(M$18,MATCH(MIN(Q$18:Q$137),Q$18:Q$137,0),2,COUNT(M$18:M87)-MATCH(MIN(Q$18:Q$137),Q$18:Q$137,0),1))*$T$6*$T$14))</f>
        <v>0</v>
      </c>
      <c r="W87" s="29"/>
      <c r="X87" s="23">
        <f t="shared" ca="1" si="54"/>
        <v>30.401120120285434</v>
      </c>
      <c r="Z87" s="15">
        <f t="shared" si="45"/>
        <v>15.05</v>
      </c>
      <c r="AA87" s="15">
        <f t="shared" si="46"/>
        <v>16.8</v>
      </c>
      <c r="AC87" s="15">
        <f t="shared" si="47"/>
        <v>68</v>
      </c>
      <c r="AD87" s="15">
        <f t="shared" si="48"/>
        <v>77</v>
      </c>
      <c r="AF87" s="15">
        <f t="shared" ca="1" si="49"/>
        <v>10</v>
      </c>
      <c r="AH87" s="15">
        <f t="shared" si="42"/>
        <v>3</v>
      </c>
      <c r="AI87" s="38">
        <f t="shared" ca="1" si="50"/>
        <v>27.574712127243028</v>
      </c>
      <c r="AJ87" s="29"/>
      <c r="AK87" s="29"/>
      <c r="AL87" s="29"/>
    </row>
    <row r="88" spans="1:38" x14ac:dyDescent="0.2">
      <c r="A88" s="15">
        <v>71</v>
      </c>
      <c r="B88" s="2">
        <f t="shared" si="35"/>
        <v>177.45</v>
      </c>
      <c r="C88" s="25">
        <v>15.6</v>
      </c>
      <c r="D88" s="25">
        <v>1.8</v>
      </c>
      <c r="E88" s="25">
        <v>29.95</v>
      </c>
      <c r="F88" s="3" t="str">
        <f t="shared" ca="1" si="36"/>
        <v>ИГЭ-3</v>
      </c>
      <c r="G88" s="30" t="str">
        <f t="shared" ca="1" si="37"/>
        <v>пыл.-глинист.</v>
      </c>
      <c r="I88" s="13">
        <f t="shared" ca="1" si="43"/>
        <v>1713</v>
      </c>
      <c r="J88" s="14">
        <f t="shared" ca="1" si="38"/>
        <v>0.85199999999999998</v>
      </c>
      <c r="L88" s="14">
        <f t="shared" ca="1" si="39"/>
        <v>0.876</v>
      </c>
      <c r="M88" s="22">
        <f t="shared" ca="1" si="44"/>
        <v>5.6005399999999801</v>
      </c>
      <c r="N88" s="37">
        <f t="shared" ca="1" si="40"/>
        <v>1</v>
      </c>
      <c r="O88" s="37">
        <f t="shared" ca="1" si="41"/>
        <v>0</v>
      </c>
      <c r="Q88" s="22">
        <f t="shared" si="51"/>
        <v>12.6</v>
      </c>
      <c r="R88" s="22">
        <f t="shared" ca="1" si="52"/>
        <v>178.78580999999997</v>
      </c>
      <c r="S88" s="22">
        <f ca="1">IF(Q88="","",IF(Q88=0,0,SUMPRODUCT(OFFSET(M$18,MATCH(MIN(Q$18:Q$137),Q$18:Q$137,0),0,COUNT(M$18:M88)-MATCH(MIN(Q$18:Q$137),Q$18:Q$137,0),1),OFFSET(M$18,MATCH(MIN(Q$18:Q$137),Q$18:Q$137,0),1,COUNT(M$18:M88)-MATCH(MIN(Q$18:Q$137),Q$18:Q$137,0),1))*$T$6))</f>
        <v>247.36713960000009</v>
      </c>
      <c r="T88" s="22">
        <f t="shared" ca="1" si="53"/>
        <v>426.15294960000006</v>
      </c>
      <c r="V88" s="22">
        <f ca="1">IF(Q88="","",IF(Q88=0,0,SUMPRODUCT(OFFSET(M$18,MATCH(MIN(Q$18:Q$137),Q$18:Q$137,0),0,COUNT(M$18:M88)-MATCH(MIN(Q$18:Q$137),Q$18:Q$137,0),1),OFFSET(M$18,MATCH(MIN(Q$18:Q$137),Q$18:Q$137,0),2,COUNT(M$18:M88)-MATCH(MIN(Q$18:Q$137),Q$18:Q$137,0),1))*$T$6*$T$14))</f>
        <v>0</v>
      </c>
      <c r="W88" s="29"/>
      <c r="X88" s="23">
        <f t="shared" ca="1" si="54"/>
        <v>30.507909116207955</v>
      </c>
      <c r="Z88" s="15">
        <f t="shared" si="45"/>
        <v>15.25</v>
      </c>
      <c r="AA88" s="15">
        <f t="shared" si="46"/>
        <v>17</v>
      </c>
      <c r="AC88" s="15">
        <f t="shared" si="47"/>
        <v>68</v>
      </c>
      <c r="AD88" s="15">
        <f t="shared" si="48"/>
        <v>78</v>
      </c>
      <c r="AF88" s="15">
        <f t="shared" ca="1" si="49"/>
        <v>11</v>
      </c>
      <c r="AH88" s="15">
        <f t="shared" si="42"/>
        <v>3</v>
      </c>
      <c r="AI88" s="38">
        <f t="shared" ca="1" si="50"/>
        <v>27.671572894519691</v>
      </c>
      <c r="AJ88" s="29"/>
      <c r="AK88" s="29"/>
      <c r="AL88" s="29"/>
    </row>
    <row r="89" spans="1:38" x14ac:dyDescent="0.2">
      <c r="A89" s="15">
        <v>72</v>
      </c>
      <c r="B89" s="2">
        <f t="shared" si="35"/>
        <v>177.25</v>
      </c>
      <c r="C89" s="25">
        <v>15.8</v>
      </c>
      <c r="D89" s="25">
        <v>1.8</v>
      </c>
      <c r="E89" s="25">
        <v>25.34</v>
      </c>
      <c r="F89" s="3" t="str">
        <f t="shared" ca="1" si="36"/>
        <v>ИГЭ-3</v>
      </c>
      <c r="G89" s="30" t="str">
        <f t="shared" ca="1" si="37"/>
        <v>пыл.-глинист.</v>
      </c>
      <c r="I89" s="13">
        <f t="shared" ca="1" si="43"/>
        <v>1668</v>
      </c>
      <c r="J89" s="14">
        <f t="shared" ca="1" si="38"/>
        <v>0.85499999999999998</v>
      </c>
      <c r="L89" s="14">
        <f t="shared" ca="1" si="39"/>
        <v>0.93300000000000005</v>
      </c>
      <c r="M89" s="22">
        <f t="shared" ca="1" si="44"/>
        <v>4.9878420000000272</v>
      </c>
      <c r="N89" s="37">
        <f t="shared" ca="1" si="40"/>
        <v>1</v>
      </c>
      <c r="O89" s="37">
        <f t="shared" ca="1" si="41"/>
        <v>0</v>
      </c>
      <c r="Q89" s="22">
        <f t="shared" si="51"/>
        <v>12.8</v>
      </c>
      <c r="R89" s="22">
        <f t="shared" ca="1" si="52"/>
        <v>174.70214999999996</v>
      </c>
      <c r="S89" s="22">
        <f ca="1">IF(Q89="","",IF(Q89=0,0,SUMPRODUCT(OFFSET(M$18,MATCH(MIN(Q$18:Q$137),Q$18:Q$137,0),0,COUNT(M$18:M89)-MATCH(MIN(Q$18:Q$137),Q$18:Q$137,0),1),OFFSET(M$18,MATCH(MIN(Q$18:Q$137),Q$18:Q$137,0),1,COUNT(M$18:M89)-MATCH(MIN(Q$18:Q$137),Q$18:Q$137,0),1))*$T$6))</f>
        <v>254.35011840000013</v>
      </c>
      <c r="T89" s="22">
        <f t="shared" ca="1" si="53"/>
        <v>429.05226840000012</v>
      </c>
      <c r="V89" s="22">
        <f ca="1">IF(Q89="","",IF(Q89=0,0,SUMPRODUCT(OFFSET(M$18,MATCH(MIN(Q$18:Q$137),Q$18:Q$137,0),0,COUNT(M$18:M89)-MATCH(MIN(Q$18:Q$137),Q$18:Q$137,0),1),OFFSET(M$18,MATCH(MIN(Q$18:Q$137),Q$18:Q$137,0),2,COUNT(M$18:M89)-MATCH(MIN(Q$18:Q$137),Q$18:Q$137,0),1))*$T$6*$T$14))</f>
        <v>0</v>
      </c>
      <c r="W89" s="29"/>
      <c r="X89" s="23">
        <f t="shared" ca="1" si="54"/>
        <v>30.676971938837927</v>
      </c>
      <c r="Z89" s="15">
        <f t="shared" si="45"/>
        <v>15.450000000000001</v>
      </c>
      <c r="AA89" s="15">
        <f t="shared" si="46"/>
        <v>17.2</v>
      </c>
      <c r="AC89" s="15">
        <f t="shared" si="47"/>
        <v>70</v>
      </c>
      <c r="AD89" s="15">
        <f t="shared" si="48"/>
        <v>79</v>
      </c>
      <c r="AF89" s="15">
        <f t="shared" ca="1" si="49"/>
        <v>10</v>
      </c>
      <c r="AH89" s="15">
        <f t="shared" si="42"/>
        <v>3</v>
      </c>
      <c r="AI89" s="38">
        <f t="shared" ca="1" si="50"/>
        <v>27.8249178583564</v>
      </c>
      <c r="AJ89" s="29"/>
      <c r="AK89" s="29"/>
      <c r="AL89" s="29"/>
    </row>
    <row r="90" spans="1:38" x14ac:dyDescent="0.2">
      <c r="A90" s="15">
        <v>73</v>
      </c>
      <c r="B90" s="2">
        <f t="shared" si="35"/>
        <v>177.05</v>
      </c>
      <c r="C90" s="25">
        <v>16</v>
      </c>
      <c r="D90" s="25">
        <v>1.68</v>
      </c>
      <c r="E90" s="25">
        <v>23.04</v>
      </c>
      <c r="F90" s="3" t="str">
        <f t="shared" ca="1" si="36"/>
        <v>ИГЭ-3</v>
      </c>
      <c r="G90" s="30" t="str">
        <f t="shared" ca="1" si="37"/>
        <v>пыл.-глинист.</v>
      </c>
      <c r="I90" s="13">
        <f t="shared" ca="1" si="43"/>
        <v>1735</v>
      </c>
      <c r="J90" s="14">
        <f t="shared" ca="1" si="38"/>
        <v>0.85099999999999998</v>
      </c>
      <c r="L90" s="14">
        <f t="shared" ca="1" si="39"/>
        <v>0.96199999999999997</v>
      </c>
      <c r="M90" s="22">
        <f t="shared" ca="1" si="44"/>
        <v>4.5806699999999836</v>
      </c>
      <c r="N90" s="37">
        <f t="shared" ca="1" si="40"/>
        <v>1</v>
      </c>
      <c r="O90" s="37">
        <f t="shared" ca="1" si="41"/>
        <v>0</v>
      </c>
      <c r="Q90" s="22">
        <f t="shared" si="51"/>
        <v>13</v>
      </c>
      <c r="R90" s="22">
        <f t="shared" ca="1" si="52"/>
        <v>180.86941249999995</v>
      </c>
      <c r="S90" s="22">
        <f ca="1">IF(Q90="","",IF(Q90=0,0,SUMPRODUCT(OFFSET(M$18,MATCH(MIN(Q$18:Q$137),Q$18:Q$137,0),0,COUNT(M$18:M90)-MATCH(MIN(Q$18:Q$137),Q$18:Q$137,0),1),OFFSET(M$18,MATCH(MIN(Q$18:Q$137),Q$18:Q$137,0),1,COUNT(M$18:M90)-MATCH(MIN(Q$18:Q$137),Q$18:Q$137,0),1))*$T$6))</f>
        <v>260.76305640000015</v>
      </c>
      <c r="T90" s="22">
        <f t="shared" ca="1" si="53"/>
        <v>441.63246890000011</v>
      </c>
      <c r="V90" s="22">
        <f ca="1">IF(Q90="","",IF(Q90=0,0,SUMPRODUCT(OFFSET(M$18,MATCH(MIN(Q$18:Q$137),Q$18:Q$137,0),0,COUNT(M$18:M90)-MATCH(MIN(Q$18:Q$137),Q$18:Q$137,0),1),OFFSET(M$18,MATCH(MIN(Q$18:Q$137),Q$18:Q$137,0),2,COUNT(M$18:M90)-MATCH(MIN(Q$18:Q$137),Q$18:Q$137,0),1))*$T$6*$T$14))</f>
        <v>0</v>
      </c>
      <c r="W90" s="29"/>
      <c r="X90" s="23">
        <f t="shared" ca="1" si="54"/>
        <v>31.635505236493383</v>
      </c>
      <c r="Z90" s="15">
        <f t="shared" si="45"/>
        <v>15.65</v>
      </c>
      <c r="AA90" s="15">
        <f t="shared" si="46"/>
        <v>17.399999999999999</v>
      </c>
      <c r="AC90" s="15">
        <f t="shared" si="47"/>
        <v>70</v>
      </c>
      <c r="AD90" s="15">
        <f t="shared" si="48"/>
        <v>80</v>
      </c>
      <c r="AF90" s="15">
        <f t="shared" ca="1" si="49"/>
        <v>11</v>
      </c>
      <c r="AH90" s="15">
        <f t="shared" si="42"/>
        <v>3</v>
      </c>
      <c r="AI90" s="38">
        <f t="shared" ca="1" si="50"/>
        <v>28.694335815413499</v>
      </c>
      <c r="AJ90" s="29"/>
      <c r="AK90" s="29"/>
      <c r="AL90" s="29"/>
    </row>
    <row r="91" spans="1:38" x14ac:dyDescent="0.2">
      <c r="A91" s="15">
        <v>74</v>
      </c>
      <c r="B91" s="2">
        <f t="shared" si="35"/>
        <v>176.85</v>
      </c>
      <c r="C91" s="25">
        <v>16.2</v>
      </c>
      <c r="D91" s="25">
        <v>1.56</v>
      </c>
      <c r="E91" s="25">
        <v>20.73</v>
      </c>
      <c r="F91" s="3" t="str">
        <f t="shared" ca="1" si="36"/>
        <v>ИГЭ-3</v>
      </c>
      <c r="G91" s="30" t="str">
        <f t="shared" ca="1" si="37"/>
        <v>пыл.-глинист.</v>
      </c>
      <c r="I91" s="13">
        <f t="shared" ca="1" si="43"/>
        <v>1800</v>
      </c>
      <c r="J91" s="14">
        <f t="shared" ca="1" si="38"/>
        <v>0.84599999999999997</v>
      </c>
      <c r="L91" s="14">
        <f t="shared" ca="1" si="39"/>
        <v>0.99099999999999999</v>
      </c>
      <c r="M91" s="22">
        <f t="shared" ca="1" si="44"/>
        <v>4.2707909999999849</v>
      </c>
      <c r="N91" s="37">
        <f t="shared" ca="1" si="40"/>
        <v>1</v>
      </c>
      <c r="O91" s="37">
        <f t="shared" ca="1" si="41"/>
        <v>0</v>
      </c>
      <c r="Q91" s="22">
        <f t="shared" si="51"/>
        <v>13.2</v>
      </c>
      <c r="R91" s="22">
        <f t="shared" ca="1" si="52"/>
        <v>186.54299999999998</v>
      </c>
      <c r="S91" s="22">
        <f ca="1">IF(Q91="","",IF(Q91=0,0,SUMPRODUCT(OFFSET(M$18,MATCH(MIN(Q$18:Q$137),Q$18:Q$137,0),0,COUNT(M$18:M91)-MATCH(MIN(Q$18:Q$137),Q$18:Q$137,0),1),OFFSET(M$18,MATCH(MIN(Q$18:Q$137),Q$18:Q$137,0),1,COUNT(M$18:M91)-MATCH(MIN(Q$18:Q$137),Q$18:Q$137,0),1))*$T$6))</f>
        <v>266.74216380000007</v>
      </c>
      <c r="T91" s="22">
        <f t="shared" ca="1" si="53"/>
        <v>453.28516380000008</v>
      </c>
      <c r="V91" s="22">
        <f ca="1">IF(Q91="","",IF(Q91=0,0,SUMPRODUCT(OFFSET(M$18,MATCH(MIN(Q$18:Q$137),Q$18:Q$137,0),0,COUNT(M$18:M91)-MATCH(MIN(Q$18:Q$137),Q$18:Q$137,0),1),OFFSET(M$18,MATCH(MIN(Q$18:Q$137),Q$18:Q$137,0),2,COUNT(M$18:M91)-MATCH(MIN(Q$18:Q$137),Q$18:Q$137,0),1))*$T$6*$T$14))</f>
        <v>0</v>
      </c>
      <c r="W91" s="29"/>
      <c r="X91" s="23">
        <f t="shared" ca="1" si="54"/>
        <v>32.518400972477068</v>
      </c>
      <c r="Z91" s="15">
        <f t="shared" si="45"/>
        <v>15.85</v>
      </c>
      <c r="AA91" s="15">
        <f t="shared" si="46"/>
        <v>17.599999999999998</v>
      </c>
      <c r="AC91" s="15">
        <f t="shared" si="47"/>
        <v>71</v>
      </c>
      <c r="AD91" s="15">
        <f t="shared" si="48"/>
        <v>81</v>
      </c>
      <c r="AF91" s="15">
        <f t="shared" ca="1" si="49"/>
        <v>11</v>
      </c>
      <c r="AH91" s="15">
        <f t="shared" si="42"/>
        <v>3</v>
      </c>
      <c r="AI91" s="38">
        <f t="shared" ca="1" si="50"/>
        <v>29.495148274355625</v>
      </c>
      <c r="AJ91" s="29"/>
      <c r="AK91" s="29"/>
      <c r="AL91" s="29"/>
    </row>
    <row r="92" spans="1:38" x14ac:dyDescent="0.2">
      <c r="A92" s="15">
        <v>75</v>
      </c>
      <c r="B92" s="2">
        <f t="shared" si="35"/>
        <v>176.65</v>
      </c>
      <c r="C92" s="25">
        <v>16.399999999999999</v>
      </c>
      <c r="D92" s="25">
        <v>1.8</v>
      </c>
      <c r="E92" s="25">
        <v>20.73</v>
      </c>
      <c r="F92" s="3" t="str">
        <f t="shared" ca="1" si="36"/>
        <v>ИГЭ-3</v>
      </c>
      <c r="G92" s="30" t="str">
        <f t="shared" ca="1" si="37"/>
        <v>пыл.-глинист.</v>
      </c>
      <c r="I92" s="13">
        <f t="shared" ca="1" si="43"/>
        <v>1855</v>
      </c>
      <c r="J92" s="14">
        <f t="shared" ca="1" si="38"/>
        <v>0.84299999999999997</v>
      </c>
      <c r="L92" s="14">
        <f t="shared" ca="1" si="39"/>
        <v>0.99099999999999999</v>
      </c>
      <c r="M92" s="22">
        <f t="shared" ca="1" si="44"/>
        <v>4.1086859999999854</v>
      </c>
      <c r="N92" s="37">
        <f t="shared" ca="1" si="40"/>
        <v>1</v>
      </c>
      <c r="O92" s="37">
        <f t="shared" ca="1" si="41"/>
        <v>0</v>
      </c>
      <c r="Q92" s="22">
        <f t="shared" si="51"/>
        <v>13.4</v>
      </c>
      <c r="R92" s="22">
        <f t="shared" ca="1" si="52"/>
        <v>191.56121249999995</v>
      </c>
      <c r="S92" s="22">
        <f ca="1">IF(Q92="","",IF(Q92=0,0,SUMPRODUCT(OFFSET(M$18,MATCH(MIN(Q$18:Q$137),Q$18:Q$137,0),0,COUNT(M$18:M92)-MATCH(MIN(Q$18:Q$137),Q$18:Q$137,0),1),OFFSET(M$18,MATCH(MIN(Q$18:Q$137),Q$18:Q$137,0),1,COUNT(M$18:M92)-MATCH(MIN(Q$18:Q$137),Q$18:Q$137,0),1))*$T$6))</f>
        <v>272.49432420000005</v>
      </c>
      <c r="T92" s="22">
        <f t="shared" ca="1" si="53"/>
        <v>464.0555367</v>
      </c>
      <c r="V92" s="22">
        <f ca="1">IF(Q92="","",IF(Q92=0,0,SUMPRODUCT(OFFSET(M$18,MATCH(MIN(Q$18:Q$137),Q$18:Q$137,0),0,COUNT(M$18:M92)-MATCH(MIN(Q$18:Q$137),Q$18:Q$137,0),1),OFFSET(M$18,MATCH(MIN(Q$18:Q$137),Q$18:Q$137,0),2,COUNT(M$18:M92)-MATCH(MIN(Q$18:Q$137),Q$18:Q$137,0),1))*$T$6*$T$14))</f>
        <v>0</v>
      </c>
      <c r="W92" s="29"/>
      <c r="X92" s="23">
        <f t="shared" ca="1" si="54"/>
        <v>33.3293438440367</v>
      </c>
      <c r="Z92" s="15">
        <f t="shared" si="45"/>
        <v>16.049999999999997</v>
      </c>
      <c r="AA92" s="15">
        <f t="shared" si="46"/>
        <v>17.799999999999997</v>
      </c>
      <c r="AC92" s="15">
        <f t="shared" si="47"/>
        <v>72</v>
      </c>
      <c r="AD92" s="15">
        <f t="shared" si="48"/>
        <v>82</v>
      </c>
      <c r="AF92" s="15">
        <f t="shared" ca="1" si="49"/>
        <v>11</v>
      </c>
      <c r="AH92" s="15">
        <f t="shared" si="42"/>
        <v>3</v>
      </c>
      <c r="AI92" s="38">
        <f t="shared" ca="1" si="50"/>
        <v>30.230697364205625</v>
      </c>
      <c r="AJ92" s="29"/>
      <c r="AK92" s="29"/>
      <c r="AL92" s="29"/>
    </row>
    <row r="93" spans="1:38" x14ac:dyDescent="0.2">
      <c r="A93" s="15">
        <v>76</v>
      </c>
      <c r="B93" s="2">
        <f t="shared" si="35"/>
        <v>176.45</v>
      </c>
      <c r="C93" s="25">
        <v>16.600000000000001</v>
      </c>
      <c r="D93" s="25">
        <v>1.68</v>
      </c>
      <c r="E93" s="25">
        <v>25.34</v>
      </c>
      <c r="F93" s="3" t="str">
        <f t="shared" ca="1" si="36"/>
        <v>ИГЭ-3</v>
      </c>
      <c r="G93" s="30" t="str">
        <f t="shared" ca="1" si="37"/>
        <v>пыл.-глинист.</v>
      </c>
      <c r="I93" s="13">
        <f t="shared" ca="1" si="43"/>
        <v>1908</v>
      </c>
      <c r="J93" s="14">
        <f t="shared" ca="1" si="38"/>
        <v>0.83899999999999997</v>
      </c>
      <c r="L93" s="14">
        <f t="shared" ca="1" si="39"/>
        <v>0.93300000000000005</v>
      </c>
      <c r="M93" s="22">
        <f t="shared" ca="1" si="44"/>
        <v>4.4185650000000631</v>
      </c>
      <c r="N93" s="37">
        <f t="shared" ca="1" si="40"/>
        <v>1</v>
      </c>
      <c r="O93" s="37">
        <f t="shared" ca="1" si="41"/>
        <v>0</v>
      </c>
      <c r="Q93" s="22">
        <f t="shared" si="51"/>
        <v>13.6</v>
      </c>
      <c r="R93" s="22">
        <f t="shared" ca="1" si="52"/>
        <v>196.09946999999997</v>
      </c>
      <c r="S93" s="22">
        <f ca="1">IF(Q93="","",IF(Q93=0,0,SUMPRODUCT(OFFSET(M$18,MATCH(MIN(Q$18:Q$137),Q$18:Q$137,0),0,COUNT(M$18:M93)-MATCH(MIN(Q$18:Q$137),Q$18:Q$137,0),1),OFFSET(M$18,MATCH(MIN(Q$18:Q$137),Q$18:Q$137,0),1,COUNT(M$18:M93)-MATCH(MIN(Q$18:Q$137),Q$18:Q$137,0),1))*$T$6))</f>
        <v>278.68031520000011</v>
      </c>
      <c r="T93" s="22">
        <f t="shared" ca="1" si="53"/>
        <v>474.77978520000011</v>
      </c>
      <c r="V93" s="22">
        <f ca="1">IF(Q93="","",IF(Q93=0,0,SUMPRODUCT(OFFSET(M$18,MATCH(MIN(Q$18:Q$137),Q$18:Q$137,0),0,COUNT(M$18:M93)-MATCH(MIN(Q$18:Q$137),Q$18:Q$137,0),1),OFFSET(M$18,MATCH(MIN(Q$18:Q$137),Q$18:Q$137,0),2,COUNT(M$18:M93)-MATCH(MIN(Q$18:Q$137),Q$18:Q$137,0),1))*$T$6*$T$14))</f>
        <v>0</v>
      </c>
      <c r="W93" s="29"/>
      <c r="X93" s="23">
        <f t="shared" ca="1" si="54"/>
        <v>34.136525296636094</v>
      </c>
      <c r="Z93" s="15">
        <f t="shared" si="45"/>
        <v>16.25</v>
      </c>
      <c r="AA93" s="15">
        <f t="shared" si="46"/>
        <v>18</v>
      </c>
      <c r="AC93" s="15">
        <f t="shared" si="47"/>
        <v>74</v>
      </c>
      <c r="AD93" s="15">
        <f t="shared" si="48"/>
        <v>83</v>
      </c>
      <c r="AF93" s="15">
        <f t="shared" ca="1" si="49"/>
        <v>10</v>
      </c>
      <c r="AH93" s="15">
        <f t="shared" si="42"/>
        <v>3</v>
      </c>
      <c r="AI93" s="38">
        <f t="shared" ca="1" si="50"/>
        <v>30.962834736177868</v>
      </c>
      <c r="AJ93" s="29"/>
      <c r="AK93" s="29"/>
      <c r="AL93" s="29"/>
    </row>
    <row r="94" spans="1:38" x14ac:dyDescent="0.2">
      <c r="A94" s="15">
        <v>77</v>
      </c>
      <c r="B94" s="2">
        <f t="shared" si="35"/>
        <v>176.25</v>
      </c>
      <c r="C94" s="25">
        <v>16.8</v>
      </c>
      <c r="D94" s="25">
        <v>1.44</v>
      </c>
      <c r="E94" s="25">
        <v>25.34</v>
      </c>
      <c r="F94" s="3" t="str">
        <f t="shared" ca="1" si="36"/>
        <v>ИГЭ-3</v>
      </c>
      <c r="G94" s="30" t="str">
        <f t="shared" ca="1" si="37"/>
        <v>пыл.-глинист.</v>
      </c>
      <c r="I94" s="13">
        <f t="shared" ca="1" si="43"/>
        <v>1920</v>
      </c>
      <c r="J94" s="14">
        <f t="shared" ca="1" si="38"/>
        <v>0.83799999999999997</v>
      </c>
      <c r="L94" s="14">
        <f t="shared" ca="1" si="39"/>
        <v>0.93300000000000005</v>
      </c>
      <c r="M94" s="22">
        <f t="shared" ca="1" si="44"/>
        <v>4.7284439999999837</v>
      </c>
      <c r="N94" s="37">
        <f t="shared" ca="1" si="40"/>
        <v>1</v>
      </c>
      <c r="O94" s="37">
        <f t="shared" ca="1" si="41"/>
        <v>0</v>
      </c>
      <c r="Q94" s="22">
        <f t="shared" si="51"/>
        <v>13.8</v>
      </c>
      <c r="R94" s="22">
        <f t="shared" ca="1" si="52"/>
        <v>197.09759999999997</v>
      </c>
      <c r="S94" s="22">
        <f ca="1">IF(Q94="","",IF(Q94=0,0,SUMPRODUCT(OFFSET(M$18,MATCH(MIN(Q$18:Q$137),Q$18:Q$137,0),0,COUNT(M$18:M94)-MATCH(MIN(Q$18:Q$137),Q$18:Q$137,0),1),OFFSET(M$18,MATCH(MIN(Q$18:Q$137),Q$18:Q$137,0),1,COUNT(M$18:M94)-MATCH(MIN(Q$18:Q$137),Q$18:Q$137,0),1))*$T$6))</f>
        <v>285.30013680000013</v>
      </c>
      <c r="T94" s="22">
        <f t="shared" ca="1" si="53"/>
        <v>482.39773680000008</v>
      </c>
      <c r="V94" s="22">
        <f ca="1">IF(Q94="","",IF(Q94=0,0,SUMPRODUCT(OFFSET(M$18,MATCH(MIN(Q$18:Q$137),Q$18:Q$137,0),0,COUNT(M$18:M94)-MATCH(MIN(Q$18:Q$137),Q$18:Q$137,0),1),OFFSET(M$18,MATCH(MIN(Q$18:Q$137),Q$18:Q$137,0),2,COUNT(M$18:M94)-MATCH(MIN(Q$18:Q$137),Q$18:Q$137,0),1))*$T$6*$T$14))</f>
        <v>0</v>
      </c>
      <c r="W94" s="29"/>
      <c r="X94" s="23">
        <f t="shared" ca="1" si="54"/>
        <v>34.690389978593274</v>
      </c>
      <c r="Z94" s="15">
        <f t="shared" si="45"/>
        <v>16.45</v>
      </c>
      <c r="AA94" s="15">
        <f t="shared" si="46"/>
        <v>18.2</v>
      </c>
      <c r="AC94" s="15">
        <f t="shared" si="47"/>
        <v>74</v>
      </c>
      <c r="AD94" s="15">
        <f t="shared" si="48"/>
        <v>84</v>
      </c>
      <c r="AF94" s="15">
        <f t="shared" ca="1" si="49"/>
        <v>11</v>
      </c>
      <c r="AH94" s="15">
        <f t="shared" si="42"/>
        <v>3</v>
      </c>
      <c r="AI94" s="38">
        <f t="shared" ca="1" si="50"/>
        <v>31.465206329789819</v>
      </c>
      <c r="AJ94" s="29"/>
      <c r="AK94" s="29"/>
      <c r="AL94" s="29"/>
    </row>
    <row r="95" spans="1:38" x14ac:dyDescent="0.2">
      <c r="A95" s="15">
        <v>78</v>
      </c>
      <c r="B95" s="2">
        <f t="shared" si="35"/>
        <v>176.05</v>
      </c>
      <c r="C95" s="25">
        <v>17</v>
      </c>
      <c r="D95" s="25">
        <v>1.08</v>
      </c>
      <c r="E95" s="25">
        <v>25.34</v>
      </c>
      <c r="F95" s="3" t="str">
        <f t="shared" ca="1" si="36"/>
        <v>ИГЭ-3</v>
      </c>
      <c r="G95" s="30" t="str">
        <f t="shared" ca="1" si="37"/>
        <v>пыл.-глинист.</v>
      </c>
      <c r="I95" s="13">
        <f t="shared" ca="1" si="43"/>
        <v>1975</v>
      </c>
      <c r="J95" s="14">
        <f t="shared" ca="1" si="38"/>
        <v>0.83499999999999996</v>
      </c>
      <c r="L95" s="14">
        <f t="shared" ca="1" si="39"/>
        <v>0.93300000000000005</v>
      </c>
      <c r="M95" s="22">
        <f t="shared" ca="1" si="44"/>
        <v>4.7284439999999837</v>
      </c>
      <c r="N95" s="37">
        <f t="shared" ca="1" si="40"/>
        <v>1</v>
      </c>
      <c r="O95" s="37">
        <f t="shared" ca="1" si="41"/>
        <v>0</v>
      </c>
      <c r="Q95" s="22">
        <f t="shared" si="51"/>
        <v>14</v>
      </c>
      <c r="R95" s="22">
        <f t="shared" ca="1" si="52"/>
        <v>202.01781249999996</v>
      </c>
      <c r="S95" s="22">
        <f ca="1">IF(Q95="","",IF(Q95=0,0,SUMPRODUCT(OFFSET(M$18,MATCH(MIN(Q$18:Q$137),Q$18:Q$137,0),0,COUNT(M$18:M95)-MATCH(MIN(Q$18:Q$137),Q$18:Q$137,0),1),OFFSET(M$18,MATCH(MIN(Q$18:Q$137),Q$18:Q$137,0),1,COUNT(M$18:M95)-MATCH(MIN(Q$18:Q$137),Q$18:Q$137,0),1))*$T$6))</f>
        <v>291.9199584000001</v>
      </c>
      <c r="T95" s="22">
        <f t="shared" ca="1" si="53"/>
        <v>493.93777090000003</v>
      </c>
      <c r="V95" s="22">
        <f ca="1">IF(Q95="","",IF(Q95=0,0,SUMPRODUCT(OFFSET(M$18,MATCH(MIN(Q$18:Q$137),Q$18:Q$137,0),0,COUNT(M$18:M95)-MATCH(MIN(Q$18:Q$137),Q$18:Q$137,0),1),OFFSET(M$18,MATCH(MIN(Q$18:Q$137),Q$18:Q$137,0),2,COUNT(M$18:M95)-MATCH(MIN(Q$18:Q$137),Q$18:Q$137,0),1))*$T$6*$T$14))</f>
        <v>0</v>
      </c>
      <c r="W95" s="29"/>
      <c r="X95" s="23">
        <f t="shared" ca="1" si="54"/>
        <v>35.564098289500507</v>
      </c>
      <c r="Z95" s="15">
        <f t="shared" si="45"/>
        <v>16.649999999999999</v>
      </c>
      <c r="AA95" s="15">
        <f t="shared" si="46"/>
        <v>18.399999999999999</v>
      </c>
      <c r="AC95" s="15">
        <f t="shared" si="47"/>
        <v>75</v>
      </c>
      <c r="AD95" s="15">
        <f t="shared" si="48"/>
        <v>85</v>
      </c>
      <c r="AF95" s="15">
        <f t="shared" ca="1" si="49"/>
        <v>11</v>
      </c>
      <c r="AH95" s="15">
        <f t="shared" si="42"/>
        <v>3</v>
      </c>
      <c r="AI95" s="38">
        <f t="shared" ca="1" si="50"/>
        <v>32.257685523356471</v>
      </c>
      <c r="AJ95" s="29"/>
      <c r="AK95" s="29"/>
      <c r="AL95" s="29"/>
    </row>
    <row r="96" spans="1:38" x14ac:dyDescent="0.2">
      <c r="A96" s="15">
        <v>79</v>
      </c>
      <c r="B96" s="2">
        <f t="shared" si="35"/>
        <v>175.85</v>
      </c>
      <c r="C96" s="25">
        <v>17.2</v>
      </c>
      <c r="D96" s="25">
        <v>2.04</v>
      </c>
      <c r="E96" s="25">
        <v>27.65</v>
      </c>
      <c r="F96" s="3" t="str">
        <f t="shared" ca="1" si="36"/>
        <v>ИГЭ-3</v>
      </c>
      <c r="G96" s="30" t="str">
        <f t="shared" ca="1" si="37"/>
        <v>пыл.-глинист.</v>
      </c>
      <c r="I96" s="13">
        <f t="shared" ca="1" si="43"/>
        <v>2018</v>
      </c>
      <c r="J96" s="14">
        <f t="shared" ca="1" si="38"/>
        <v>0.83199999999999996</v>
      </c>
      <c r="L96" s="14">
        <f t="shared" ca="1" si="39"/>
        <v>0.90400000000000003</v>
      </c>
      <c r="M96" s="22">
        <f t="shared" ca="1" si="44"/>
        <v>4.8637819999999836</v>
      </c>
      <c r="N96" s="37">
        <f t="shared" ca="1" si="40"/>
        <v>1</v>
      </c>
      <c r="O96" s="37">
        <f t="shared" ca="1" si="41"/>
        <v>0</v>
      </c>
      <c r="Q96" s="22">
        <f t="shared" si="51"/>
        <v>14.2</v>
      </c>
      <c r="R96" s="22">
        <f t="shared" ca="1" si="52"/>
        <v>205.67455999999996</v>
      </c>
      <c r="S96" s="22">
        <f ca="1">IF(Q96="","",IF(Q96=0,0,SUMPRODUCT(OFFSET(M$18,MATCH(MIN(Q$18:Q$137),Q$18:Q$137,0),0,COUNT(M$18:M96)-MATCH(MIN(Q$18:Q$137),Q$18:Q$137,0),1),OFFSET(M$18,MATCH(MIN(Q$18:Q$137),Q$18:Q$137,0),1,COUNT(M$18:M96)-MATCH(MIN(Q$18:Q$137),Q$18:Q$137,0),1))*$T$6))</f>
        <v>298.72925320000013</v>
      </c>
      <c r="T96" s="22">
        <f t="shared" ca="1" si="53"/>
        <v>504.40381320000006</v>
      </c>
      <c r="V96" s="22">
        <f ca="1">IF(Q96="","",IF(Q96=0,0,SUMPRODUCT(OFFSET(M$18,MATCH(MIN(Q$18:Q$137),Q$18:Q$137,0),0,COUNT(M$18:M96)-MATCH(MIN(Q$18:Q$137),Q$18:Q$137,0),1),OFFSET(M$18,MATCH(MIN(Q$18:Q$137),Q$18:Q$137,0),2,COUNT(M$18:M96)-MATCH(MIN(Q$18:Q$137),Q$18:Q$137,0),1))*$T$6*$T$14))</f>
        <v>0</v>
      </c>
      <c r="W96" s="29"/>
      <c r="X96" s="23">
        <f t="shared" ca="1" si="54"/>
        <v>36.350223171253823</v>
      </c>
      <c r="Z96" s="15">
        <f t="shared" si="45"/>
        <v>16.849999999999998</v>
      </c>
      <c r="AA96" s="15">
        <f t="shared" si="46"/>
        <v>18.599999999999998</v>
      </c>
      <c r="AC96" s="15">
        <f t="shared" si="47"/>
        <v>76</v>
      </c>
      <c r="AD96" s="15">
        <f t="shared" si="48"/>
        <v>86</v>
      </c>
      <c r="AF96" s="15">
        <f t="shared" ca="1" si="49"/>
        <v>11</v>
      </c>
      <c r="AH96" s="15">
        <f t="shared" si="42"/>
        <v>3</v>
      </c>
      <c r="AI96" s="38">
        <f t="shared" ca="1" si="50"/>
        <v>32.970723964856084</v>
      </c>
      <c r="AJ96" s="29"/>
      <c r="AK96" s="29"/>
      <c r="AL96" s="29"/>
    </row>
    <row r="97" spans="1:38" x14ac:dyDescent="0.2">
      <c r="A97" s="15">
        <v>80</v>
      </c>
      <c r="B97" s="2">
        <f t="shared" si="35"/>
        <v>175.65</v>
      </c>
      <c r="C97" s="25">
        <v>17.399999999999999</v>
      </c>
      <c r="D97" s="25">
        <v>2.4</v>
      </c>
      <c r="E97" s="25">
        <v>23.04</v>
      </c>
      <c r="F97" s="3" t="str">
        <f t="shared" ca="1" si="36"/>
        <v>ИГЭ-3</v>
      </c>
      <c r="G97" s="30" t="str">
        <f t="shared" ca="1" si="37"/>
        <v>пыл.-глинист.</v>
      </c>
      <c r="I97" s="13">
        <f t="shared" ca="1" si="43"/>
        <v>2531</v>
      </c>
      <c r="J97" s="14">
        <f t="shared" ca="1" si="38"/>
        <v>0.79800000000000004</v>
      </c>
      <c r="L97" s="14">
        <f t="shared" ca="1" si="39"/>
        <v>0.96199999999999997</v>
      </c>
      <c r="M97" s="22">
        <f t="shared" ca="1" si="44"/>
        <v>4.7160079999999827</v>
      </c>
      <c r="N97" s="37">
        <f t="shared" ca="1" si="40"/>
        <v>1</v>
      </c>
      <c r="O97" s="37">
        <f t="shared" ca="1" si="41"/>
        <v>0</v>
      </c>
      <c r="Q97" s="22">
        <f t="shared" si="51"/>
        <v>14.4</v>
      </c>
      <c r="R97" s="22">
        <f t="shared" ca="1" si="52"/>
        <v>247.41790499999996</v>
      </c>
      <c r="S97" s="22">
        <f ca="1">IF(Q97="","",IF(Q97=0,0,SUMPRODUCT(OFFSET(M$18,MATCH(MIN(Q$18:Q$137),Q$18:Q$137,0),0,COUNT(M$18:M97)-MATCH(MIN(Q$18:Q$137),Q$18:Q$137,0),1),OFFSET(M$18,MATCH(MIN(Q$18:Q$137),Q$18:Q$137,0),1,COUNT(M$18:M97)-MATCH(MIN(Q$18:Q$137),Q$18:Q$137,0),1))*$T$6))</f>
        <v>305.33166440000008</v>
      </c>
      <c r="T97" s="22">
        <f t="shared" ca="1" si="53"/>
        <v>552.74956940000004</v>
      </c>
      <c r="V97" s="22">
        <f ca="1">IF(Q97="","",IF(Q97=0,0,SUMPRODUCT(OFFSET(M$18,MATCH(MIN(Q$18:Q$137),Q$18:Q$137,0),0,COUNT(M$18:M97)-MATCH(MIN(Q$18:Q$137),Q$18:Q$137,0),1),OFFSET(M$18,MATCH(MIN(Q$18:Q$137),Q$18:Q$137,0),2,COUNT(M$18:M97)-MATCH(MIN(Q$18:Q$137),Q$18:Q$137,0),1))*$T$6*$T$14))</f>
        <v>0</v>
      </c>
      <c r="W97" s="29"/>
      <c r="X97" s="23">
        <f t="shared" ca="1" si="54"/>
        <v>40.225417484199795</v>
      </c>
      <c r="Z97" s="15">
        <f t="shared" si="45"/>
        <v>17.049999999999997</v>
      </c>
      <c r="AA97" s="15">
        <f t="shared" si="46"/>
        <v>18.799999999999997</v>
      </c>
      <c r="AC97" s="15">
        <f t="shared" si="47"/>
        <v>77</v>
      </c>
      <c r="AD97" s="15">
        <f t="shared" si="48"/>
        <v>87</v>
      </c>
      <c r="AF97" s="15">
        <f t="shared" ca="1" si="49"/>
        <v>11</v>
      </c>
      <c r="AH97" s="15">
        <f t="shared" si="42"/>
        <v>3</v>
      </c>
      <c r="AI97" s="38">
        <f t="shared" ca="1" si="50"/>
        <v>36.48563944145107</v>
      </c>
      <c r="AJ97" s="29"/>
      <c r="AK97" s="29"/>
      <c r="AL97" s="29"/>
    </row>
    <row r="98" spans="1:38" x14ac:dyDescent="0.2">
      <c r="A98" s="15">
        <v>81</v>
      </c>
      <c r="B98" s="2">
        <f t="shared" si="35"/>
        <v>175.45</v>
      </c>
      <c r="C98" s="25">
        <v>17.600000000000001</v>
      </c>
      <c r="D98" s="25">
        <v>2.52</v>
      </c>
      <c r="E98" s="25">
        <v>25.34</v>
      </c>
      <c r="F98" s="3" t="str">
        <f t="shared" ca="1" si="36"/>
        <v>ИГЭ-3</v>
      </c>
      <c r="G98" s="30" t="str">
        <f t="shared" ca="1" si="37"/>
        <v>пыл.-глинист.</v>
      </c>
      <c r="I98" s="13">
        <f t="shared" ca="1" si="43"/>
        <v>3444</v>
      </c>
      <c r="J98" s="14">
        <f t="shared" ca="1" si="38"/>
        <v>0.74299999999999999</v>
      </c>
      <c r="L98" s="14">
        <f t="shared" ca="1" si="39"/>
        <v>0.93300000000000005</v>
      </c>
      <c r="M98" s="22">
        <f t="shared" ca="1" si="44"/>
        <v>4.5806700000000653</v>
      </c>
      <c r="N98" s="37">
        <f t="shared" ca="1" si="40"/>
        <v>1</v>
      </c>
      <c r="O98" s="37">
        <f t="shared" ca="1" si="41"/>
        <v>0</v>
      </c>
      <c r="Q98" s="22">
        <f t="shared" si="51"/>
        <v>14.6</v>
      </c>
      <c r="R98" s="22">
        <f t="shared" ca="1" si="52"/>
        <v>313.46426999999994</v>
      </c>
      <c r="S98" s="22">
        <f ca="1">IF(Q98="","",IF(Q98=0,0,SUMPRODUCT(OFFSET(M$18,MATCH(MIN(Q$18:Q$137),Q$18:Q$137,0),0,COUNT(M$18:M98)-MATCH(MIN(Q$18:Q$137),Q$18:Q$137,0),1),OFFSET(M$18,MATCH(MIN(Q$18:Q$137),Q$18:Q$137,0),1,COUNT(M$18:M98)-MATCH(MIN(Q$18:Q$137),Q$18:Q$137,0),1))*$T$6))</f>
        <v>311.74460240000019</v>
      </c>
      <c r="T98" s="22">
        <f t="shared" ca="1" si="53"/>
        <v>625.20887240000013</v>
      </c>
      <c r="V98" s="22">
        <f ca="1">IF(Q98="","",IF(Q98=0,0,SUMPRODUCT(OFFSET(M$18,MATCH(MIN(Q$18:Q$137),Q$18:Q$137,0),0,COUNT(M$18:M98)-MATCH(MIN(Q$18:Q$137),Q$18:Q$137,0),1),OFFSET(M$18,MATCH(MIN(Q$18:Q$137),Q$18:Q$137,0),2,COUNT(M$18:M98)-MATCH(MIN(Q$18:Q$137),Q$18:Q$137,0),1))*$T$6*$T$14))</f>
        <v>0</v>
      </c>
      <c r="W98" s="29"/>
      <c r="X98" s="23">
        <f t="shared" ca="1" si="54"/>
        <v>46.067058019368005</v>
      </c>
      <c r="Z98" s="15">
        <f t="shared" si="45"/>
        <v>17.25</v>
      </c>
      <c r="AA98" s="15">
        <f t="shared" si="46"/>
        <v>19</v>
      </c>
      <c r="AC98" s="15">
        <f t="shared" si="47"/>
        <v>79</v>
      </c>
      <c r="AD98" s="15">
        <f t="shared" si="48"/>
        <v>88</v>
      </c>
      <c r="AF98" s="15">
        <f t="shared" ca="1" si="49"/>
        <v>10</v>
      </c>
      <c r="AH98" s="15">
        <f t="shared" si="42"/>
        <v>3</v>
      </c>
      <c r="AI98" s="38">
        <f t="shared" ca="1" si="50"/>
        <v>41.784179609404092</v>
      </c>
      <c r="AJ98" s="29"/>
      <c r="AK98" s="29"/>
      <c r="AL98" s="29"/>
    </row>
    <row r="99" spans="1:38" x14ac:dyDescent="0.2">
      <c r="A99" s="15">
        <v>82</v>
      </c>
      <c r="B99" s="2">
        <f t="shared" si="35"/>
        <v>175.25</v>
      </c>
      <c r="C99" s="25">
        <v>17.8</v>
      </c>
      <c r="D99" s="25">
        <v>2.4</v>
      </c>
      <c r="E99" s="25">
        <v>23.04</v>
      </c>
      <c r="F99" s="3" t="str">
        <f t="shared" ca="1" si="36"/>
        <v>ИГЭ-3</v>
      </c>
      <c r="G99" s="30" t="str">
        <f t="shared" ca="1" si="37"/>
        <v>пыл.-глинист.</v>
      </c>
      <c r="I99" s="13">
        <f t="shared" ca="1" si="43"/>
        <v>3371</v>
      </c>
      <c r="J99" s="14">
        <f t="shared" ca="1" si="38"/>
        <v>0.748</v>
      </c>
      <c r="L99" s="14">
        <f t="shared" ca="1" si="39"/>
        <v>0.96199999999999997</v>
      </c>
      <c r="M99" s="22">
        <f t="shared" ca="1" si="44"/>
        <v>4.5806699999999836</v>
      </c>
      <c r="N99" s="37">
        <f t="shared" ca="1" si="40"/>
        <v>1</v>
      </c>
      <c r="O99" s="37">
        <f t="shared" ca="1" si="41"/>
        <v>0</v>
      </c>
      <c r="Q99" s="22">
        <f t="shared" si="51"/>
        <v>14.8</v>
      </c>
      <c r="R99" s="22">
        <f t="shared" ca="1" si="52"/>
        <v>308.88472999999993</v>
      </c>
      <c r="S99" s="22">
        <f ca="1">IF(Q99="","",IF(Q99=0,0,SUMPRODUCT(OFFSET(M$18,MATCH(MIN(Q$18:Q$137),Q$18:Q$137,0),0,COUNT(M$18:M99)-MATCH(MIN(Q$18:Q$137),Q$18:Q$137,0),1),OFFSET(M$18,MATCH(MIN(Q$18:Q$137),Q$18:Q$137,0),1,COUNT(M$18:M99)-MATCH(MIN(Q$18:Q$137),Q$18:Q$137,0),1))*$T$6))</f>
        <v>318.15754040000013</v>
      </c>
      <c r="T99" s="22">
        <f t="shared" ca="1" si="53"/>
        <v>627.04227040000001</v>
      </c>
      <c r="V99" s="22">
        <f ca="1">IF(Q99="","",IF(Q99=0,0,SUMPRODUCT(OFFSET(M$18,MATCH(MIN(Q$18:Q$137),Q$18:Q$137,0),0,COUNT(M$18:M99)-MATCH(MIN(Q$18:Q$137),Q$18:Q$137,0),1),OFFSET(M$18,MATCH(MIN(Q$18:Q$137),Q$18:Q$137,0),2,COUNT(M$18:M99)-MATCH(MIN(Q$18:Q$137),Q$18:Q$137,0),1))*$T$6*$T$14))</f>
        <v>0</v>
      </c>
      <c r="W99" s="29"/>
      <c r="X99" s="23">
        <f t="shared" ca="1" si="54"/>
        <v>46.149195598369005</v>
      </c>
      <c r="Z99" s="15">
        <f t="shared" si="45"/>
        <v>17.45</v>
      </c>
      <c r="AA99" s="15">
        <f t="shared" si="46"/>
        <v>19.2</v>
      </c>
      <c r="AC99" s="15">
        <f t="shared" si="47"/>
        <v>79</v>
      </c>
      <c r="AD99" s="15">
        <f t="shared" si="48"/>
        <v>89</v>
      </c>
      <c r="AF99" s="15">
        <f t="shared" ca="1" si="49"/>
        <v>11</v>
      </c>
      <c r="AH99" s="15">
        <f t="shared" si="42"/>
        <v>3</v>
      </c>
      <c r="AI99" s="38">
        <f t="shared" ca="1" si="50"/>
        <v>41.858680814847183</v>
      </c>
      <c r="AJ99" s="29"/>
      <c r="AK99" s="29"/>
      <c r="AL99" s="29"/>
    </row>
    <row r="100" spans="1:38" x14ac:dyDescent="0.2">
      <c r="A100" s="15">
        <v>83</v>
      </c>
      <c r="B100" s="2">
        <f t="shared" si="35"/>
        <v>175.05</v>
      </c>
      <c r="C100" s="25">
        <v>18</v>
      </c>
      <c r="D100" s="25">
        <v>2.16</v>
      </c>
      <c r="E100" s="25">
        <v>20.73</v>
      </c>
      <c r="F100" s="3" t="str">
        <f t="shared" ca="1" si="36"/>
        <v>ИГЭ-3</v>
      </c>
      <c r="G100" s="30" t="str">
        <f t="shared" ca="1" si="37"/>
        <v>пыл.-глинист.</v>
      </c>
      <c r="I100" s="13">
        <f t="shared" ca="1" si="43"/>
        <v>3393</v>
      </c>
      <c r="J100" s="14">
        <f t="shared" ca="1" si="38"/>
        <v>0.746</v>
      </c>
      <c r="L100" s="14">
        <f t="shared" ca="1" si="39"/>
        <v>0.99099999999999999</v>
      </c>
      <c r="M100" s="22">
        <f t="shared" ca="1" si="44"/>
        <v>4.2707909999999849</v>
      </c>
      <c r="N100" s="37">
        <f t="shared" ca="1" si="40"/>
        <v>1</v>
      </c>
      <c r="O100" s="37">
        <f t="shared" ca="1" si="41"/>
        <v>0</v>
      </c>
      <c r="Q100" s="22">
        <f t="shared" si="51"/>
        <v>15</v>
      </c>
      <c r="R100" s="22">
        <f t="shared" ca="1" si="52"/>
        <v>310.06930499999993</v>
      </c>
      <c r="S100" s="22">
        <f ca="1">IF(Q100="","",IF(Q100=0,0,SUMPRODUCT(OFFSET(M$18,MATCH(MIN(Q$18:Q$137),Q$18:Q$137,0),0,COUNT(M$18:M100)-MATCH(MIN(Q$18:Q$137),Q$18:Q$137,0),1),OFFSET(M$18,MATCH(MIN(Q$18:Q$137),Q$18:Q$137,0),1,COUNT(M$18:M100)-MATCH(MIN(Q$18:Q$137),Q$18:Q$137,0),1))*$T$6))</f>
        <v>324.13664780000011</v>
      </c>
      <c r="T100" s="22">
        <f t="shared" ca="1" si="53"/>
        <v>634.20595279999998</v>
      </c>
      <c r="V100" s="22">
        <f ca="1">IF(Q100="","",IF(Q100=0,0,SUMPRODUCT(OFFSET(M$18,MATCH(MIN(Q$18:Q$137),Q$18:Q$137,0),0,COUNT(M$18:M100)-MATCH(MIN(Q$18:Q$137),Q$18:Q$137,0),1),OFFSET(M$18,MATCH(MIN(Q$18:Q$137),Q$18:Q$137,0),2,COUNT(M$18:M100)-MATCH(MIN(Q$18:Q$137),Q$18:Q$137,0),1))*$T$6*$T$14))</f>
        <v>0</v>
      </c>
      <c r="W100" s="29"/>
      <c r="X100" s="23">
        <f t="shared" ca="1" si="54"/>
        <v>46.666014881753313</v>
      </c>
      <c r="Z100" s="15">
        <f t="shared" si="45"/>
        <v>17.649999999999999</v>
      </c>
      <c r="AA100" s="15">
        <f t="shared" si="46"/>
        <v>19.399999999999999</v>
      </c>
      <c r="AC100" s="15">
        <f t="shared" si="47"/>
        <v>80</v>
      </c>
      <c r="AD100" s="15">
        <f t="shared" si="48"/>
        <v>90</v>
      </c>
      <c r="AF100" s="15">
        <f t="shared" ca="1" si="49"/>
        <v>11</v>
      </c>
      <c r="AH100" s="15">
        <f t="shared" si="42"/>
        <v>3</v>
      </c>
      <c r="AI100" s="38">
        <f t="shared" ca="1" si="50"/>
        <v>42.327451139912313</v>
      </c>
      <c r="AJ100" s="29"/>
      <c r="AK100" s="29"/>
      <c r="AL100" s="29"/>
    </row>
    <row r="101" spans="1:38" x14ac:dyDescent="0.2">
      <c r="A101" s="15">
        <v>84</v>
      </c>
      <c r="B101" s="2">
        <f t="shared" si="35"/>
        <v>174.85</v>
      </c>
      <c r="C101" s="25">
        <v>18.2</v>
      </c>
      <c r="D101" s="25">
        <v>2.04</v>
      </c>
      <c r="E101" s="25">
        <v>18.43</v>
      </c>
      <c r="F101" s="3" t="str">
        <f t="shared" ca="1" si="36"/>
        <v>ИГЭ-3</v>
      </c>
      <c r="G101" s="30" t="str">
        <f t="shared" ca="1" si="37"/>
        <v>пыл.-глинист.</v>
      </c>
      <c r="I101" s="13">
        <f t="shared" ca="1" si="43"/>
        <v>3371</v>
      </c>
      <c r="J101" s="14">
        <f t="shared" ca="1" si="38"/>
        <v>0.748</v>
      </c>
      <c r="L101" s="14">
        <f t="shared" ca="1" si="39"/>
        <v>1</v>
      </c>
      <c r="M101" s="22">
        <f t="shared" ca="1" si="44"/>
        <v>3.897342999999986</v>
      </c>
      <c r="N101" s="37">
        <f t="shared" ca="1" si="40"/>
        <v>1</v>
      </c>
      <c r="O101" s="37">
        <f t="shared" ca="1" si="41"/>
        <v>0</v>
      </c>
      <c r="Q101" s="22">
        <f t="shared" si="51"/>
        <v>15.2</v>
      </c>
      <c r="R101" s="22">
        <f t="shared" ca="1" si="52"/>
        <v>308.88472999999993</v>
      </c>
      <c r="S101" s="22">
        <f ca="1">IF(Q101="","",IF(Q101=0,0,SUMPRODUCT(OFFSET(M$18,MATCH(MIN(Q$18:Q$137),Q$18:Q$137,0),0,COUNT(M$18:M101)-MATCH(MIN(Q$18:Q$137),Q$18:Q$137,0),1),OFFSET(M$18,MATCH(MIN(Q$18:Q$137),Q$18:Q$137,0),1,COUNT(M$18:M101)-MATCH(MIN(Q$18:Q$137),Q$18:Q$137,0),1))*$T$6))</f>
        <v>329.59292800000003</v>
      </c>
      <c r="T101" s="22">
        <f t="shared" ca="1" si="53"/>
        <v>638.47765800000002</v>
      </c>
      <c r="V101" s="22">
        <f ca="1">IF(Q101="","",IF(Q101=0,0,SUMPRODUCT(OFFSET(M$18,MATCH(MIN(Q$18:Q$137),Q$18:Q$137,0),0,COUNT(M$18:M101)-MATCH(MIN(Q$18:Q$137),Q$18:Q$137,0),1),OFFSET(M$18,MATCH(MIN(Q$18:Q$137),Q$18:Q$137,0),2,COUNT(M$18:M101)-MATCH(MIN(Q$18:Q$137),Q$18:Q$137,0),1))*$T$6*$T$14))</f>
        <v>0</v>
      </c>
      <c r="W101" s="29"/>
      <c r="X101" s="23">
        <f t="shared" ca="1" si="54"/>
        <v>46.94699504587156</v>
      </c>
      <c r="Z101" s="15">
        <f t="shared" si="45"/>
        <v>17.849999999999998</v>
      </c>
      <c r="AA101" s="15">
        <f t="shared" si="46"/>
        <v>19.599999999999998</v>
      </c>
      <c r="AC101" s="15">
        <f t="shared" si="47"/>
        <v>81</v>
      </c>
      <c r="AD101" s="15">
        <f t="shared" si="48"/>
        <v>91</v>
      </c>
      <c r="AF101" s="15">
        <f t="shared" ca="1" si="49"/>
        <v>11</v>
      </c>
      <c r="AH101" s="15">
        <f t="shared" si="42"/>
        <v>3</v>
      </c>
      <c r="AI101" s="38">
        <f t="shared" ca="1" si="50"/>
        <v>42.582308431629542</v>
      </c>
      <c r="AJ101" s="29"/>
      <c r="AK101" s="29"/>
      <c r="AL101" s="29"/>
    </row>
    <row r="102" spans="1:38" x14ac:dyDescent="0.2">
      <c r="A102" s="15">
        <v>85</v>
      </c>
      <c r="B102" s="2">
        <f t="shared" si="35"/>
        <v>174.65</v>
      </c>
      <c r="C102" s="25">
        <v>18.399999999999999</v>
      </c>
      <c r="D102" s="25">
        <v>2.16</v>
      </c>
      <c r="E102" s="25">
        <v>18.43</v>
      </c>
      <c r="F102" s="3" t="str">
        <f t="shared" ca="1" si="36"/>
        <v>ИГЭ-3</v>
      </c>
      <c r="G102" s="30" t="str">
        <f t="shared" ca="1" si="37"/>
        <v>пыл.-глинист.</v>
      </c>
      <c r="I102" s="13">
        <f t="shared" ca="1" si="43"/>
        <v>3327</v>
      </c>
      <c r="J102" s="14">
        <f t="shared" ca="1" si="38"/>
        <v>0.75</v>
      </c>
      <c r="L102" s="14">
        <f t="shared" ca="1" si="39"/>
        <v>1</v>
      </c>
      <c r="M102" s="22">
        <f t="shared" ca="1" si="44"/>
        <v>3.6859999999999871</v>
      </c>
      <c r="N102" s="37">
        <f t="shared" ca="1" si="40"/>
        <v>1</v>
      </c>
      <c r="O102" s="37">
        <f t="shared" ca="1" si="41"/>
        <v>0</v>
      </c>
      <c r="Q102" s="22">
        <f t="shared" si="51"/>
        <v>15.4</v>
      </c>
      <c r="R102" s="22">
        <f t="shared" ca="1" si="52"/>
        <v>305.66812499999997</v>
      </c>
      <c r="S102" s="22">
        <f ca="1">IF(Q102="","",IF(Q102=0,0,SUMPRODUCT(OFFSET(M$18,MATCH(MIN(Q$18:Q$137),Q$18:Q$137,0),0,COUNT(M$18:M102)-MATCH(MIN(Q$18:Q$137),Q$18:Q$137,0),1),OFFSET(M$18,MATCH(MIN(Q$18:Q$137),Q$18:Q$137,0),1,COUNT(M$18:M102)-MATCH(MIN(Q$18:Q$137),Q$18:Q$137,0),1))*$T$6))</f>
        <v>334.75332800000001</v>
      </c>
      <c r="T102" s="22">
        <f t="shared" ca="1" si="53"/>
        <v>640.42145299999993</v>
      </c>
      <c r="V102" s="22">
        <f ca="1">IF(Q102="","",IF(Q102=0,0,SUMPRODUCT(OFFSET(M$18,MATCH(MIN(Q$18:Q$137),Q$18:Q$137,0),0,COUNT(M$18:M102)-MATCH(MIN(Q$18:Q$137),Q$18:Q$137,0),1),OFFSET(M$18,MATCH(MIN(Q$18:Q$137),Q$18:Q$137,0),2,COUNT(M$18:M102)-MATCH(MIN(Q$18:Q$137),Q$18:Q$137,0),1))*$T$6*$T$14))</f>
        <v>0</v>
      </c>
      <c r="W102" s="29"/>
      <c r="X102" s="23">
        <f t="shared" ca="1" si="54"/>
        <v>47.038135438328226</v>
      </c>
      <c r="Z102" s="15">
        <f t="shared" si="45"/>
        <v>18.049999999999997</v>
      </c>
      <c r="AA102" s="15">
        <f t="shared" si="46"/>
        <v>19.799999999999997</v>
      </c>
      <c r="AC102" s="15">
        <f t="shared" si="47"/>
        <v>82</v>
      </c>
      <c r="AD102" s="15">
        <f t="shared" si="48"/>
        <v>92</v>
      </c>
      <c r="AF102" s="15">
        <f t="shared" ca="1" si="49"/>
        <v>11</v>
      </c>
      <c r="AH102" s="15">
        <f t="shared" si="42"/>
        <v>3</v>
      </c>
      <c r="AI102" s="38">
        <f t="shared" ca="1" si="50"/>
        <v>42.664975454265964</v>
      </c>
      <c r="AJ102" s="29"/>
      <c r="AK102" s="29"/>
      <c r="AL102" s="29"/>
    </row>
    <row r="103" spans="1:38" x14ac:dyDescent="0.2">
      <c r="A103" s="15">
        <v>86</v>
      </c>
      <c r="B103" s="2">
        <f t="shared" si="35"/>
        <v>174.45</v>
      </c>
      <c r="C103" s="25">
        <v>18.600000000000001</v>
      </c>
      <c r="D103" s="25">
        <v>2.2799999999999998</v>
      </c>
      <c r="E103" s="25">
        <v>18.43</v>
      </c>
      <c r="F103" s="3" t="str">
        <f t="shared" ca="1" si="36"/>
        <v>ИГЭ-3</v>
      </c>
      <c r="G103" s="30" t="str">
        <f t="shared" ca="1" si="37"/>
        <v>пыл.-глинист.</v>
      </c>
      <c r="I103" s="13">
        <f t="shared" ca="1" si="43"/>
        <v>3408</v>
      </c>
      <c r="J103" s="14">
        <f t="shared" ca="1" si="38"/>
        <v>0.746</v>
      </c>
      <c r="L103" s="14">
        <f t="shared" ca="1" si="39"/>
        <v>1</v>
      </c>
      <c r="M103" s="22">
        <f t="shared" ca="1" si="44"/>
        <v>3.6860000000000523</v>
      </c>
      <c r="N103" s="37">
        <f t="shared" ca="1" si="40"/>
        <v>1</v>
      </c>
      <c r="O103" s="37">
        <f t="shared" ca="1" si="41"/>
        <v>0</v>
      </c>
      <c r="Q103" s="22">
        <f t="shared" si="51"/>
        <v>15.6</v>
      </c>
      <c r="R103" s="22">
        <f t="shared" ca="1" si="52"/>
        <v>311.44007999999997</v>
      </c>
      <c r="S103" s="22">
        <f ca="1">IF(Q103="","",IF(Q103=0,0,SUMPRODUCT(OFFSET(M$18,MATCH(MIN(Q$18:Q$137),Q$18:Q$137,0),0,COUNT(M$18:M103)-MATCH(MIN(Q$18:Q$137),Q$18:Q$137,0),1),OFFSET(M$18,MATCH(MIN(Q$18:Q$137),Q$18:Q$137,0),1,COUNT(M$18:M103)-MATCH(MIN(Q$18:Q$137),Q$18:Q$137,0),1))*$T$6))</f>
        <v>339.91372800000011</v>
      </c>
      <c r="T103" s="22">
        <f t="shared" ca="1" si="53"/>
        <v>651.35380800000007</v>
      </c>
      <c r="V103" s="22">
        <f ca="1">IF(Q103="","",IF(Q103=0,0,SUMPRODUCT(OFFSET(M$18,MATCH(MIN(Q$18:Q$137),Q$18:Q$137,0),0,COUNT(M$18:M103)-MATCH(MIN(Q$18:Q$137),Q$18:Q$137,0),1),OFFSET(M$18,MATCH(MIN(Q$18:Q$137),Q$18:Q$137,0),2,COUNT(M$18:M103)-MATCH(MIN(Q$18:Q$137),Q$18:Q$137,0),1))*$T$6*$T$14))</f>
        <v>0</v>
      </c>
      <c r="W103" s="29"/>
      <c r="X103" s="23">
        <f t="shared" ca="1" si="54"/>
        <v>47.862287859327225</v>
      </c>
      <c r="Z103" s="15">
        <f t="shared" si="45"/>
        <v>18.25</v>
      </c>
      <c r="AA103" s="15">
        <f t="shared" si="46"/>
        <v>20</v>
      </c>
      <c r="AC103" s="15">
        <f t="shared" si="47"/>
        <v>84</v>
      </c>
      <c r="AD103" s="15">
        <f t="shared" si="48"/>
        <v>93</v>
      </c>
      <c r="AF103" s="15">
        <f t="shared" ca="1" si="49"/>
        <v>10</v>
      </c>
      <c r="AH103" s="15">
        <f t="shared" si="42"/>
        <v>3</v>
      </c>
      <c r="AI103" s="38">
        <f t="shared" ca="1" si="50"/>
        <v>43.412505994854627</v>
      </c>
      <c r="AJ103" s="29"/>
      <c r="AK103" s="29"/>
      <c r="AL103" s="29"/>
    </row>
    <row r="104" spans="1:38" x14ac:dyDescent="0.2">
      <c r="A104" s="15">
        <v>87</v>
      </c>
      <c r="B104" s="2">
        <f t="shared" si="35"/>
        <v>174.25</v>
      </c>
      <c r="C104" s="25">
        <v>18.8</v>
      </c>
      <c r="D104" s="25">
        <v>7.32</v>
      </c>
      <c r="E104" s="25">
        <v>36.86</v>
      </c>
      <c r="F104" s="3" t="str">
        <f t="shared" ca="1" si="36"/>
        <v>ИГЭ-3</v>
      </c>
      <c r="G104" s="30" t="str">
        <f t="shared" ca="1" si="37"/>
        <v>пыл.-глинист.</v>
      </c>
      <c r="I104" s="13">
        <f t="shared" ca="1" si="43"/>
        <v>3408</v>
      </c>
      <c r="J104" s="14">
        <f t="shared" ca="1" si="38"/>
        <v>0.746</v>
      </c>
      <c r="L104" s="14">
        <f t="shared" ca="1" si="39"/>
        <v>0.78900000000000003</v>
      </c>
      <c r="M104" s="22">
        <f t="shared" ca="1" si="44"/>
        <v>4.7512539999999834</v>
      </c>
      <c r="N104" s="37">
        <f t="shared" ca="1" si="40"/>
        <v>1</v>
      </c>
      <c r="O104" s="37">
        <f t="shared" ca="1" si="41"/>
        <v>0</v>
      </c>
      <c r="Q104" s="22">
        <f t="shared" si="51"/>
        <v>15.8</v>
      </c>
      <c r="R104" s="22">
        <f t="shared" ca="1" si="52"/>
        <v>311.44007999999997</v>
      </c>
      <c r="S104" s="22">
        <f ca="1">IF(Q104="","",IF(Q104=0,0,SUMPRODUCT(OFFSET(M$18,MATCH(MIN(Q$18:Q$137),Q$18:Q$137,0),0,COUNT(M$18:M104)-MATCH(MIN(Q$18:Q$137),Q$18:Q$137,0),1),OFFSET(M$18,MATCH(MIN(Q$18:Q$137),Q$18:Q$137,0),1,COUNT(M$18:M104)-MATCH(MIN(Q$18:Q$137),Q$18:Q$137,0),1))*$T$6))</f>
        <v>346.56548360000011</v>
      </c>
      <c r="T104" s="22">
        <f t="shared" ca="1" si="53"/>
        <v>658.00556360000007</v>
      </c>
      <c r="V104" s="22">
        <f ca="1">IF(Q104="","",IF(Q104=0,0,SUMPRODUCT(OFFSET(M$18,MATCH(MIN(Q$18:Q$137),Q$18:Q$137,0),0,COUNT(M$18:M104)-MATCH(MIN(Q$18:Q$137),Q$18:Q$137,0),1),OFFSET(M$18,MATCH(MIN(Q$18:Q$137),Q$18:Q$137,0),2,COUNT(M$18:M104)-MATCH(MIN(Q$18:Q$137),Q$18:Q$137,0),1))*$T$6*$T$14))</f>
        <v>0</v>
      </c>
      <c r="W104" s="29"/>
      <c r="X104" s="23">
        <f t="shared" ca="1" si="54"/>
        <v>48.337359799184505</v>
      </c>
      <c r="Z104" s="15">
        <f t="shared" si="45"/>
        <v>18.45</v>
      </c>
      <c r="AA104" s="15">
        <f t="shared" si="46"/>
        <v>20.2</v>
      </c>
      <c r="AC104" s="15">
        <f t="shared" si="47"/>
        <v>84</v>
      </c>
      <c r="AD104" s="15">
        <f t="shared" si="48"/>
        <v>93</v>
      </c>
      <c r="AF104" s="15">
        <f t="shared" ca="1" si="49"/>
        <v>10</v>
      </c>
      <c r="AH104" s="15">
        <f t="shared" si="42"/>
        <v>3</v>
      </c>
      <c r="AI104" s="38">
        <f t="shared" ca="1" si="50"/>
        <v>43.843410248693431</v>
      </c>
      <c r="AJ104" s="29"/>
      <c r="AK104" s="29"/>
      <c r="AL104" s="29"/>
    </row>
    <row r="105" spans="1:38" x14ac:dyDescent="0.2">
      <c r="A105" s="15">
        <v>88</v>
      </c>
      <c r="B105" s="2">
        <f t="shared" si="35"/>
        <v>174.05</v>
      </c>
      <c r="C105" s="25">
        <v>19</v>
      </c>
      <c r="D105" s="25">
        <v>9.1199999999999992</v>
      </c>
      <c r="E105" s="25">
        <v>73.72</v>
      </c>
      <c r="F105" s="3" t="str">
        <f t="shared" ca="1" si="36"/>
        <v>ИГЭ-3</v>
      </c>
      <c r="G105" s="30" t="str">
        <f t="shared" ca="1" si="37"/>
        <v>пыл.-глинист.</v>
      </c>
      <c r="I105" s="13">
        <f t="shared" ca="1" si="43"/>
        <v>3408</v>
      </c>
      <c r="J105" s="14">
        <f t="shared" ca="1" si="38"/>
        <v>0.746</v>
      </c>
      <c r="L105" s="14">
        <f t="shared" ca="1" si="39"/>
        <v>0.497</v>
      </c>
      <c r="M105" s="22">
        <f t="shared" ca="1" si="44"/>
        <v>6.5721379999999776</v>
      </c>
      <c r="N105" s="37">
        <f t="shared" ca="1" si="40"/>
        <v>1</v>
      </c>
      <c r="O105" s="37">
        <f t="shared" ca="1" si="41"/>
        <v>0</v>
      </c>
      <c r="Q105" s="22">
        <f t="shared" si="51"/>
        <v>16</v>
      </c>
      <c r="R105" s="22">
        <f t="shared" ca="1" si="52"/>
        <v>311.44007999999997</v>
      </c>
      <c r="S105" s="22">
        <f ca="1">IF(Q105="","",IF(Q105=0,0,SUMPRODUCT(OFFSET(M$18,MATCH(MIN(Q$18:Q$137),Q$18:Q$137,0),0,COUNT(M$18:M105)-MATCH(MIN(Q$18:Q$137),Q$18:Q$137,0),1),OFFSET(M$18,MATCH(MIN(Q$18:Q$137),Q$18:Q$137,0),1,COUNT(M$18:M105)-MATCH(MIN(Q$18:Q$137),Q$18:Q$137,0),1))*$T$6))</f>
        <v>355.76647680000008</v>
      </c>
      <c r="T105" s="22">
        <f t="shared" ca="1" si="53"/>
        <v>667.20655680000004</v>
      </c>
      <c r="V105" s="22">
        <f ca="1">IF(Q105="","",IF(Q105=0,0,SUMPRODUCT(OFFSET(M$18,MATCH(MIN(Q$18:Q$137),Q$18:Q$137,0),0,COUNT(M$18:M105)-MATCH(MIN(Q$18:Q$137),Q$18:Q$137,0),1),OFFSET(M$18,MATCH(MIN(Q$18:Q$137),Q$18:Q$137,0),2,COUNT(M$18:M105)-MATCH(MIN(Q$18:Q$137),Q$18:Q$137,0),1))*$T$6*$T$14))</f>
        <v>0</v>
      </c>
      <c r="W105" s="29"/>
      <c r="X105" s="23">
        <f t="shared" ca="1" si="54"/>
        <v>49.020320636085629</v>
      </c>
      <c r="Z105" s="15">
        <f t="shared" si="45"/>
        <v>18.649999999999999</v>
      </c>
      <c r="AA105" s="15">
        <f t="shared" si="46"/>
        <v>20.399999999999999</v>
      </c>
      <c r="AC105" s="15">
        <f t="shared" si="47"/>
        <v>85</v>
      </c>
      <c r="AD105" s="15">
        <f t="shared" si="48"/>
        <v>94</v>
      </c>
      <c r="AF105" s="15">
        <f t="shared" ca="1" si="49"/>
        <v>10</v>
      </c>
      <c r="AH105" s="15">
        <f t="shared" si="42"/>
        <v>3</v>
      </c>
      <c r="AI105" s="38">
        <f t="shared" ca="1" si="50"/>
        <v>44.462875860395137</v>
      </c>
      <c r="AJ105" s="29"/>
      <c r="AK105" s="29"/>
      <c r="AL105" s="29"/>
    </row>
    <row r="106" spans="1:38" x14ac:dyDescent="0.2">
      <c r="A106" s="15">
        <v>89</v>
      </c>
      <c r="B106" s="2">
        <f t="shared" si="35"/>
        <v>173.85</v>
      </c>
      <c r="C106" s="25">
        <v>19.2</v>
      </c>
      <c r="D106" s="25">
        <v>2.64</v>
      </c>
      <c r="E106" s="25">
        <v>62.2</v>
      </c>
      <c r="F106" s="3" t="str">
        <f t="shared" ca="1" si="36"/>
        <v>ИГЭ-3</v>
      </c>
      <c r="G106" s="30" t="str">
        <f t="shared" ca="1" si="37"/>
        <v>пыл.-глинист.</v>
      </c>
      <c r="I106" s="13">
        <f t="shared" ca="1" si="43"/>
        <v>3384</v>
      </c>
      <c r="J106" s="14">
        <f t="shared" ca="1" si="38"/>
        <v>0.747</v>
      </c>
      <c r="L106" s="14">
        <f t="shared" ca="1" si="39"/>
        <v>0.58399999999999996</v>
      </c>
      <c r="M106" s="22">
        <f t="shared" ca="1" si="44"/>
        <v>7.2963639999999739</v>
      </c>
      <c r="N106" s="37">
        <f t="shared" ca="1" si="40"/>
        <v>1</v>
      </c>
      <c r="O106" s="37">
        <f t="shared" ca="1" si="41"/>
        <v>0</v>
      </c>
      <c r="Q106" s="22">
        <f t="shared" si="51"/>
        <v>16.2</v>
      </c>
      <c r="R106" s="22">
        <f t="shared" ca="1" si="52"/>
        <v>309.66137999999995</v>
      </c>
      <c r="S106" s="22">
        <f ca="1">IF(Q106="","",IF(Q106=0,0,SUMPRODUCT(OFFSET(M$18,MATCH(MIN(Q$18:Q$137),Q$18:Q$137,0),0,COUNT(M$18:M106)-MATCH(MIN(Q$18:Q$137),Q$18:Q$137,0),1),OFFSET(M$18,MATCH(MIN(Q$18:Q$137),Q$18:Q$137,0),1,COUNT(M$18:M106)-MATCH(MIN(Q$18:Q$137),Q$18:Q$137,0),1))*$T$6))</f>
        <v>365.98138639999996</v>
      </c>
      <c r="T106" s="22">
        <f t="shared" ca="1" si="53"/>
        <v>675.64276639999991</v>
      </c>
      <c r="V106" s="22">
        <f ca="1">IF(Q106="","",IF(Q106=0,0,SUMPRODUCT(OFFSET(M$18,MATCH(MIN(Q$18:Q$137),Q$18:Q$137,0),0,COUNT(M$18:M106)-MATCH(MIN(Q$18:Q$137),Q$18:Q$137,0),1),OFFSET(M$18,MATCH(MIN(Q$18:Q$137),Q$18:Q$137,0),2,COUNT(M$18:M106)-MATCH(MIN(Q$18:Q$137),Q$18:Q$137,0),1))*$T$6*$T$14))</f>
        <v>0</v>
      </c>
      <c r="W106" s="29"/>
      <c r="X106" s="23">
        <f t="shared" ca="1" si="54"/>
        <v>49.640913799184496</v>
      </c>
      <c r="Z106" s="15">
        <f t="shared" si="45"/>
        <v>18.849999999999998</v>
      </c>
      <c r="AA106" s="15">
        <f t="shared" si="46"/>
        <v>20.599999999999998</v>
      </c>
      <c r="AC106" s="15">
        <f t="shared" si="47"/>
        <v>86</v>
      </c>
      <c r="AD106" s="15">
        <f t="shared" si="48"/>
        <v>95</v>
      </c>
      <c r="AF106" s="15">
        <f t="shared" ca="1" si="49"/>
        <v>10</v>
      </c>
      <c r="AH106" s="15">
        <f t="shared" si="42"/>
        <v>3</v>
      </c>
      <c r="AI106" s="38">
        <f t="shared" ca="1" si="50"/>
        <v>45.025772153455335</v>
      </c>
    </row>
    <row r="107" spans="1:38" x14ac:dyDescent="0.2">
      <c r="A107" s="15">
        <v>90</v>
      </c>
      <c r="B107" s="2">
        <f t="shared" si="35"/>
        <v>173.65</v>
      </c>
      <c r="C107" s="25">
        <v>19.399999999999999</v>
      </c>
      <c r="D107" s="25">
        <v>2.2799999999999998</v>
      </c>
      <c r="E107" s="25">
        <v>32.25</v>
      </c>
      <c r="F107" s="3" t="str">
        <f t="shared" ca="1" si="36"/>
        <v>ИГЭ-3</v>
      </c>
      <c r="G107" s="30" t="str">
        <f t="shared" ca="1" si="37"/>
        <v>пыл.-глинист.</v>
      </c>
      <c r="I107" s="13">
        <f t="shared" ca="1" si="43"/>
        <v>3336</v>
      </c>
      <c r="J107" s="14">
        <f t="shared" ca="1" si="38"/>
        <v>0.75</v>
      </c>
      <c r="L107" s="14">
        <f t="shared" ca="1" si="39"/>
        <v>0.84699999999999998</v>
      </c>
      <c r="M107" s="22">
        <f t="shared" ca="1" si="44"/>
        <v>6.3640549999999765</v>
      </c>
      <c r="N107" s="37">
        <f t="shared" ca="1" si="40"/>
        <v>1</v>
      </c>
      <c r="O107" s="37">
        <f t="shared" ca="1" si="41"/>
        <v>0</v>
      </c>
      <c r="Q107" s="22">
        <f t="shared" si="51"/>
        <v>16.399999999999999</v>
      </c>
      <c r="R107" s="22">
        <f t="shared" ca="1" si="52"/>
        <v>306.49499999999995</v>
      </c>
      <c r="S107" s="22">
        <f ca="1">IF(Q107="","",IF(Q107=0,0,SUMPRODUCT(OFFSET(M$18,MATCH(MIN(Q$18:Q$137),Q$18:Q$137,0),0,COUNT(M$18:M107)-MATCH(MIN(Q$18:Q$137),Q$18:Q$137,0),1),OFFSET(M$18,MATCH(MIN(Q$18:Q$137),Q$18:Q$137,0),1,COUNT(M$18:M107)-MATCH(MIN(Q$18:Q$137),Q$18:Q$137,0),1))*$T$6))</f>
        <v>374.89106339999989</v>
      </c>
      <c r="T107" s="22">
        <f t="shared" ca="1" si="53"/>
        <v>681.38606339999978</v>
      </c>
      <c r="V107" s="22">
        <f ca="1">IF(Q107="","",IF(Q107=0,0,SUMPRODUCT(OFFSET(M$18,MATCH(MIN(Q$18:Q$137),Q$18:Q$137,0),0,COUNT(M$18:M107)-MATCH(MIN(Q$18:Q$137),Q$18:Q$137,0),1),OFFSET(M$18,MATCH(MIN(Q$18:Q$137),Q$18:Q$137,0),2,COUNT(M$18:M107)-MATCH(MIN(Q$18:Q$137),Q$18:Q$137,0),1))*$T$6*$T$14))</f>
        <v>0</v>
      </c>
      <c r="W107" s="29"/>
      <c r="X107" s="23">
        <f t="shared" ca="1" si="54"/>
        <v>50.041901449541271</v>
      </c>
      <c r="Z107" s="15">
        <f t="shared" si="45"/>
        <v>19.049999999999997</v>
      </c>
      <c r="AA107" s="15">
        <f t="shared" si="46"/>
        <v>20.799999999999997</v>
      </c>
      <c r="AC107" s="15">
        <f t="shared" si="47"/>
        <v>87</v>
      </c>
      <c r="AD107" s="15">
        <f t="shared" si="48"/>
        <v>96</v>
      </c>
      <c r="AF107" s="15">
        <f t="shared" ca="1" si="49"/>
        <v>10</v>
      </c>
      <c r="AH107" s="15">
        <f t="shared" si="42"/>
        <v>3</v>
      </c>
      <c r="AI107" s="38">
        <f t="shared" ca="1" si="50"/>
        <v>45.389479772826554</v>
      </c>
    </row>
    <row r="108" spans="1:38" x14ac:dyDescent="0.2">
      <c r="A108" s="15">
        <v>91</v>
      </c>
      <c r="B108" s="2">
        <f t="shared" si="35"/>
        <v>173.45</v>
      </c>
      <c r="C108" s="25">
        <v>19.600000000000001</v>
      </c>
      <c r="D108" s="25">
        <v>2.16</v>
      </c>
      <c r="E108" s="25">
        <v>39.17</v>
      </c>
      <c r="F108" s="3" t="str">
        <f t="shared" ca="1" si="36"/>
        <v>ИГЭ-3</v>
      </c>
      <c r="G108" s="30" t="str">
        <f t="shared" ca="1" si="37"/>
        <v>пыл.-глинист.</v>
      </c>
      <c r="I108" s="13">
        <f t="shared" ca="1" si="43"/>
        <v>2076</v>
      </c>
      <c r="J108" s="14">
        <f t="shared" ca="1" si="38"/>
        <v>0.82799999999999996</v>
      </c>
      <c r="L108" s="14">
        <f t="shared" ca="1" si="39"/>
        <v>0.76</v>
      </c>
      <c r="M108" s="22">
        <f t="shared" ca="1" si="44"/>
        <v>5.7084950000000809</v>
      </c>
      <c r="N108" s="37">
        <f t="shared" ca="1" si="40"/>
        <v>1</v>
      </c>
      <c r="O108" s="37">
        <f t="shared" ca="1" si="41"/>
        <v>0</v>
      </c>
      <c r="Q108" s="22">
        <f t="shared" si="51"/>
        <v>16.600000000000001</v>
      </c>
      <c r="R108" s="22">
        <f t="shared" ca="1" si="52"/>
        <v>210.56867999999997</v>
      </c>
      <c r="S108" s="22">
        <f ca="1">IF(Q108="","",IF(Q108=0,0,SUMPRODUCT(OFFSET(M$18,MATCH(MIN(Q$18:Q$137),Q$18:Q$137,0),0,COUNT(M$18:M108)-MATCH(MIN(Q$18:Q$137),Q$18:Q$137,0),1),OFFSET(M$18,MATCH(MIN(Q$18:Q$137),Q$18:Q$137,0),1,COUNT(M$18:M108)-MATCH(MIN(Q$18:Q$137),Q$18:Q$137,0),1))*$T$6))</f>
        <v>382.88295640000001</v>
      </c>
      <c r="T108" s="22">
        <f t="shared" ca="1" si="53"/>
        <v>593.45163639999998</v>
      </c>
      <c r="V108" s="22">
        <f ca="1">IF(Q108="","",IF(Q108=0,0,SUMPRODUCT(OFFSET(M$18,MATCH(MIN(Q$18:Q$137),Q$18:Q$137,0),0,COUNT(M$18:M108)-MATCH(MIN(Q$18:Q$137),Q$18:Q$137,0),1),OFFSET(M$18,MATCH(MIN(Q$18:Q$137),Q$18:Q$137,0),2,COUNT(M$18:M108)-MATCH(MIN(Q$18:Q$137),Q$18:Q$137,0),1))*$T$6*$T$14))</f>
        <v>0</v>
      </c>
      <c r="W108" s="29"/>
      <c r="X108" s="23">
        <f t="shared" ca="1" si="54"/>
        <v>42.80352322833842</v>
      </c>
      <c r="Z108" s="15">
        <f t="shared" si="45"/>
        <v>19.25</v>
      </c>
      <c r="AA108" s="15">
        <f t="shared" si="46"/>
        <v>21</v>
      </c>
      <c r="AC108" s="15">
        <f t="shared" si="47"/>
        <v>89</v>
      </c>
      <c r="AD108" s="15">
        <f t="shared" si="48"/>
        <v>98</v>
      </c>
      <c r="AF108" s="15">
        <f t="shared" ca="1" si="49"/>
        <v>10</v>
      </c>
      <c r="AH108" s="15">
        <f t="shared" si="42"/>
        <v>3</v>
      </c>
      <c r="AI108" s="38">
        <f t="shared" ca="1" si="50"/>
        <v>38.824057349966822</v>
      </c>
    </row>
    <row r="109" spans="1:38" x14ac:dyDescent="0.2">
      <c r="A109" s="15">
        <v>92</v>
      </c>
      <c r="B109" s="2">
        <f t="shared" si="35"/>
        <v>173.25</v>
      </c>
      <c r="C109" s="25">
        <v>19.8</v>
      </c>
      <c r="D109" s="25">
        <v>2.04</v>
      </c>
      <c r="E109" s="25">
        <v>39.17</v>
      </c>
      <c r="F109" s="3" t="str">
        <f t="shared" ca="1" si="36"/>
        <v>ИГЭ-3</v>
      </c>
      <c r="G109" s="30" t="str">
        <f t="shared" ca="1" si="37"/>
        <v>пыл.-глинист.</v>
      </c>
      <c r="I109" s="13">
        <f t="shared" ca="1" si="43"/>
        <v>2076</v>
      </c>
      <c r="J109" s="14">
        <f t="shared" ca="1" si="38"/>
        <v>0.82799999999999996</v>
      </c>
      <c r="L109" s="14">
        <f t="shared" ca="1" si="39"/>
        <v>0.76</v>
      </c>
      <c r="M109" s="22">
        <f t="shared" ca="1" si="44"/>
        <v>5.9538399999999791</v>
      </c>
      <c r="N109" s="37">
        <f t="shared" ca="1" si="40"/>
        <v>1</v>
      </c>
      <c r="O109" s="37">
        <f t="shared" ca="1" si="41"/>
        <v>0</v>
      </c>
      <c r="Q109" s="22">
        <f t="shared" si="51"/>
        <v>16.8</v>
      </c>
      <c r="R109" s="22">
        <f t="shared" ca="1" si="52"/>
        <v>210.56867999999997</v>
      </c>
      <c r="S109" s="22">
        <f ca="1">IF(Q109="","",IF(Q109=0,0,SUMPRODUCT(OFFSET(M$18,MATCH(MIN(Q$18:Q$137),Q$18:Q$137,0),0,COUNT(M$18:M109)-MATCH(MIN(Q$18:Q$137),Q$18:Q$137,0),1),OFFSET(M$18,MATCH(MIN(Q$18:Q$137),Q$18:Q$137,0),1,COUNT(M$18:M109)-MATCH(MIN(Q$18:Q$137),Q$18:Q$137,0),1))*$T$6))</f>
        <v>391.21833239999995</v>
      </c>
      <c r="T109" s="22">
        <f t="shared" ca="1" si="53"/>
        <v>601.78701239999987</v>
      </c>
      <c r="V109" s="22">
        <f ca="1">IF(Q109="","",IF(Q109=0,0,SUMPRODUCT(OFFSET(M$18,MATCH(MIN(Q$18:Q$137),Q$18:Q$137,0),0,COUNT(M$18:M109)-MATCH(MIN(Q$18:Q$137),Q$18:Q$137,0),1),OFFSET(M$18,MATCH(MIN(Q$18:Q$137),Q$18:Q$137,0),2,COUNT(M$18:M109)-MATCH(MIN(Q$18:Q$137),Q$18:Q$137,0),1))*$T$6*$T$14))</f>
        <v>0</v>
      </c>
      <c r="W109" s="29"/>
      <c r="X109" s="23">
        <f t="shared" ca="1" si="54"/>
        <v>43.415893467889894</v>
      </c>
      <c r="Z109" s="15">
        <f t="shared" si="45"/>
        <v>19.45</v>
      </c>
      <c r="AA109" s="15">
        <f t="shared" si="46"/>
        <v>21.2</v>
      </c>
      <c r="AC109" s="15">
        <f t="shared" si="47"/>
        <v>89</v>
      </c>
      <c r="AD109" s="15">
        <f t="shared" si="48"/>
        <v>98</v>
      </c>
      <c r="AF109" s="15">
        <f t="shared" ca="1" si="49"/>
        <v>10</v>
      </c>
      <c r="AH109" s="15">
        <f t="shared" si="42"/>
        <v>3</v>
      </c>
      <c r="AI109" s="38">
        <f t="shared" ca="1" si="50"/>
        <v>39.379495208970432</v>
      </c>
    </row>
    <row r="110" spans="1:38" x14ac:dyDescent="0.2">
      <c r="A110" s="15">
        <v>93</v>
      </c>
      <c r="B110" s="2">
        <f t="shared" si="35"/>
        <v>173.05</v>
      </c>
      <c r="C110" s="25">
        <v>20</v>
      </c>
      <c r="D110" s="25">
        <v>2.04</v>
      </c>
      <c r="E110" s="25">
        <v>36.86</v>
      </c>
      <c r="F110" s="3" t="str">
        <f t="shared" ca="1" si="36"/>
        <v>ИГЭ-3</v>
      </c>
      <c r="G110" s="30" t="str">
        <f t="shared" ca="1" si="37"/>
        <v>пыл.-глинист.</v>
      </c>
      <c r="I110" s="13">
        <f t="shared" ca="1" si="43"/>
        <v>2076</v>
      </c>
      <c r="J110" s="14">
        <f t="shared" ca="1" si="38"/>
        <v>0.82799999999999996</v>
      </c>
      <c r="L110" s="14">
        <f t="shared" ca="1" si="39"/>
        <v>0.78900000000000003</v>
      </c>
      <c r="M110" s="22">
        <f t="shared" ca="1" si="44"/>
        <v>5.8851739999999797</v>
      </c>
      <c r="N110" s="37">
        <f t="shared" ca="1" si="40"/>
        <v>1</v>
      </c>
      <c r="O110" s="37">
        <f t="shared" ca="1" si="41"/>
        <v>0</v>
      </c>
      <c r="Q110" s="22">
        <f t="shared" si="51"/>
        <v>17</v>
      </c>
      <c r="R110" s="22">
        <f t="shared" ca="1" si="52"/>
        <v>210.56867999999997</v>
      </c>
      <c r="S110" s="22">
        <f ca="1">IF(Q110="","",IF(Q110=0,0,SUMPRODUCT(OFFSET(M$18,MATCH(MIN(Q$18:Q$137),Q$18:Q$137,0),0,COUNT(M$18:M110)-MATCH(MIN(Q$18:Q$137),Q$18:Q$137,0),1),OFFSET(M$18,MATCH(MIN(Q$18:Q$137),Q$18:Q$137,0),1,COUNT(M$18:M110)-MATCH(MIN(Q$18:Q$137),Q$18:Q$137,0),1))*$T$6))</f>
        <v>399.45757599999996</v>
      </c>
      <c r="T110" s="22">
        <f t="shared" ca="1" si="53"/>
        <v>610.02625599999988</v>
      </c>
      <c r="V110" s="22">
        <f ca="1">IF(Q110="","",IF(Q110=0,0,SUMPRODUCT(OFFSET(M$18,MATCH(MIN(Q$18:Q$137),Q$18:Q$137,0),0,COUNT(M$18:M110)-MATCH(MIN(Q$18:Q$137),Q$18:Q$137,0),1),OFFSET(M$18,MATCH(MIN(Q$18:Q$137),Q$18:Q$137,0),2,COUNT(M$18:M110)-MATCH(MIN(Q$18:Q$137),Q$18:Q$137,0),1))*$T$6*$T$14))</f>
        <v>0</v>
      </c>
      <c r="W110" s="29"/>
      <c r="X110" s="23">
        <f t="shared" ca="1" si="54"/>
        <v>44.020424164118232</v>
      </c>
      <c r="Z110" s="15">
        <f t="shared" si="45"/>
        <v>19.649999999999999</v>
      </c>
      <c r="AA110" s="15">
        <f t="shared" si="46"/>
        <v>21.4</v>
      </c>
      <c r="AC110" s="15">
        <f t="shared" si="47"/>
        <v>90</v>
      </c>
      <c r="AD110" s="15">
        <f t="shared" si="48"/>
        <v>99</v>
      </c>
      <c r="AF110" s="15">
        <f t="shared" ca="1" si="49"/>
        <v>10</v>
      </c>
      <c r="AH110" s="15">
        <f t="shared" si="42"/>
        <v>3</v>
      </c>
      <c r="AI110" s="38">
        <f t="shared" ca="1" si="50"/>
        <v>39.9278223710823</v>
      </c>
    </row>
    <row r="111" spans="1:38" x14ac:dyDescent="0.2">
      <c r="A111" s="15">
        <v>94</v>
      </c>
      <c r="B111" s="2">
        <f t="shared" si="35"/>
        <v>172.85</v>
      </c>
      <c r="C111" s="25">
        <v>20.2</v>
      </c>
      <c r="D111" s="25">
        <v>2.04</v>
      </c>
      <c r="E111" s="25">
        <v>25.34</v>
      </c>
      <c r="F111" s="3" t="str">
        <f t="shared" ca="1" si="36"/>
        <v>ИГЭ-3</v>
      </c>
      <c r="G111" s="30" t="str">
        <f t="shared" ca="1" si="37"/>
        <v>пыл.-глинист.</v>
      </c>
      <c r="I111" s="13">
        <f t="shared" ca="1" si="43"/>
        <v>2112</v>
      </c>
      <c r="J111" s="14">
        <f t="shared" ca="1" si="38"/>
        <v>0.82499999999999996</v>
      </c>
      <c r="L111" s="14">
        <f t="shared" ca="1" si="39"/>
        <v>0.93300000000000005</v>
      </c>
      <c r="M111" s="22">
        <f t="shared" ca="1" si="44"/>
        <v>5.2724759999999815</v>
      </c>
      <c r="N111" s="37">
        <f t="shared" ca="1" si="40"/>
        <v>1</v>
      </c>
      <c r="O111" s="37">
        <f t="shared" ca="1" si="41"/>
        <v>0</v>
      </c>
      <c r="Q111" s="22">
        <f t="shared" si="51"/>
        <v>17.2</v>
      </c>
      <c r="R111" s="22">
        <f t="shared" ca="1" si="52"/>
        <v>213.44399999999996</v>
      </c>
      <c r="S111" s="22">
        <f ca="1">IF(Q111="","",IF(Q111=0,0,SUMPRODUCT(OFFSET(M$18,MATCH(MIN(Q$18:Q$137),Q$18:Q$137,0),0,COUNT(M$18:M111)-MATCH(MIN(Q$18:Q$137),Q$18:Q$137,0),1),OFFSET(M$18,MATCH(MIN(Q$18:Q$137),Q$18:Q$137,0),1,COUNT(M$18:M111)-MATCH(MIN(Q$18:Q$137),Q$18:Q$137,0),1))*$T$6))</f>
        <v>406.83904239999998</v>
      </c>
      <c r="T111" s="22">
        <f t="shared" ca="1" si="53"/>
        <v>620.28304239999989</v>
      </c>
      <c r="V111" s="22">
        <f ca="1">IF(Q111="","",IF(Q111=0,0,SUMPRODUCT(OFFSET(M$18,MATCH(MIN(Q$18:Q$137),Q$18:Q$137,0),0,COUNT(M$18:M111)-MATCH(MIN(Q$18:Q$137),Q$18:Q$137,0),1),OFFSET(M$18,MATCH(MIN(Q$18:Q$137),Q$18:Q$137,0),2,COUNT(M$18:M111)-MATCH(MIN(Q$18:Q$137),Q$18:Q$137,0),1))*$T$6*$T$14))</f>
        <v>0</v>
      </c>
      <c r="W111" s="29"/>
      <c r="X111" s="23">
        <f t="shared" ca="1" si="54"/>
        <v>44.789484344546374</v>
      </c>
      <c r="Z111" s="15">
        <f t="shared" si="45"/>
        <v>19.849999999999998</v>
      </c>
      <c r="AA111" s="15">
        <f t="shared" si="46"/>
        <v>21.599999999999998</v>
      </c>
      <c r="AC111" s="15">
        <f t="shared" si="47"/>
        <v>91</v>
      </c>
      <c r="AD111" s="15">
        <f t="shared" si="48"/>
        <v>100</v>
      </c>
      <c r="AF111" s="15">
        <f t="shared" ca="1" si="49"/>
        <v>10</v>
      </c>
      <c r="AH111" s="15">
        <f t="shared" si="42"/>
        <v>3</v>
      </c>
      <c r="AI111" s="38">
        <f t="shared" ca="1" si="50"/>
        <v>40.625382625438895</v>
      </c>
    </row>
    <row r="112" spans="1:38" x14ac:dyDescent="0.2">
      <c r="A112" s="15">
        <v>95</v>
      </c>
      <c r="B112" s="2">
        <f t="shared" si="35"/>
        <v>172.65</v>
      </c>
      <c r="C112" s="25">
        <v>20.399999999999999</v>
      </c>
      <c r="D112" s="25">
        <v>1.92</v>
      </c>
      <c r="E112" s="25">
        <v>29.95</v>
      </c>
      <c r="F112" s="3" t="str">
        <f t="shared" ca="1" si="36"/>
        <v>ИГЭ-3</v>
      </c>
      <c r="G112" s="30" t="str">
        <f t="shared" ca="1" si="37"/>
        <v>пыл.-глинист.</v>
      </c>
      <c r="I112" s="13">
        <f t="shared" ca="1" si="43"/>
        <v>2160</v>
      </c>
      <c r="J112" s="14">
        <f t="shared" ca="1" si="38"/>
        <v>0.82199999999999995</v>
      </c>
      <c r="L112" s="14">
        <f t="shared" ca="1" si="39"/>
        <v>0.876</v>
      </c>
      <c r="M112" s="22">
        <f t="shared" ca="1" si="44"/>
        <v>4.9878419999999828</v>
      </c>
      <c r="N112" s="37">
        <f t="shared" ca="1" si="40"/>
        <v>1</v>
      </c>
      <c r="O112" s="37">
        <f t="shared" ca="1" si="41"/>
        <v>0</v>
      </c>
      <c r="Q112" s="22">
        <f t="shared" si="51"/>
        <v>17.399999999999999</v>
      </c>
      <c r="R112" s="22">
        <f t="shared" ca="1" si="52"/>
        <v>217.50119999999998</v>
      </c>
      <c r="S112" s="22">
        <f ca="1">IF(Q112="","",IF(Q112=0,0,SUMPRODUCT(OFFSET(M$18,MATCH(MIN(Q$18:Q$137),Q$18:Q$137,0),0,COUNT(M$18:M112)-MATCH(MIN(Q$18:Q$137),Q$18:Q$137,0),1),OFFSET(M$18,MATCH(MIN(Q$18:Q$137),Q$18:Q$137,0),1,COUNT(M$18:M112)-MATCH(MIN(Q$18:Q$137),Q$18:Q$137,0),1))*$T$6))</f>
        <v>413.82202119999994</v>
      </c>
      <c r="T112" s="22">
        <f t="shared" ca="1" si="53"/>
        <v>631.32322119999992</v>
      </c>
      <c r="V112" s="22">
        <f ca="1">IF(Q112="","",IF(Q112=0,0,SUMPRODUCT(OFFSET(M$18,MATCH(MIN(Q$18:Q$137),Q$18:Q$137,0),0,COUNT(M$18:M112)-MATCH(MIN(Q$18:Q$137),Q$18:Q$137,0),1),OFFSET(M$18,MATCH(MIN(Q$18:Q$137),Q$18:Q$137,0),2,COUNT(M$18:M112)-MATCH(MIN(Q$18:Q$137),Q$18:Q$137,0),1))*$T$6*$T$14))</f>
        <v>0</v>
      </c>
      <c r="W112" s="29"/>
      <c r="X112" s="23">
        <f t="shared" ca="1" si="54"/>
        <v>45.622429735983687</v>
      </c>
      <c r="Z112" s="15">
        <f t="shared" si="45"/>
        <v>20.049999999999997</v>
      </c>
      <c r="AA112" s="15">
        <f t="shared" si="46"/>
        <v>21.799999999999997</v>
      </c>
      <c r="AC112" s="15">
        <f t="shared" si="47"/>
        <v>92</v>
      </c>
      <c r="AD112" s="15">
        <f t="shared" si="48"/>
        <v>101</v>
      </c>
      <c r="AF112" s="15">
        <f t="shared" ca="1" si="49"/>
        <v>10</v>
      </c>
      <c r="AH112" s="15">
        <f t="shared" si="42"/>
        <v>3</v>
      </c>
      <c r="AI112" s="38">
        <f t="shared" ca="1" si="50"/>
        <v>41.380888649418324</v>
      </c>
    </row>
    <row r="113" spans="1:35" x14ac:dyDescent="0.2">
      <c r="A113" s="15">
        <v>96</v>
      </c>
      <c r="B113" s="2">
        <f t="shared" si="35"/>
        <v>172.45</v>
      </c>
      <c r="C113" s="25">
        <v>20.6</v>
      </c>
      <c r="D113" s="25">
        <v>1.8</v>
      </c>
      <c r="E113" s="25">
        <v>32.25</v>
      </c>
      <c r="F113" s="3" t="str">
        <f t="shared" ca="1" si="36"/>
        <v>ИГЭ-3</v>
      </c>
      <c r="G113" s="30" t="str">
        <f t="shared" ca="1" si="37"/>
        <v>пыл.-глинист.</v>
      </c>
      <c r="I113" s="13">
        <f t="shared" ca="1" si="43"/>
        <v>2280</v>
      </c>
      <c r="J113" s="14">
        <f t="shared" ca="1" si="38"/>
        <v>0.81399999999999995</v>
      </c>
      <c r="L113" s="14">
        <f t="shared" ca="1" si="39"/>
        <v>0.84699999999999998</v>
      </c>
      <c r="M113" s="22">
        <f t="shared" ca="1" si="44"/>
        <v>5.3551950000000756</v>
      </c>
      <c r="N113" s="37">
        <f t="shared" ca="1" si="40"/>
        <v>1</v>
      </c>
      <c r="O113" s="37">
        <f t="shared" ca="1" si="41"/>
        <v>0</v>
      </c>
      <c r="Q113" s="22">
        <f t="shared" si="51"/>
        <v>17.600000000000001</v>
      </c>
      <c r="R113" s="22">
        <f t="shared" ca="1" si="52"/>
        <v>227.35019999999994</v>
      </c>
      <c r="S113" s="22">
        <f ca="1">IF(Q113="","",IF(Q113=0,0,SUMPRODUCT(OFFSET(M$18,MATCH(MIN(Q$18:Q$137),Q$18:Q$137,0),0,COUNT(M$18:M113)-MATCH(MIN(Q$18:Q$137),Q$18:Q$137,0),1),OFFSET(M$18,MATCH(MIN(Q$18:Q$137),Q$18:Q$137,0),1,COUNT(M$18:M113)-MATCH(MIN(Q$18:Q$137),Q$18:Q$137,0),1))*$T$6))</f>
        <v>421.31929420000012</v>
      </c>
      <c r="T113" s="22">
        <f t="shared" ca="1" si="53"/>
        <v>648.66949420000003</v>
      </c>
      <c r="V113" s="22">
        <f ca="1">IF(Q113="","",IF(Q113=0,0,SUMPRODUCT(OFFSET(M$18,MATCH(MIN(Q$18:Q$137),Q$18:Q$137,0),0,COUNT(M$18:M113)-MATCH(MIN(Q$18:Q$137),Q$18:Q$137,0),1),OFFSET(M$18,MATCH(MIN(Q$18:Q$137),Q$18:Q$137,0),2,COUNT(M$18:M113)-MATCH(MIN(Q$18:Q$137),Q$18:Q$137,0),1))*$T$6*$T$14))</f>
        <v>0</v>
      </c>
      <c r="W113" s="29"/>
      <c r="X113" s="23">
        <f t="shared" ca="1" si="54"/>
        <v>46.969633573904176</v>
      </c>
      <c r="Z113" s="15">
        <f t="shared" si="45"/>
        <v>20.25</v>
      </c>
      <c r="AA113" s="15">
        <f t="shared" si="46"/>
        <v>22</v>
      </c>
      <c r="AC113" s="15">
        <f t="shared" si="47"/>
        <v>94</v>
      </c>
      <c r="AD113" s="15">
        <f t="shared" si="48"/>
        <v>103</v>
      </c>
      <c r="AF113" s="15">
        <f t="shared" ca="1" si="49"/>
        <v>10</v>
      </c>
      <c r="AH113" s="15">
        <f t="shared" si="42"/>
        <v>3</v>
      </c>
      <c r="AI113" s="38">
        <f t="shared" ca="1" si="50"/>
        <v>42.602842243904014</v>
      </c>
    </row>
    <row r="114" spans="1:35" x14ac:dyDescent="0.2">
      <c r="A114" s="15">
        <v>97</v>
      </c>
      <c r="B114" s="2">
        <f t="shared" ref="B114:B137" si="55">IF(C114="","",ROUND($D$6-C114,2))</f>
        <v>172.25</v>
      </c>
      <c r="C114" s="25">
        <v>20.8</v>
      </c>
      <c r="D114" s="25">
        <v>1.92</v>
      </c>
      <c r="E114" s="25">
        <v>29.95</v>
      </c>
      <c r="F114" s="3" t="str">
        <f t="shared" ref="F114:F137" ca="1" si="56">IF(C114="","",OFFSET($C$5,MATCH(B114,D$6:D$15,-1),0,1,1))</f>
        <v>ИГЭ-3</v>
      </c>
      <c r="G114" s="30" t="str">
        <f t="shared" ref="G114:G137" ca="1" si="57">IF(C114="","",OFFSET($E$5,MATCH(B114,D$6:D$15,-1),0,1,1))</f>
        <v>пыл.-глинист.</v>
      </c>
      <c r="I114" s="13">
        <f t="shared" ca="1" si="43"/>
        <v>2280</v>
      </c>
      <c r="J114" s="14">
        <f t="shared" ref="J114:J137" ca="1" si="58">IF(I114="","",IF(I114&lt;=1000,0.9,IF(I114&lt;=2500,ROUND(0.967-0.000067*I114,3),IF(I114&lt;=5000,ROUND(0.95-0.00006*I114,3),IF(I114&lt;=7500,ROUND(0.85-0.00004*I114,3),IF(I114&lt;=10000,ROUND(0.85-0.00004*I114,3),IF(I114&lt;=15000,ROUND(0.65-0.00002*I114,3),IF(I114&lt;=30000,0.5-0.00001*I114,0.2))))))))</f>
        <v>0.81399999999999995</v>
      </c>
      <c r="L114" s="14">
        <f t="shared" ref="L114:L137" ca="1" si="59">IF(G114="","",IF(G114="песчаный",IF(E114&lt;=20,0.75,IF(E114&lt;=40,ROUND(0.9-0.0075*E114,3),IF(E114&lt;=120,ROUND(0.7-0.0025*E114,3),0.4))),IF(E114&lt;=20,1,IF(E114&lt;=40,ROUND(1.25-0.0125*E114,3),IF(E114&lt;=80,ROUND(1.05-0.0075*E114,3),IF(E114&lt;=100,ROUND(0.65-0.0025*E114,3),IF(E114&lt;=120,ROUND(0.9-0.005*E114,3),0.3)))))))</f>
        <v>0.876</v>
      </c>
      <c r="M114" s="22">
        <f t="shared" ca="1" si="44"/>
        <v>5.3551949999999806</v>
      </c>
      <c r="N114" s="37">
        <f t="shared" ref="N114:N137" ca="1" si="60">IF(C114="","",IF(OFFSET($C$5,MATCH(B114,D$6:D$15,-1),4,1,1)="",1,0))</f>
        <v>1</v>
      </c>
      <c r="O114" s="37">
        <f t="shared" ref="O114:O137" ca="1" si="61">IF(C114="","",IF(OFFSET($C$5,MATCH(B114,D$6:D$15,-1),4,1,1)="тип II",1,0))</f>
        <v>0</v>
      </c>
      <c r="Q114" s="22">
        <f t="shared" si="51"/>
        <v>17.8</v>
      </c>
      <c r="R114" s="22">
        <f t="shared" ca="1" si="52"/>
        <v>227.35019999999994</v>
      </c>
      <c r="S114" s="22">
        <f ca="1">IF(Q114="","",IF(Q114=0,0,SUMPRODUCT(OFFSET(M$18,MATCH(MIN(Q$18:Q$137),Q$18:Q$137,0),0,COUNT(M$18:M114)-MATCH(MIN(Q$18:Q$137),Q$18:Q$137,0),1),OFFSET(M$18,MATCH(MIN(Q$18:Q$137),Q$18:Q$137,0),1,COUNT(M$18:M114)-MATCH(MIN(Q$18:Q$137),Q$18:Q$137,0),1))*$T$6))</f>
        <v>428.81656720000007</v>
      </c>
      <c r="T114" s="22">
        <f t="shared" ca="1" si="53"/>
        <v>656.16676719999998</v>
      </c>
      <c r="V114" s="22">
        <f ca="1">IF(Q114="","",IF(Q114=0,0,SUMPRODUCT(OFFSET(M$18,MATCH(MIN(Q$18:Q$137),Q$18:Q$137,0),0,COUNT(M$18:M114)-MATCH(MIN(Q$18:Q$137),Q$18:Q$137,0),1),OFFSET(M$18,MATCH(MIN(Q$18:Q$137),Q$18:Q$137,0),2,COUNT(M$18:M114)-MATCH(MIN(Q$18:Q$137),Q$18:Q$137,0),1))*$T$6*$T$14))</f>
        <v>0</v>
      </c>
      <c r="W114" s="29"/>
      <c r="X114" s="23">
        <f t="shared" ca="1" si="54"/>
        <v>47.513656983690112</v>
      </c>
      <c r="Z114" s="15">
        <f t="shared" si="45"/>
        <v>20.45</v>
      </c>
      <c r="AA114" s="15">
        <f t="shared" si="46"/>
        <v>22.2</v>
      </c>
      <c r="AC114" s="15">
        <f t="shared" si="47"/>
        <v>94</v>
      </c>
      <c r="AD114" s="15">
        <f t="shared" si="48"/>
        <v>103</v>
      </c>
      <c r="AF114" s="15">
        <f t="shared" ca="1" si="49"/>
        <v>10</v>
      </c>
      <c r="AH114" s="15">
        <f t="shared" ref="AH114:AH137" si="62">MATCH(B114,D$6:D$15,-1)</f>
        <v>3</v>
      </c>
      <c r="AI114" s="38">
        <f t="shared" ca="1" si="50"/>
        <v>43.096287513551125</v>
      </c>
    </row>
    <row r="115" spans="1:35" x14ac:dyDescent="0.2">
      <c r="A115" s="15">
        <v>98</v>
      </c>
      <c r="B115" s="2">
        <f t="shared" si="55"/>
        <v>172.05</v>
      </c>
      <c r="C115" s="25">
        <v>21</v>
      </c>
      <c r="D115" s="25">
        <v>1.92</v>
      </c>
      <c r="E115" s="25">
        <v>29.95</v>
      </c>
      <c r="F115" s="3" t="str">
        <f t="shared" ca="1" si="56"/>
        <v>ИГЭ-5</v>
      </c>
      <c r="G115" s="30" t="str">
        <f t="shared" ca="1" si="57"/>
        <v>пыл.-глинист.</v>
      </c>
      <c r="I115" s="13">
        <f t="shared" ref="I115:I137" ca="1" si="63">IF(D115="","",ROUND(AVERAGE(OFFSET($D$17,MATCH(MAX(FLOOR(C115-$T$5,(C115-C114)),C$18),C$18:C$137),0,MATCH(MIN(CEILING(C115+4*$T$5,(C115-C114)),C$137),C$18:C$137)-MATCH(MAX(FLOOR(C115-$T$5,(C115-C114)),C$18),C$18:C$137)+1,1))*1000,0))</f>
        <v>2340</v>
      </c>
      <c r="J115" s="14">
        <f t="shared" ca="1" si="58"/>
        <v>0.81</v>
      </c>
      <c r="L115" s="14">
        <f t="shared" ca="1" si="59"/>
        <v>0.876</v>
      </c>
      <c r="M115" s="22">
        <f t="shared" ref="M115:M137" ca="1" si="64">IF(L115="","",(C115-C114)*SUMPRODUCT(E114:E115,L114:L115)/2)</f>
        <v>5.247239999999981</v>
      </c>
      <c r="N115" s="37">
        <f t="shared" ca="1" si="60"/>
        <v>1</v>
      </c>
      <c r="O115" s="37">
        <f t="shared" ca="1" si="61"/>
        <v>0</v>
      </c>
      <c r="Q115" s="22">
        <f t="shared" si="51"/>
        <v>18</v>
      </c>
      <c r="R115" s="22">
        <f t="shared" ca="1" si="52"/>
        <v>232.18649999999997</v>
      </c>
      <c r="S115" s="22">
        <f ca="1">IF(Q115="","",IF(Q115=0,0,SUMPRODUCT(OFFSET(M$18,MATCH(MIN(Q$18:Q$137),Q$18:Q$137,0),0,COUNT(M$18:M115)-MATCH(MIN(Q$18:Q$137),Q$18:Q$137,0),1),OFFSET(M$18,MATCH(MIN(Q$18:Q$137),Q$18:Q$137,0),1,COUNT(M$18:M115)-MATCH(MIN(Q$18:Q$137),Q$18:Q$137,0),1))*$T$6))</f>
        <v>436.16270320000001</v>
      </c>
      <c r="T115" s="22">
        <f t="shared" ca="1" si="53"/>
        <v>668.34920319999992</v>
      </c>
      <c r="V115" s="22">
        <f ca="1">IF(Q115="","",IF(Q115=0,0,SUMPRODUCT(OFFSET(M$18,MATCH(MIN(Q$18:Q$137),Q$18:Q$137,0),0,COUNT(M$18:M115)-MATCH(MIN(Q$18:Q$137),Q$18:Q$137,0),1),OFFSET(M$18,MATCH(MIN(Q$18:Q$137),Q$18:Q$137,0),2,COUNT(M$18:M115)-MATCH(MIN(Q$18:Q$137),Q$18:Q$137,0),1))*$T$6*$T$14))</f>
        <v>0</v>
      </c>
      <c r="W115" s="29"/>
      <c r="X115" s="23">
        <f t="shared" ca="1" si="54"/>
        <v>48.439752809378177</v>
      </c>
      <c r="Z115" s="15">
        <f t="shared" ref="Z115:Z137" si="65">C115-T$5</f>
        <v>20.65</v>
      </c>
      <c r="AA115" s="15">
        <f t="shared" ref="AA115:AA137" si="66">C115+4*T$5</f>
        <v>22.4</v>
      </c>
      <c r="AC115" s="15">
        <f t="shared" ref="AC115:AC137" si="67">MATCH(MAX(FLOOR(C115-$T$5,(C115-C114)),C$18),C$18:C$137)</f>
        <v>95</v>
      </c>
      <c r="AD115" s="15">
        <f t="shared" ref="AD115:AD137" si="68">MATCH(MIN(CEILING(C115+4*$T$5,(C115-C114)),C$137),C$18:C$137)</f>
        <v>104</v>
      </c>
      <c r="AF115" s="15">
        <f t="shared" ref="AF115:AF137" ca="1" si="69">COUNT(OFFSET($D$17,AC115,0,AD115-AC115+1,1))</f>
        <v>10</v>
      </c>
      <c r="AH115" s="15">
        <f t="shared" si="62"/>
        <v>4</v>
      </c>
      <c r="AI115" s="38">
        <f t="shared" ca="1" si="50"/>
        <v>43.936283727327151</v>
      </c>
    </row>
    <row r="116" spans="1:35" x14ac:dyDescent="0.2">
      <c r="A116" s="15">
        <v>99</v>
      </c>
      <c r="B116" s="2">
        <f t="shared" si="55"/>
        <v>171.85</v>
      </c>
      <c r="C116" s="25">
        <v>21.2</v>
      </c>
      <c r="D116" s="25">
        <v>2.64</v>
      </c>
      <c r="E116" s="25">
        <v>13.82</v>
      </c>
      <c r="F116" s="3" t="str">
        <f t="shared" ca="1" si="56"/>
        <v>ИГЭ-5</v>
      </c>
      <c r="G116" s="30" t="str">
        <f t="shared" ca="1" si="57"/>
        <v>пыл.-глинист.</v>
      </c>
      <c r="I116" s="13">
        <f t="shared" ca="1" si="63"/>
        <v>2388</v>
      </c>
      <c r="J116" s="14">
        <f t="shared" ca="1" si="58"/>
        <v>0.80700000000000005</v>
      </c>
      <c r="L116" s="14">
        <f t="shared" ca="1" si="59"/>
        <v>1</v>
      </c>
      <c r="M116" s="22">
        <f t="shared" ca="1" si="64"/>
        <v>4.0056199999999862</v>
      </c>
      <c r="N116" s="37">
        <f t="shared" ca="1" si="60"/>
        <v>1</v>
      </c>
      <c r="O116" s="37">
        <f t="shared" ca="1" si="61"/>
        <v>0</v>
      </c>
      <c r="Q116" s="22">
        <f t="shared" si="51"/>
        <v>18.2</v>
      </c>
      <c r="R116" s="22">
        <f t="shared" ca="1" si="52"/>
        <v>236.07171</v>
      </c>
      <c r="S116" s="22">
        <f ca="1">IF(Q116="","",IF(Q116=0,0,SUMPRODUCT(OFFSET(M$18,MATCH(MIN(Q$18:Q$137),Q$18:Q$137,0),0,COUNT(M$18:M116)-MATCH(MIN(Q$18:Q$137),Q$18:Q$137,0),1),OFFSET(M$18,MATCH(MIN(Q$18:Q$137),Q$18:Q$137,0),1,COUNT(M$18:M116)-MATCH(MIN(Q$18:Q$137),Q$18:Q$137,0),1))*$T$6))</f>
        <v>441.77057120000001</v>
      </c>
      <c r="T116" s="22">
        <f t="shared" ca="1" si="53"/>
        <v>677.8422812</v>
      </c>
      <c r="V116" s="22">
        <f ca="1">IF(Q116="","",IF(Q116=0,0,SUMPRODUCT(OFFSET(M$18,MATCH(MIN(Q$18:Q$137),Q$18:Q$137,0),0,COUNT(M$18:M116)-MATCH(MIN(Q$18:Q$137),Q$18:Q$137,0),1),OFFSET(M$18,MATCH(MIN(Q$18:Q$137),Q$18:Q$137,0),2,COUNT(M$18:M116)-MATCH(MIN(Q$18:Q$137),Q$18:Q$137,0),1))*$T$6*$T$14))</f>
        <v>0</v>
      </c>
      <c r="W116" s="29"/>
      <c r="X116" s="23">
        <f t="shared" ca="1" si="54"/>
        <v>49.146532997961259</v>
      </c>
      <c r="Z116" s="15">
        <f t="shared" si="65"/>
        <v>20.849999999999998</v>
      </c>
      <c r="AA116" s="15">
        <f t="shared" si="66"/>
        <v>22.599999999999998</v>
      </c>
      <c r="AC116" s="15">
        <f t="shared" si="67"/>
        <v>96</v>
      </c>
      <c r="AD116" s="15">
        <f t="shared" si="68"/>
        <v>105</v>
      </c>
      <c r="AF116" s="15">
        <f t="shared" ca="1" si="69"/>
        <v>10</v>
      </c>
      <c r="AH116" s="15">
        <f t="shared" si="62"/>
        <v>4</v>
      </c>
      <c r="AI116" s="38">
        <f t="shared" ca="1" si="50"/>
        <v>44.577354193162144</v>
      </c>
    </row>
    <row r="117" spans="1:35" x14ac:dyDescent="0.2">
      <c r="A117" s="15">
        <v>100</v>
      </c>
      <c r="B117" s="2">
        <f t="shared" si="55"/>
        <v>171.65</v>
      </c>
      <c r="C117" s="25">
        <v>21.4</v>
      </c>
      <c r="D117" s="25">
        <v>2.64</v>
      </c>
      <c r="E117" s="25">
        <v>36.86</v>
      </c>
      <c r="F117" s="3" t="str">
        <f t="shared" ca="1" si="56"/>
        <v>ИГЭ-5</v>
      </c>
      <c r="G117" s="30" t="str">
        <f t="shared" ca="1" si="57"/>
        <v>пыл.-глинист.</v>
      </c>
      <c r="I117" s="13">
        <f t="shared" ca="1" si="63"/>
        <v>2448</v>
      </c>
      <c r="J117" s="14">
        <f t="shared" ca="1" si="58"/>
        <v>0.80300000000000005</v>
      </c>
      <c r="L117" s="14">
        <f t="shared" ca="1" si="59"/>
        <v>0.78900000000000003</v>
      </c>
      <c r="M117" s="22">
        <f t="shared" ca="1" si="64"/>
        <v>4.2902539999999849</v>
      </c>
      <c r="N117" s="37">
        <f t="shared" ca="1" si="60"/>
        <v>1</v>
      </c>
      <c r="O117" s="37">
        <f t="shared" ca="1" si="61"/>
        <v>0</v>
      </c>
      <c r="Q117" s="22">
        <f t="shared" si="51"/>
        <v>18.399999999999999</v>
      </c>
      <c r="R117" s="22">
        <f t="shared" ca="1" si="52"/>
        <v>240.80363999999997</v>
      </c>
      <c r="S117" s="22">
        <f ca="1">IF(Q117="","",IF(Q117=0,0,SUMPRODUCT(OFFSET(M$18,MATCH(MIN(Q$18:Q$137),Q$18:Q$137,0),0,COUNT(M$18:M117)-MATCH(MIN(Q$18:Q$137),Q$18:Q$137,0),1),OFFSET(M$18,MATCH(MIN(Q$18:Q$137),Q$18:Q$137,0),1,COUNT(M$18:M117)-MATCH(MIN(Q$18:Q$137),Q$18:Q$137,0),1))*$T$6))</f>
        <v>447.77692680000001</v>
      </c>
      <c r="T117" s="22">
        <f t="shared" ca="1" si="53"/>
        <v>688.58056680000004</v>
      </c>
      <c r="V117" s="22">
        <f ca="1">IF(Q117="","",IF(Q117=0,0,SUMPRODUCT(OFFSET(M$18,MATCH(MIN(Q$18:Q$137),Q$18:Q$137,0),0,COUNT(M$18:M117)-MATCH(MIN(Q$18:Q$137),Q$18:Q$137,0),1),OFFSET(M$18,MATCH(MIN(Q$18:Q$137),Q$18:Q$137,0),2,COUNT(M$18:M117)-MATCH(MIN(Q$18:Q$137),Q$18:Q$137,0),1))*$T$6*$T$14))</f>
        <v>0</v>
      </c>
      <c r="W117" s="29"/>
      <c r="X117" s="23">
        <f t="shared" ca="1" si="54"/>
        <v>49.954859168195725</v>
      </c>
      <c r="Z117" s="15">
        <f t="shared" si="65"/>
        <v>21.049999999999997</v>
      </c>
      <c r="AA117" s="15">
        <f t="shared" si="66"/>
        <v>22.799999999999997</v>
      </c>
      <c r="AC117" s="15">
        <f t="shared" si="67"/>
        <v>97</v>
      </c>
      <c r="AD117" s="15">
        <f t="shared" si="68"/>
        <v>106</v>
      </c>
      <c r="AF117" s="15">
        <f t="shared" ca="1" si="69"/>
        <v>10</v>
      </c>
      <c r="AH117" s="15">
        <f t="shared" si="62"/>
        <v>4</v>
      </c>
      <c r="AI117" s="38">
        <f t="shared" ca="1" si="50"/>
        <v>45.310529857773908</v>
      </c>
    </row>
    <row r="118" spans="1:35" x14ac:dyDescent="0.2">
      <c r="A118" s="15">
        <v>101</v>
      </c>
      <c r="B118" s="2">
        <f t="shared" si="55"/>
        <v>171.45</v>
      </c>
      <c r="C118" s="25">
        <v>21.6</v>
      </c>
      <c r="D118" s="25">
        <v>2.64</v>
      </c>
      <c r="E118" s="25">
        <v>29.95</v>
      </c>
      <c r="F118" s="3" t="str">
        <f t="shared" ca="1" si="56"/>
        <v>ИГЭ-5</v>
      </c>
      <c r="G118" s="30" t="str">
        <f t="shared" ca="1" si="57"/>
        <v>пыл.-глинист.</v>
      </c>
      <c r="I118" s="13">
        <f t="shared" ca="1" si="63"/>
        <v>2604</v>
      </c>
      <c r="J118" s="14">
        <f t="shared" ca="1" si="58"/>
        <v>0.79400000000000004</v>
      </c>
      <c r="L118" s="14">
        <f t="shared" ca="1" si="59"/>
        <v>0.876</v>
      </c>
      <c r="M118" s="22">
        <f t="shared" ca="1" si="64"/>
        <v>5.5318740000000792</v>
      </c>
      <c r="N118" s="37">
        <f t="shared" ca="1" si="60"/>
        <v>1</v>
      </c>
      <c r="O118" s="37">
        <f t="shared" ca="1" si="61"/>
        <v>0</v>
      </c>
      <c r="Q118" s="22">
        <f t="shared" si="51"/>
        <v>18.600000000000001</v>
      </c>
      <c r="R118" s="22">
        <f t="shared" ca="1" si="52"/>
        <v>253.27805999999998</v>
      </c>
      <c r="S118" s="22">
        <f ca="1">IF(Q118="","",IF(Q118=0,0,SUMPRODUCT(OFFSET(M$18,MATCH(MIN(Q$18:Q$137),Q$18:Q$137,0),0,COUNT(M$18:M118)-MATCH(MIN(Q$18:Q$137),Q$18:Q$137,0),1),OFFSET(M$18,MATCH(MIN(Q$18:Q$137),Q$18:Q$137,0),1,COUNT(M$18:M118)-MATCH(MIN(Q$18:Q$137),Q$18:Q$137,0),1))*$T$6))</f>
        <v>455.52155040000008</v>
      </c>
      <c r="T118" s="22">
        <f t="shared" ca="1" si="53"/>
        <v>708.79961040000012</v>
      </c>
      <c r="V118" s="22">
        <f ca="1">IF(Q118="","",IF(Q118=0,0,SUMPRODUCT(OFFSET(M$18,MATCH(MIN(Q$18:Q$137),Q$18:Q$137,0),0,COUNT(M$18:M118)-MATCH(MIN(Q$18:Q$137),Q$18:Q$137,0),1),OFFSET(M$18,MATCH(MIN(Q$18:Q$137),Q$18:Q$137,0),2,COUNT(M$18:M118)-MATCH(MIN(Q$18:Q$137),Q$18:Q$137,0),1))*$T$6*$T$14))</f>
        <v>0</v>
      </c>
      <c r="W118" s="29"/>
      <c r="X118" s="23">
        <f t="shared" ca="1" si="54"/>
        <v>51.536335837920497</v>
      </c>
      <c r="Z118" s="15">
        <f t="shared" si="65"/>
        <v>21.25</v>
      </c>
      <c r="AA118" s="15">
        <f t="shared" si="66"/>
        <v>23</v>
      </c>
      <c r="AC118" s="15">
        <f t="shared" si="67"/>
        <v>99</v>
      </c>
      <c r="AD118" s="15">
        <f t="shared" si="68"/>
        <v>108</v>
      </c>
      <c r="AF118" s="15">
        <f t="shared" ca="1" si="69"/>
        <v>10</v>
      </c>
      <c r="AH118" s="15">
        <f t="shared" si="62"/>
        <v>4</v>
      </c>
      <c r="AI118" s="38">
        <f t="shared" ca="1" si="50"/>
        <v>46.744975816707935</v>
      </c>
    </row>
    <row r="119" spans="1:35" x14ac:dyDescent="0.2">
      <c r="A119" s="15">
        <v>102</v>
      </c>
      <c r="B119" s="2">
        <f t="shared" si="55"/>
        <v>171.25</v>
      </c>
      <c r="C119" s="25">
        <v>21.8</v>
      </c>
      <c r="D119" s="25">
        <v>2.64</v>
      </c>
      <c r="E119" s="25">
        <v>36.86</v>
      </c>
      <c r="F119" s="3" t="str">
        <f t="shared" ca="1" si="56"/>
        <v>ИГЭ-5</v>
      </c>
      <c r="G119" s="30" t="str">
        <f t="shared" ca="1" si="57"/>
        <v>пыл.-глинист.</v>
      </c>
      <c r="I119" s="13">
        <f t="shared" ca="1" si="63"/>
        <v>2604</v>
      </c>
      <c r="J119" s="14">
        <f t="shared" ca="1" si="58"/>
        <v>0.79400000000000004</v>
      </c>
      <c r="L119" s="14">
        <f t="shared" ca="1" si="59"/>
        <v>0.78900000000000003</v>
      </c>
      <c r="M119" s="22">
        <f t="shared" ca="1" si="64"/>
        <v>5.5318739999999806</v>
      </c>
      <c r="N119" s="37">
        <f t="shared" ca="1" si="60"/>
        <v>1</v>
      </c>
      <c r="O119" s="37">
        <f t="shared" ca="1" si="61"/>
        <v>0</v>
      </c>
      <c r="Q119" s="22">
        <f t="shared" si="51"/>
        <v>18.8</v>
      </c>
      <c r="R119" s="22">
        <f t="shared" ca="1" si="52"/>
        <v>253.27805999999998</v>
      </c>
      <c r="S119" s="22">
        <f ca="1">IF(Q119="","",IF(Q119=0,0,SUMPRODUCT(OFFSET(M$18,MATCH(MIN(Q$18:Q$137),Q$18:Q$137,0),0,COUNT(M$18:M119)-MATCH(MIN(Q$18:Q$137),Q$18:Q$137,0),1),OFFSET(M$18,MATCH(MIN(Q$18:Q$137),Q$18:Q$137,0),1,COUNT(M$18:M119)-MATCH(MIN(Q$18:Q$137),Q$18:Q$137,0),1))*$T$6))</f>
        <v>463.26617400000003</v>
      </c>
      <c r="T119" s="22">
        <f t="shared" ca="1" si="53"/>
        <v>716.54423399999996</v>
      </c>
      <c r="V119" s="22">
        <f ca="1">IF(Q119="","",IF(Q119=0,0,SUMPRODUCT(OFFSET(M$18,MATCH(MIN(Q$18:Q$137),Q$18:Q$137,0),0,COUNT(M$18:M119)-MATCH(MIN(Q$18:Q$137),Q$18:Q$137,0),1),OFFSET(M$18,MATCH(MIN(Q$18:Q$137),Q$18:Q$137,0),2,COUNT(M$18:M119)-MATCH(MIN(Q$18:Q$137),Q$18:Q$137,0),1))*$T$6*$T$14))</f>
        <v>0</v>
      </c>
      <c r="W119" s="29"/>
      <c r="X119" s="23">
        <f t="shared" ca="1" si="54"/>
        <v>52.100530550458714</v>
      </c>
      <c r="Z119" s="15">
        <f t="shared" si="65"/>
        <v>21.45</v>
      </c>
      <c r="AA119" s="15">
        <f t="shared" si="66"/>
        <v>23.2</v>
      </c>
      <c r="AC119" s="15">
        <f t="shared" si="67"/>
        <v>99</v>
      </c>
      <c r="AD119" s="15">
        <f t="shared" si="68"/>
        <v>108</v>
      </c>
      <c r="AF119" s="15">
        <f t="shared" ca="1" si="69"/>
        <v>10</v>
      </c>
      <c r="AH119" s="15">
        <f t="shared" si="62"/>
        <v>4</v>
      </c>
      <c r="AI119" s="38">
        <f t="shared" ca="1" si="50"/>
        <v>47.256717052570266</v>
      </c>
    </row>
    <row r="120" spans="1:35" x14ac:dyDescent="0.2">
      <c r="A120" s="15">
        <v>103</v>
      </c>
      <c r="B120" s="2">
        <f t="shared" si="55"/>
        <v>171.05</v>
      </c>
      <c r="C120" s="25">
        <v>22</v>
      </c>
      <c r="D120" s="25">
        <v>2.64</v>
      </c>
      <c r="E120" s="25">
        <v>41.47</v>
      </c>
      <c r="F120" s="3" t="str">
        <f t="shared" ca="1" si="56"/>
        <v>ИГЭ-5</v>
      </c>
      <c r="G120" s="30" t="str">
        <f t="shared" ca="1" si="57"/>
        <v>пыл.-глинист.</v>
      </c>
      <c r="I120" s="13">
        <f t="shared" ca="1" si="63"/>
        <v>2616</v>
      </c>
      <c r="J120" s="14">
        <f t="shared" ca="1" si="58"/>
        <v>0.79300000000000004</v>
      </c>
      <c r="L120" s="14">
        <f t="shared" ca="1" si="59"/>
        <v>0.73899999999999999</v>
      </c>
      <c r="M120" s="22">
        <f t="shared" ca="1" si="64"/>
        <v>5.9728869999999787</v>
      </c>
      <c r="N120" s="37">
        <f t="shared" ca="1" si="60"/>
        <v>1</v>
      </c>
      <c r="O120" s="37">
        <f t="shared" ca="1" si="61"/>
        <v>0</v>
      </c>
      <c r="Q120" s="22">
        <f t="shared" si="51"/>
        <v>19</v>
      </c>
      <c r="R120" s="22">
        <f t="shared" ca="1" si="52"/>
        <v>254.12478000000002</v>
      </c>
      <c r="S120" s="22">
        <f ca="1">IF(Q120="","",IF(Q120=0,0,SUMPRODUCT(OFFSET(M$18,MATCH(MIN(Q$18:Q$137),Q$18:Q$137,0),0,COUNT(M$18:M120)-MATCH(MIN(Q$18:Q$137),Q$18:Q$137,0),1),OFFSET(M$18,MATCH(MIN(Q$18:Q$137),Q$18:Q$137,0),1,COUNT(M$18:M120)-MATCH(MIN(Q$18:Q$137),Q$18:Q$137,0),1))*$T$6))</f>
        <v>471.62821579999996</v>
      </c>
      <c r="T120" s="22">
        <f t="shared" ca="1" si="53"/>
        <v>725.75299580000001</v>
      </c>
      <c r="V120" s="22">
        <f ca="1">IF(Q120="","",IF(Q120=0,0,SUMPRODUCT(OFFSET(M$18,MATCH(MIN(Q$18:Q$137),Q$18:Q$137,0),0,COUNT(M$18:M120)-MATCH(MIN(Q$18:Q$137),Q$18:Q$137,0),1),OFFSET(M$18,MATCH(MIN(Q$18:Q$137),Q$18:Q$137,0),2,COUNT(M$18:M120)-MATCH(MIN(Q$18:Q$137),Q$18:Q$137,0),1))*$T$6*$T$14))</f>
        <v>0</v>
      </c>
      <c r="W120" s="29"/>
      <c r="X120" s="23">
        <f t="shared" ca="1" si="54"/>
        <v>52.784124912334356</v>
      </c>
      <c r="Z120" s="15">
        <f t="shared" si="65"/>
        <v>21.65</v>
      </c>
      <c r="AA120" s="15">
        <f t="shared" si="66"/>
        <v>23.4</v>
      </c>
      <c r="AC120" s="15">
        <f t="shared" si="67"/>
        <v>100</v>
      </c>
      <c r="AD120" s="15">
        <f t="shared" si="68"/>
        <v>109</v>
      </c>
      <c r="AF120" s="15">
        <f t="shared" ca="1" si="69"/>
        <v>10</v>
      </c>
      <c r="AH120" s="15">
        <f t="shared" si="62"/>
        <v>4</v>
      </c>
      <c r="AI120" s="38">
        <f t="shared" ca="1" si="50"/>
        <v>47.876757290099192</v>
      </c>
    </row>
    <row r="121" spans="1:35" x14ac:dyDescent="0.2">
      <c r="A121" s="15">
        <v>104</v>
      </c>
      <c r="B121" s="2">
        <f t="shared" si="55"/>
        <v>170.85</v>
      </c>
      <c r="C121" s="25">
        <v>22.2</v>
      </c>
      <c r="D121" s="25">
        <v>2.64</v>
      </c>
      <c r="E121" s="25">
        <v>59.9</v>
      </c>
      <c r="F121" s="3" t="str">
        <f t="shared" ca="1" si="56"/>
        <v>ИГЭ-5</v>
      </c>
      <c r="G121" s="30" t="str">
        <f t="shared" ca="1" si="57"/>
        <v>пыл.-глинист.</v>
      </c>
      <c r="I121" s="13">
        <f t="shared" ca="1" si="63"/>
        <v>2652</v>
      </c>
      <c r="J121" s="14">
        <f t="shared" ca="1" si="58"/>
        <v>0.79100000000000004</v>
      </c>
      <c r="L121" s="14">
        <f t="shared" ca="1" si="59"/>
        <v>0.60099999999999998</v>
      </c>
      <c r="M121" s="22">
        <f t="shared" ca="1" si="64"/>
        <v>6.6646229999999766</v>
      </c>
      <c r="N121" s="37">
        <f t="shared" ca="1" si="60"/>
        <v>1</v>
      </c>
      <c r="O121" s="37">
        <f t="shared" ca="1" si="61"/>
        <v>0</v>
      </c>
      <c r="Q121" s="22">
        <f t="shared" si="51"/>
        <v>19.2</v>
      </c>
      <c r="R121" s="22">
        <f t="shared" ca="1" si="52"/>
        <v>256.97216999999995</v>
      </c>
      <c r="S121" s="22">
        <f ca="1">IF(Q121="","",IF(Q121=0,0,SUMPRODUCT(OFFSET(M$18,MATCH(MIN(Q$18:Q$137),Q$18:Q$137,0),0,COUNT(M$18:M121)-MATCH(MIN(Q$18:Q$137),Q$18:Q$137,0),1),OFFSET(M$18,MATCH(MIN(Q$18:Q$137),Q$18:Q$137,0),1,COUNT(M$18:M121)-MATCH(MIN(Q$18:Q$137),Q$18:Q$137,0),1))*$T$6))</f>
        <v>480.95868799999988</v>
      </c>
      <c r="T121" s="22">
        <f t="shared" ca="1" si="53"/>
        <v>737.93085799999983</v>
      </c>
      <c r="V121" s="22">
        <f ca="1">IF(Q121="","",IF(Q121=0,0,SUMPRODUCT(OFFSET(M$18,MATCH(MIN(Q$18:Q$137),Q$18:Q$137,0),0,COUNT(M$18:M121)-MATCH(MIN(Q$18:Q$137),Q$18:Q$137,0),1),OFFSET(M$18,MATCH(MIN(Q$18:Q$137),Q$18:Q$137,0),2,COUNT(M$18:M121)-MATCH(MIN(Q$18:Q$137),Q$18:Q$137,0),1))*$T$6*$T$14))</f>
        <v>0</v>
      </c>
      <c r="W121" s="29"/>
      <c r="X121" s="23">
        <f t="shared" ca="1" si="54"/>
        <v>53.709847747196726</v>
      </c>
      <c r="Z121" s="15">
        <f t="shared" si="65"/>
        <v>21.849999999999998</v>
      </c>
      <c r="AA121" s="15">
        <f t="shared" si="66"/>
        <v>23.599999999999998</v>
      </c>
      <c r="AC121" s="15">
        <f t="shared" si="67"/>
        <v>101</v>
      </c>
      <c r="AD121" s="15">
        <f t="shared" si="68"/>
        <v>110</v>
      </c>
      <c r="AF121" s="15">
        <f t="shared" ca="1" si="69"/>
        <v>10</v>
      </c>
      <c r="AH121" s="15">
        <f t="shared" si="62"/>
        <v>4</v>
      </c>
      <c r="AI121" s="38">
        <f t="shared" ca="1" si="50"/>
        <v>48.716415190201118</v>
      </c>
    </row>
    <row r="122" spans="1:35" x14ac:dyDescent="0.2">
      <c r="A122" s="15">
        <v>105</v>
      </c>
      <c r="B122" s="2">
        <f t="shared" si="55"/>
        <v>170.65</v>
      </c>
      <c r="C122" s="25">
        <v>22.4</v>
      </c>
      <c r="D122" s="25">
        <v>2.4</v>
      </c>
      <c r="E122" s="25">
        <v>59.9</v>
      </c>
      <c r="F122" s="3" t="str">
        <f t="shared" ca="1" si="56"/>
        <v>ИГЭ-5</v>
      </c>
      <c r="G122" s="30" t="str">
        <f t="shared" ca="1" si="57"/>
        <v>пыл.-глинист.</v>
      </c>
      <c r="I122" s="13">
        <f t="shared" ca="1" si="63"/>
        <v>2664</v>
      </c>
      <c r="J122" s="14">
        <f t="shared" ca="1" si="58"/>
        <v>0.79</v>
      </c>
      <c r="L122" s="14">
        <f t="shared" ca="1" si="59"/>
        <v>0.60099999999999998</v>
      </c>
      <c r="M122" s="22">
        <f t="shared" ca="1" si="64"/>
        <v>7.1999799999999734</v>
      </c>
      <c r="N122" s="37">
        <f t="shared" ca="1" si="60"/>
        <v>1</v>
      </c>
      <c r="O122" s="37">
        <f t="shared" ca="1" si="61"/>
        <v>0</v>
      </c>
      <c r="Q122" s="22">
        <f t="shared" si="51"/>
        <v>19.399999999999999</v>
      </c>
      <c r="R122" s="22">
        <f t="shared" ca="1" si="52"/>
        <v>257.80859999999996</v>
      </c>
      <c r="S122" s="22">
        <f ca="1">IF(Q122="","",IF(Q122=0,0,SUMPRODUCT(OFFSET(M$18,MATCH(MIN(Q$18:Q$137),Q$18:Q$137,0),0,COUNT(M$18:M122)-MATCH(MIN(Q$18:Q$137),Q$18:Q$137,0),1),OFFSET(M$18,MATCH(MIN(Q$18:Q$137),Q$18:Q$137,0),1,COUNT(M$18:M122)-MATCH(MIN(Q$18:Q$137),Q$18:Q$137,0),1))*$T$6))</f>
        <v>491.03865999999988</v>
      </c>
      <c r="T122" s="22">
        <f t="shared" ca="1" si="53"/>
        <v>748.84725999999978</v>
      </c>
      <c r="V122" s="22">
        <f ca="1">IF(Q122="","",IF(Q122=0,0,SUMPRODUCT(OFFSET(M$18,MATCH(MIN(Q$18:Q$137),Q$18:Q$137,0),0,COUNT(M$18:M122)-MATCH(MIN(Q$18:Q$137),Q$18:Q$137,0),1),OFFSET(M$18,MATCH(MIN(Q$18:Q$137),Q$18:Q$137,0),2,COUNT(M$18:M122)-MATCH(MIN(Q$18:Q$137),Q$18:Q$137,0),1))*$T$6*$T$14))</f>
        <v>0</v>
      </c>
      <c r="W122" s="29"/>
      <c r="X122" s="23">
        <f t="shared" ca="1" si="54"/>
        <v>54.532699209989779</v>
      </c>
      <c r="Z122" s="15">
        <f t="shared" si="65"/>
        <v>22.049999999999997</v>
      </c>
      <c r="AA122" s="15">
        <f t="shared" si="66"/>
        <v>23.799999999999997</v>
      </c>
      <c r="AC122" s="15">
        <f t="shared" si="67"/>
        <v>102</v>
      </c>
      <c r="AD122" s="15">
        <f t="shared" si="68"/>
        <v>111</v>
      </c>
      <c r="AF122" s="15">
        <f t="shared" ca="1" si="69"/>
        <v>10</v>
      </c>
      <c r="AH122" s="15">
        <f t="shared" si="62"/>
        <v>4</v>
      </c>
      <c r="AI122" s="38">
        <f t="shared" ca="1" si="50"/>
        <v>49.462765723346742</v>
      </c>
    </row>
    <row r="123" spans="1:35" x14ac:dyDescent="0.2">
      <c r="A123" s="15">
        <v>106</v>
      </c>
      <c r="B123" s="2">
        <f t="shared" si="55"/>
        <v>170.45</v>
      </c>
      <c r="C123" s="25">
        <v>22.6</v>
      </c>
      <c r="D123" s="25">
        <v>2.4</v>
      </c>
      <c r="E123" s="25">
        <v>34.56</v>
      </c>
      <c r="F123" s="3" t="str">
        <f t="shared" ca="1" si="56"/>
        <v>ИГЭ-5</v>
      </c>
      <c r="G123" s="30" t="str">
        <f t="shared" ca="1" si="57"/>
        <v>пыл.-глинист.</v>
      </c>
      <c r="I123" s="13">
        <f t="shared" ca="1" si="63"/>
        <v>2604</v>
      </c>
      <c r="J123" s="14">
        <f t="shared" ca="1" si="58"/>
        <v>0.79400000000000004</v>
      </c>
      <c r="L123" s="14">
        <f t="shared" ca="1" si="59"/>
        <v>0.81799999999999995</v>
      </c>
      <c r="M123" s="22">
        <f t="shared" ca="1" si="64"/>
        <v>6.4269980000000917</v>
      </c>
      <c r="N123" s="37">
        <f t="shared" ca="1" si="60"/>
        <v>1</v>
      </c>
      <c r="O123" s="37">
        <f t="shared" ca="1" si="61"/>
        <v>0</v>
      </c>
      <c r="Q123" s="22">
        <f t="shared" si="51"/>
        <v>19.600000000000001</v>
      </c>
      <c r="R123" s="22">
        <f t="shared" ca="1" si="52"/>
        <v>253.27805999999998</v>
      </c>
      <c r="S123" s="22">
        <f ca="1">IF(Q123="","",IF(Q123=0,0,SUMPRODUCT(OFFSET(M$18,MATCH(MIN(Q$18:Q$137),Q$18:Q$137,0),0,COUNT(M$18:M123)-MATCH(MIN(Q$18:Q$137),Q$18:Q$137,0),1),OFFSET(M$18,MATCH(MIN(Q$18:Q$137),Q$18:Q$137,0),1,COUNT(M$18:M123)-MATCH(MIN(Q$18:Q$137),Q$18:Q$137,0),1))*$T$6))</f>
        <v>500.03645719999997</v>
      </c>
      <c r="T123" s="22">
        <f t="shared" ca="1" si="53"/>
        <v>753.31451719999995</v>
      </c>
      <c r="V123" s="22">
        <f ca="1">IF(Q123="","",IF(Q123=0,0,SUMPRODUCT(OFFSET(M$18,MATCH(MIN(Q$18:Q$137),Q$18:Q$137,0),0,COUNT(M$18:M123)-MATCH(MIN(Q$18:Q$137),Q$18:Q$137,0),1),OFFSET(M$18,MATCH(MIN(Q$18:Q$137),Q$18:Q$137,0),2,COUNT(M$18:M123)-MATCH(MIN(Q$18:Q$137),Q$18:Q$137,0),1))*$T$6*$T$14))</f>
        <v>0</v>
      </c>
      <c r="W123" s="29"/>
      <c r="X123" s="23">
        <f t="shared" ca="1" si="54"/>
        <v>54.829626530071344</v>
      </c>
      <c r="Z123" s="15">
        <f t="shared" si="65"/>
        <v>22.25</v>
      </c>
      <c r="AA123" s="15">
        <f t="shared" si="66"/>
        <v>24</v>
      </c>
      <c r="AC123" s="15">
        <f t="shared" si="67"/>
        <v>104</v>
      </c>
      <c r="AD123" s="15">
        <f t="shared" si="68"/>
        <v>113</v>
      </c>
      <c r="AF123" s="15">
        <f t="shared" ca="1" si="69"/>
        <v>10</v>
      </c>
      <c r="AH123" s="15">
        <f t="shared" si="62"/>
        <v>4</v>
      </c>
      <c r="AI123" s="38">
        <f t="shared" ca="1" si="50"/>
        <v>49.732087555620268</v>
      </c>
    </row>
    <row r="124" spans="1:35" x14ac:dyDescent="0.2">
      <c r="A124" s="15">
        <v>107</v>
      </c>
      <c r="B124" s="2">
        <f t="shared" si="55"/>
        <v>170.25</v>
      </c>
      <c r="C124" s="25">
        <v>22.8</v>
      </c>
      <c r="D124" s="25">
        <v>2.76</v>
      </c>
      <c r="E124" s="25">
        <v>43.77</v>
      </c>
      <c r="F124" s="3" t="str">
        <f t="shared" ca="1" si="56"/>
        <v>ИГЭ-5</v>
      </c>
      <c r="G124" s="30" t="str">
        <f t="shared" ca="1" si="57"/>
        <v>пыл.-глинист.</v>
      </c>
      <c r="I124" s="13">
        <f t="shared" ca="1" si="63"/>
        <v>2604</v>
      </c>
      <c r="J124" s="14">
        <f t="shared" ca="1" si="58"/>
        <v>0.79400000000000004</v>
      </c>
      <c r="L124" s="14">
        <f t="shared" ca="1" si="59"/>
        <v>0.72199999999999998</v>
      </c>
      <c r="M124" s="22">
        <f t="shared" ca="1" si="64"/>
        <v>5.9872019999999795</v>
      </c>
      <c r="N124" s="37">
        <f t="shared" ca="1" si="60"/>
        <v>1</v>
      </c>
      <c r="O124" s="37">
        <f t="shared" ca="1" si="61"/>
        <v>0</v>
      </c>
      <c r="Q124" s="22">
        <f t="shared" si="51"/>
        <v>19.8</v>
      </c>
      <c r="R124" s="22">
        <f t="shared" ca="1" si="52"/>
        <v>253.27805999999998</v>
      </c>
      <c r="S124" s="22">
        <f ca="1">IF(Q124="","",IF(Q124=0,0,SUMPRODUCT(OFFSET(M$18,MATCH(MIN(Q$18:Q$137),Q$18:Q$137,0),0,COUNT(M$18:M124)-MATCH(MIN(Q$18:Q$137),Q$18:Q$137,0),1),OFFSET(M$18,MATCH(MIN(Q$18:Q$137),Q$18:Q$137,0),1,COUNT(M$18:M124)-MATCH(MIN(Q$18:Q$137),Q$18:Q$137,0),1))*$T$6))</f>
        <v>508.41853999999995</v>
      </c>
      <c r="T124" s="22">
        <f t="shared" ca="1" si="53"/>
        <v>761.69659999999999</v>
      </c>
      <c r="V124" s="22">
        <f ca="1">IF(Q124="","",IF(Q124=0,0,SUMPRODUCT(OFFSET(M$18,MATCH(MIN(Q$18:Q$137),Q$18:Q$137,0),0,COUNT(M$18:M124)-MATCH(MIN(Q$18:Q$137),Q$18:Q$137,0),1),OFFSET(M$18,MATCH(MIN(Q$18:Q$137),Q$18:Q$137,0),2,COUNT(M$18:M124)-MATCH(MIN(Q$18:Q$137),Q$18:Q$137,0),1))*$T$6*$T$14))</f>
        <v>0</v>
      </c>
      <c r="W124" s="29"/>
      <c r="X124" s="23">
        <f t="shared" ca="1" si="54"/>
        <v>55.445805682976548</v>
      </c>
      <c r="Z124" s="15">
        <f t="shared" si="65"/>
        <v>22.45</v>
      </c>
      <c r="AA124" s="15">
        <f t="shared" si="66"/>
        <v>24.2</v>
      </c>
      <c r="AC124" s="15">
        <f t="shared" si="67"/>
        <v>104</v>
      </c>
      <c r="AD124" s="15">
        <f t="shared" si="68"/>
        <v>113</v>
      </c>
      <c r="AF124" s="15">
        <f t="shared" ca="1" si="69"/>
        <v>10</v>
      </c>
      <c r="AH124" s="15">
        <f t="shared" si="62"/>
        <v>4</v>
      </c>
      <c r="AI124" s="38">
        <f t="shared" ca="1" si="50"/>
        <v>50.290980211316601</v>
      </c>
    </row>
    <row r="125" spans="1:35" x14ac:dyDescent="0.2">
      <c r="A125" s="15">
        <v>108</v>
      </c>
      <c r="B125" s="2">
        <f t="shared" si="55"/>
        <v>170.05</v>
      </c>
      <c r="C125" s="25">
        <v>23</v>
      </c>
      <c r="D125" s="25">
        <v>2.64</v>
      </c>
      <c r="E125" s="25">
        <v>46.08</v>
      </c>
      <c r="F125" s="3" t="str">
        <f t="shared" ca="1" si="56"/>
        <v>ИГЭ-5</v>
      </c>
      <c r="G125" s="30" t="str">
        <f t="shared" ca="1" si="57"/>
        <v>пыл.-глинист.</v>
      </c>
      <c r="I125" s="13">
        <f t="shared" ca="1" si="63"/>
        <v>2580</v>
      </c>
      <c r="J125" s="14">
        <f t="shared" ca="1" si="58"/>
        <v>0.79500000000000004</v>
      </c>
      <c r="L125" s="14">
        <f t="shared" ca="1" si="59"/>
        <v>0.70399999999999996</v>
      </c>
      <c r="M125" s="22">
        <f t="shared" ca="1" si="64"/>
        <v>6.4042259999999773</v>
      </c>
      <c r="N125" s="37">
        <f t="shared" ca="1" si="60"/>
        <v>1</v>
      </c>
      <c r="O125" s="37">
        <f t="shared" ca="1" si="61"/>
        <v>0</v>
      </c>
      <c r="Q125" s="22">
        <f t="shared" si="51"/>
        <v>20</v>
      </c>
      <c r="R125" s="22">
        <f t="shared" ca="1" si="52"/>
        <v>251.25974999999997</v>
      </c>
      <c r="S125" s="22">
        <f ca="1">IF(Q125="","",IF(Q125=0,0,SUMPRODUCT(OFFSET(M$18,MATCH(MIN(Q$18:Q$137),Q$18:Q$137,0),0,COUNT(M$18:M125)-MATCH(MIN(Q$18:Q$137),Q$18:Q$137,0),1),OFFSET(M$18,MATCH(MIN(Q$18:Q$137),Q$18:Q$137,0),1,COUNT(M$18:M125)-MATCH(MIN(Q$18:Q$137),Q$18:Q$137,0),1))*$T$6))</f>
        <v>517.38445639999998</v>
      </c>
      <c r="T125" s="22">
        <f t="shared" ca="1" si="53"/>
        <v>768.64420639999992</v>
      </c>
      <c r="V125" s="22">
        <f ca="1">IF(Q125="","",IF(Q125=0,0,SUMPRODUCT(OFFSET(M$18,MATCH(MIN(Q$18:Q$137),Q$18:Q$137,0),0,COUNT(M$18:M125)-MATCH(MIN(Q$18:Q$137),Q$18:Q$137,0),1),OFFSET(M$18,MATCH(MIN(Q$18:Q$137),Q$18:Q$137,0),2,COUNT(M$18:M125)-MATCH(MIN(Q$18:Q$137),Q$18:Q$137,0),1))*$T$6*$T$14))</f>
        <v>0</v>
      </c>
      <c r="W125" s="29"/>
      <c r="X125" s="23">
        <f t="shared" ca="1" si="54"/>
        <v>55.945004089704376</v>
      </c>
      <c r="Z125" s="15">
        <f t="shared" si="65"/>
        <v>22.65</v>
      </c>
      <c r="AA125" s="15">
        <f t="shared" si="66"/>
        <v>24.4</v>
      </c>
      <c r="AC125" s="15">
        <f t="shared" si="67"/>
        <v>105</v>
      </c>
      <c r="AD125" s="15">
        <f t="shared" si="68"/>
        <v>114</v>
      </c>
      <c r="AF125" s="15">
        <f t="shared" ca="1" si="69"/>
        <v>10</v>
      </c>
      <c r="AH125" s="15">
        <f t="shared" si="62"/>
        <v>4</v>
      </c>
      <c r="AI125" s="38">
        <f t="shared" ca="1" si="50"/>
        <v>50.74376788181803</v>
      </c>
    </row>
    <row r="126" spans="1:35" x14ac:dyDescent="0.2">
      <c r="A126" s="15">
        <v>109</v>
      </c>
      <c r="B126" s="2">
        <f t="shared" si="55"/>
        <v>169.85</v>
      </c>
      <c r="C126" s="25">
        <v>23.2</v>
      </c>
      <c r="D126" s="25">
        <v>2.76</v>
      </c>
      <c r="E126" s="25">
        <v>43.77</v>
      </c>
      <c r="F126" s="3" t="str">
        <f t="shared" ca="1" si="56"/>
        <v>ИГЭ-5</v>
      </c>
      <c r="G126" s="30" t="str">
        <f t="shared" ca="1" si="57"/>
        <v>пыл.-глинист.</v>
      </c>
      <c r="I126" s="13">
        <f t="shared" ca="1" si="63"/>
        <v>2592</v>
      </c>
      <c r="J126" s="14">
        <f t="shared" ca="1" si="58"/>
        <v>0.79400000000000004</v>
      </c>
      <c r="L126" s="14">
        <f t="shared" ca="1" si="59"/>
        <v>0.72199999999999998</v>
      </c>
      <c r="M126" s="22">
        <f t="shared" ca="1" si="64"/>
        <v>6.4042259999999773</v>
      </c>
      <c r="N126" s="37">
        <f t="shared" ca="1" si="60"/>
        <v>1</v>
      </c>
      <c r="O126" s="37">
        <f t="shared" ca="1" si="61"/>
        <v>0</v>
      </c>
      <c r="Q126" s="22">
        <f t="shared" si="51"/>
        <v>20.2</v>
      </c>
      <c r="R126" s="22">
        <f t="shared" ca="1" si="52"/>
        <v>252.11088000000001</v>
      </c>
      <c r="S126" s="22">
        <f ca="1">IF(Q126="","",IF(Q126=0,0,SUMPRODUCT(OFFSET(M$18,MATCH(MIN(Q$18:Q$137),Q$18:Q$137,0),0,COUNT(M$18:M126)-MATCH(MIN(Q$18:Q$137),Q$18:Q$137,0),1),OFFSET(M$18,MATCH(MIN(Q$18:Q$137),Q$18:Q$137,0),1,COUNT(M$18:M126)-MATCH(MIN(Q$18:Q$137),Q$18:Q$137,0),1))*$T$6))</f>
        <v>526.35037279999995</v>
      </c>
      <c r="T126" s="22">
        <f t="shared" ca="1" si="53"/>
        <v>778.46125280000001</v>
      </c>
      <c r="V126" s="22">
        <f ca="1">IF(Q126="","",IF(Q126=0,0,SUMPRODUCT(OFFSET(M$18,MATCH(MIN(Q$18:Q$137),Q$18:Q$137,0),0,COUNT(M$18:M126)-MATCH(MIN(Q$18:Q$137),Q$18:Q$137,0),1),OFFSET(M$18,MATCH(MIN(Q$18:Q$137),Q$18:Q$137,0),2,COUNT(M$18:M126)-MATCH(MIN(Q$18:Q$137),Q$18:Q$137,0),1))*$T$6*$T$14))</f>
        <v>0</v>
      </c>
      <c r="W126" s="29"/>
      <c r="X126" s="23">
        <f t="shared" ca="1" si="54"/>
        <v>56.678203719673803</v>
      </c>
      <c r="Z126" s="15">
        <f t="shared" si="65"/>
        <v>22.849999999999998</v>
      </c>
      <c r="AA126" s="15">
        <f t="shared" si="66"/>
        <v>24.599999999999998</v>
      </c>
      <c r="AC126" s="15">
        <f t="shared" si="67"/>
        <v>106</v>
      </c>
      <c r="AD126" s="15">
        <f t="shared" si="68"/>
        <v>115</v>
      </c>
      <c r="AF126" s="15">
        <f t="shared" ca="1" si="69"/>
        <v>10</v>
      </c>
      <c r="AH126" s="15">
        <f t="shared" si="62"/>
        <v>4</v>
      </c>
      <c r="AI126" s="38">
        <f t="shared" ca="1" si="50"/>
        <v>51.408801559794846</v>
      </c>
    </row>
    <row r="127" spans="1:35" x14ac:dyDescent="0.2">
      <c r="A127" s="15">
        <v>110</v>
      </c>
      <c r="B127" s="2">
        <f t="shared" si="55"/>
        <v>169.65</v>
      </c>
      <c r="C127" s="25">
        <v>23.4</v>
      </c>
      <c r="D127" s="25">
        <v>3</v>
      </c>
      <c r="E127" s="25">
        <v>46.08</v>
      </c>
      <c r="F127" s="3" t="str">
        <f t="shared" ca="1" si="56"/>
        <v>ИГЭ-5</v>
      </c>
      <c r="G127" s="30" t="str">
        <f t="shared" ca="1" si="57"/>
        <v>пыл.-глинист.</v>
      </c>
      <c r="I127" s="13">
        <f t="shared" ca="1" si="63"/>
        <v>2616</v>
      </c>
      <c r="J127" s="14">
        <f t="shared" ca="1" si="58"/>
        <v>0.79300000000000004</v>
      </c>
      <c r="L127" s="14">
        <f t="shared" ca="1" si="59"/>
        <v>0.70399999999999996</v>
      </c>
      <c r="M127" s="22">
        <f t="shared" ca="1" si="64"/>
        <v>6.4042259999999773</v>
      </c>
      <c r="N127" s="37">
        <f t="shared" ca="1" si="60"/>
        <v>1</v>
      </c>
      <c r="O127" s="37">
        <f t="shared" ca="1" si="61"/>
        <v>0</v>
      </c>
      <c r="Q127" s="22">
        <f t="shared" si="51"/>
        <v>20.399999999999999</v>
      </c>
      <c r="R127" s="22">
        <f t="shared" ca="1" si="52"/>
        <v>254.12478000000002</v>
      </c>
      <c r="S127" s="22">
        <f ca="1">IF(Q127="","",IF(Q127=0,0,SUMPRODUCT(OFFSET(M$18,MATCH(MIN(Q$18:Q$137),Q$18:Q$137,0),0,COUNT(M$18:M127)-MATCH(MIN(Q$18:Q$137),Q$18:Q$137,0),1),OFFSET(M$18,MATCH(MIN(Q$18:Q$137),Q$18:Q$137,0),1,COUNT(M$18:M127)-MATCH(MIN(Q$18:Q$137),Q$18:Q$137,0),1))*$T$6))</f>
        <v>535.31628919999991</v>
      </c>
      <c r="T127" s="22">
        <f t="shared" ca="1" si="53"/>
        <v>789.4410691999999</v>
      </c>
      <c r="V127" s="22">
        <f ca="1">IF(Q127="","",IF(Q127=0,0,SUMPRODUCT(OFFSET(M$18,MATCH(MIN(Q$18:Q$137),Q$18:Q$137,0),0,COUNT(M$18:M127)-MATCH(MIN(Q$18:Q$137),Q$18:Q$137,0),1),OFFSET(M$18,MATCH(MIN(Q$18:Q$137),Q$18:Q$137,0),2,COUNT(M$18:M127)-MATCH(MIN(Q$18:Q$137),Q$18:Q$137,0),1))*$T$6*$T$14))</f>
        <v>0</v>
      </c>
      <c r="W127" s="29"/>
      <c r="X127" s="23">
        <f t="shared" ca="1" si="54"/>
        <v>57.506226591233421</v>
      </c>
      <c r="Z127" s="15">
        <f t="shared" si="65"/>
        <v>23.049999999999997</v>
      </c>
      <c r="AA127" s="15">
        <f t="shared" si="66"/>
        <v>24.799999999999997</v>
      </c>
      <c r="AC127" s="15">
        <f t="shared" si="67"/>
        <v>107</v>
      </c>
      <c r="AD127" s="15">
        <f t="shared" si="68"/>
        <v>116</v>
      </c>
      <c r="AF127" s="15">
        <f t="shared" ca="1" si="69"/>
        <v>10</v>
      </c>
      <c r="AH127" s="15">
        <f t="shared" si="62"/>
        <v>4</v>
      </c>
      <c r="AI127" s="38">
        <f t="shared" ca="1" si="50"/>
        <v>52.159842713136896</v>
      </c>
    </row>
    <row r="128" spans="1:35" x14ac:dyDescent="0.2">
      <c r="A128" s="15">
        <v>111</v>
      </c>
      <c r="B128" s="2">
        <f t="shared" si="55"/>
        <v>169.45</v>
      </c>
      <c r="C128" s="25">
        <v>23.6</v>
      </c>
      <c r="D128" s="25">
        <v>2.76</v>
      </c>
      <c r="E128" s="25">
        <v>66.81</v>
      </c>
      <c r="F128" s="3" t="str">
        <f t="shared" ca="1" si="56"/>
        <v>ИГЭ-5</v>
      </c>
      <c r="G128" s="30" t="str">
        <f t="shared" ca="1" si="57"/>
        <v>пыл.-глинист.</v>
      </c>
      <c r="I128" s="13">
        <f t="shared" ca="1" si="63"/>
        <v>2604</v>
      </c>
      <c r="J128" s="14">
        <f t="shared" ca="1" si="58"/>
        <v>0.79400000000000004</v>
      </c>
      <c r="L128" s="14">
        <f t="shared" ca="1" si="59"/>
        <v>0.54900000000000004</v>
      </c>
      <c r="M128" s="22">
        <f t="shared" ca="1" si="64"/>
        <v>6.9119010000000989</v>
      </c>
      <c r="N128" s="37">
        <f t="shared" ca="1" si="60"/>
        <v>1</v>
      </c>
      <c r="O128" s="37">
        <f t="shared" ca="1" si="61"/>
        <v>0</v>
      </c>
      <c r="Q128" s="22">
        <f t="shared" si="51"/>
        <v>20.6</v>
      </c>
      <c r="R128" s="22">
        <f t="shared" ca="1" si="52"/>
        <v>253.27805999999998</v>
      </c>
      <c r="S128" s="22">
        <f ca="1">IF(Q128="","",IF(Q128=0,0,SUMPRODUCT(OFFSET(M$18,MATCH(MIN(Q$18:Q$137),Q$18:Q$137,0),0,COUNT(M$18:M128)-MATCH(MIN(Q$18:Q$137),Q$18:Q$137,0),1),OFFSET(M$18,MATCH(MIN(Q$18:Q$137),Q$18:Q$137,0),1,COUNT(M$18:M128)-MATCH(MIN(Q$18:Q$137),Q$18:Q$137,0),1))*$T$6))</f>
        <v>544.99295060000009</v>
      </c>
      <c r="T128" s="22">
        <f t="shared" ca="1" si="53"/>
        <v>798.27101060000007</v>
      </c>
      <c r="V128" s="22">
        <f ca="1">IF(Q128="","",IF(Q128=0,0,SUMPRODUCT(OFFSET(M$18,MATCH(MIN(Q$18:Q$137),Q$18:Q$137,0),0,COUNT(M$18:M128)-MATCH(MIN(Q$18:Q$137),Q$18:Q$137,0),1),OFFSET(M$18,MATCH(MIN(Q$18:Q$137),Q$18:Q$137,0),2,COUNT(M$18:M128)-MATCH(MIN(Q$18:Q$137),Q$18:Q$137,0),1))*$T$6*$T$14))</f>
        <v>0</v>
      </c>
      <c r="W128" s="29"/>
      <c r="X128" s="23">
        <f t="shared" ca="1" si="54"/>
        <v>58.158928361875631</v>
      </c>
      <c r="Z128" s="15">
        <f t="shared" si="65"/>
        <v>23.25</v>
      </c>
      <c r="AA128" s="15">
        <f t="shared" si="66"/>
        <v>25</v>
      </c>
      <c r="AC128" s="15">
        <f t="shared" si="67"/>
        <v>109</v>
      </c>
      <c r="AD128" s="15">
        <f t="shared" si="68"/>
        <v>118</v>
      </c>
      <c r="AF128" s="15">
        <f t="shared" ca="1" si="69"/>
        <v>10</v>
      </c>
      <c r="AH128" s="15">
        <f t="shared" si="62"/>
        <v>4</v>
      </c>
      <c r="AI128" s="38">
        <f t="shared" ca="1" si="50"/>
        <v>52.751862459751152</v>
      </c>
    </row>
    <row r="129" spans="1:35" x14ac:dyDescent="0.2">
      <c r="A129" s="15">
        <v>112</v>
      </c>
      <c r="B129" s="2">
        <f t="shared" si="55"/>
        <v>169.25</v>
      </c>
      <c r="C129" s="25">
        <v>23.8</v>
      </c>
      <c r="D129" s="25">
        <v>2.2799999999999998</v>
      </c>
      <c r="E129" s="25">
        <v>50.68</v>
      </c>
      <c r="F129" s="3" t="str">
        <f t="shared" ca="1" si="56"/>
        <v>ИГЭ-5</v>
      </c>
      <c r="G129" s="30" t="str">
        <f t="shared" ca="1" si="57"/>
        <v>пыл.-глинист.</v>
      </c>
      <c r="I129" s="13">
        <f t="shared" ca="1" si="63"/>
        <v>2604</v>
      </c>
      <c r="J129" s="14">
        <f t="shared" ca="1" si="58"/>
        <v>0.79400000000000004</v>
      </c>
      <c r="L129" s="14">
        <f t="shared" ca="1" si="59"/>
        <v>0.67</v>
      </c>
      <c r="M129" s="22">
        <f t="shared" ca="1" si="64"/>
        <v>7.0634289999999753</v>
      </c>
      <c r="N129" s="37">
        <f t="shared" ca="1" si="60"/>
        <v>1</v>
      </c>
      <c r="O129" s="37">
        <f t="shared" ca="1" si="61"/>
        <v>0</v>
      </c>
      <c r="Q129" s="22">
        <f t="shared" si="51"/>
        <v>20.8</v>
      </c>
      <c r="R129" s="22">
        <f t="shared" ca="1" si="52"/>
        <v>253.27805999999998</v>
      </c>
      <c r="S129" s="22">
        <f ca="1">IF(Q129="","",IF(Q129=0,0,SUMPRODUCT(OFFSET(M$18,MATCH(MIN(Q$18:Q$137),Q$18:Q$137,0),0,COUNT(M$18:M129)-MATCH(MIN(Q$18:Q$137),Q$18:Q$137,0),1),OFFSET(M$18,MATCH(MIN(Q$18:Q$137),Q$18:Q$137,0),1,COUNT(M$18:M129)-MATCH(MIN(Q$18:Q$137),Q$18:Q$137,0),1))*$T$6))</f>
        <v>554.88175120000005</v>
      </c>
      <c r="T129" s="22">
        <f t="shared" ca="1" si="53"/>
        <v>808.15981120000004</v>
      </c>
      <c r="V129" s="22">
        <f ca="1">IF(Q129="","",IF(Q129=0,0,SUMPRODUCT(OFFSET(M$18,MATCH(MIN(Q$18:Q$137),Q$18:Q$137,0),0,COUNT(M$18:M129)-MATCH(MIN(Q$18:Q$137),Q$18:Q$137,0),1),OFFSET(M$18,MATCH(MIN(Q$18:Q$137),Q$18:Q$137,0),2,COUNT(M$18:M129)-MATCH(MIN(Q$18:Q$137),Q$18:Q$137,0),1))*$T$6*$T$14))</f>
        <v>0</v>
      </c>
      <c r="W129" s="29"/>
      <c r="X129" s="23">
        <f t="shared" ca="1" si="54"/>
        <v>58.897979506625894</v>
      </c>
      <c r="Z129" s="15">
        <f t="shared" si="65"/>
        <v>23.45</v>
      </c>
      <c r="AA129" s="15">
        <f t="shared" si="66"/>
        <v>25.2</v>
      </c>
      <c r="AC129" s="15">
        <f t="shared" si="67"/>
        <v>109</v>
      </c>
      <c r="AD129" s="15">
        <f t="shared" si="68"/>
        <v>118</v>
      </c>
      <c r="AF129" s="15">
        <f t="shared" ca="1" si="69"/>
        <v>10</v>
      </c>
      <c r="AH129" s="15">
        <f t="shared" si="62"/>
        <v>4</v>
      </c>
      <c r="AI129" s="38">
        <f t="shared" ca="1" si="50"/>
        <v>53.422203634127804</v>
      </c>
    </row>
    <row r="130" spans="1:35" x14ac:dyDescent="0.2">
      <c r="A130" s="15">
        <v>113</v>
      </c>
      <c r="B130" s="2">
        <f t="shared" si="55"/>
        <v>169.05</v>
      </c>
      <c r="C130" s="25">
        <v>24</v>
      </c>
      <c r="D130" s="25">
        <v>2.4</v>
      </c>
      <c r="E130" s="25">
        <v>52.99</v>
      </c>
      <c r="F130" s="3" t="str">
        <f t="shared" ca="1" si="56"/>
        <v>ИГЭ-5</v>
      </c>
      <c r="G130" s="30" t="str">
        <f t="shared" ca="1" si="57"/>
        <v>пыл.-глинист.</v>
      </c>
      <c r="I130" s="13">
        <f t="shared" ca="1" si="63"/>
        <v>2587</v>
      </c>
      <c r="J130" s="14">
        <f t="shared" ca="1" si="58"/>
        <v>0.79500000000000004</v>
      </c>
      <c r="L130" s="14">
        <f t="shared" ca="1" si="59"/>
        <v>0.65300000000000002</v>
      </c>
      <c r="M130" s="22">
        <f t="shared" ca="1" si="64"/>
        <v>6.8558069999999773</v>
      </c>
      <c r="N130" s="37">
        <f t="shared" ca="1" si="60"/>
        <v>1</v>
      </c>
      <c r="O130" s="37">
        <f t="shared" ca="1" si="61"/>
        <v>0</v>
      </c>
      <c r="Q130" s="22">
        <f t="shared" si="51"/>
        <v>21</v>
      </c>
      <c r="R130" s="22">
        <f t="shared" ca="1" si="52"/>
        <v>251.94146249999997</v>
      </c>
      <c r="S130" s="22">
        <f ca="1">IF(Q130="","",IF(Q130=0,0,SUMPRODUCT(OFFSET(M$18,MATCH(MIN(Q$18:Q$137),Q$18:Q$137,0),0,COUNT(M$18:M130)-MATCH(MIN(Q$18:Q$137),Q$18:Q$137,0),1),OFFSET(M$18,MATCH(MIN(Q$18:Q$137),Q$18:Q$137,0),1,COUNT(M$18:M130)-MATCH(MIN(Q$18:Q$137),Q$18:Q$137,0),1))*$T$6))</f>
        <v>564.47988099999998</v>
      </c>
      <c r="T130" s="22">
        <f t="shared" ca="1" si="53"/>
        <v>816.42134349999992</v>
      </c>
      <c r="V130" s="22">
        <f ca="1">IF(Q130="","",IF(Q130=0,0,SUMPRODUCT(OFFSET(M$18,MATCH(MIN(Q$18:Q$137),Q$18:Q$137,0),0,COUNT(M$18:M130)-MATCH(MIN(Q$18:Q$137),Q$18:Q$137,0),1),OFFSET(M$18,MATCH(MIN(Q$18:Q$137),Q$18:Q$137,0),2,COUNT(M$18:M130)-MATCH(MIN(Q$18:Q$137),Q$18:Q$137,0),1))*$T$6*$T$14))</f>
        <v>0</v>
      </c>
      <c r="W130" s="29"/>
      <c r="X130" s="23">
        <f t="shared" ca="1" si="54"/>
        <v>59.504327833843007</v>
      </c>
      <c r="Z130" s="15">
        <f t="shared" si="65"/>
        <v>23.65</v>
      </c>
      <c r="AA130" s="15">
        <f t="shared" si="66"/>
        <v>25.4</v>
      </c>
      <c r="AC130" s="15">
        <f t="shared" si="67"/>
        <v>110</v>
      </c>
      <c r="AD130" s="15">
        <f t="shared" si="68"/>
        <v>118</v>
      </c>
      <c r="AF130" s="15">
        <f t="shared" ca="1" si="69"/>
        <v>9</v>
      </c>
      <c r="AH130" s="15">
        <f t="shared" si="62"/>
        <v>4</v>
      </c>
      <c r="AI130" s="38">
        <f t="shared" ca="1" si="50"/>
        <v>53.972179441127452</v>
      </c>
    </row>
    <row r="131" spans="1:35" x14ac:dyDescent="0.2">
      <c r="A131" s="15">
        <v>114</v>
      </c>
      <c r="B131" s="2">
        <f t="shared" si="55"/>
        <v>168.85</v>
      </c>
      <c r="C131" s="25">
        <v>24.2</v>
      </c>
      <c r="D131" s="25">
        <v>2.4</v>
      </c>
      <c r="E131" s="25">
        <v>50.68</v>
      </c>
      <c r="F131" s="3" t="str">
        <f t="shared" ca="1" si="56"/>
        <v>ИГЭ-5</v>
      </c>
      <c r="G131" s="30" t="str">
        <f t="shared" ca="1" si="57"/>
        <v>пыл.-глинист.</v>
      </c>
      <c r="I131" s="13">
        <f t="shared" ca="1" si="63"/>
        <v>2535</v>
      </c>
      <c r="J131" s="14">
        <f t="shared" ca="1" si="58"/>
        <v>0.79800000000000004</v>
      </c>
      <c r="L131" s="14">
        <f t="shared" ca="1" si="59"/>
        <v>0.67</v>
      </c>
      <c r="M131" s="22">
        <f t="shared" ca="1" si="64"/>
        <v>6.8558069999999773</v>
      </c>
      <c r="N131" s="37">
        <f t="shared" ca="1" si="60"/>
        <v>1</v>
      </c>
      <c r="O131" s="37">
        <f t="shared" ca="1" si="61"/>
        <v>0</v>
      </c>
      <c r="Q131" s="22">
        <f t="shared" si="51"/>
        <v>21.2</v>
      </c>
      <c r="R131" s="22">
        <f t="shared" ca="1" si="52"/>
        <v>247.80892499999999</v>
      </c>
      <c r="S131" s="22">
        <f ca="1">IF(Q131="","",IF(Q131=0,0,SUMPRODUCT(OFFSET(M$18,MATCH(MIN(Q$18:Q$137),Q$18:Q$137,0),0,COUNT(M$18:M131)-MATCH(MIN(Q$18:Q$137),Q$18:Q$137,0),1),OFFSET(M$18,MATCH(MIN(Q$18:Q$137),Q$18:Q$137,0),1,COUNT(M$18:M131)-MATCH(MIN(Q$18:Q$137),Q$18:Q$137,0),1))*$T$6))</f>
        <v>574.07801080000002</v>
      </c>
      <c r="T131" s="22">
        <f t="shared" ca="1" si="53"/>
        <v>821.88693579999995</v>
      </c>
      <c r="V131" s="22">
        <f ca="1">IF(Q131="","",IF(Q131=0,0,SUMPRODUCT(OFFSET(M$18,MATCH(MIN(Q$18:Q$137),Q$18:Q$137,0),0,COUNT(M$18:M131)-MATCH(MIN(Q$18:Q$137),Q$18:Q$137,0),1),OFFSET(M$18,MATCH(MIN(Q$18:Q$137),Q$18:Q$137,0),2,COUNT(M$18:M131)-MATCH(MIN(Q$18:Q$137),Q$18:Q$137,0),1))*$T$6*$T$14))</f>
        <v>0</v>
      </c>
      <c r="W131" s="29"/>
      <c r="X131" s="23">
        <f t="shared" ca="1" si="54"/>
        <v>59.882668821610594</v>
      </c>
      <c r="Z131" s="15">
        <f t="shared" si="65"/>
        <v>23.849999999999998</v>
      </c>
      <c r="AA131" s="15">
        <f t="shared" si="66"/>
        <v>25.599999999999998</v>
      </c>
      <c r="AC131" s="15">
        <f t="shared" si="67"/>
        <v>111</v>
      </c>
      <c r="AD131" s="15">
        <f t="shared" si="68"/>
        <v>118</v>
      </c>
      <c r="AF131" s="15">
        <f t="shared" ca="1" si="69"/>
        <v>8</v>
      </c>
      <c r="AH131" s="15">
        <f t="shared" si="62"/>
        <v>4</v>
      </c>
      <c r="AI131" s="38">
        <f t="shared" ca="1" si="50"/>
        <v>54.315345869941588</v>
      </c>
    </row>
    <row r="132" spans="1:35" x14ac:dyDescent="0.2">
      <c r="A132" s="15">
        <v>115</v>
      </c>
      <c r="B132" s="2">
        <f t="shared" si="55"/>
        <v>168.65</v>
      </c>
      <c r="C132" s="25">
        <v>24.4</v>
      </c>
      <c r="D132" s="25">
        <v>2.52</v>
      </c>
      <c r="E132" s="25">
        <v>50.68</v>
      </c>
      <c r="F132" s="3" t="str">
        <f t="shared" ca="1" si="56"/>
        <v>ИГЭ-5</v>
      </c>
      <c r="G132" s="30" t="str">
        <f t="shared" ca="1" si="57"/>
        <v>пыл.-глинист.</v>
      </c>
      <c r="I132" s="13">
        <f t="shared" ca="1" si="63"/>
        <v>2503</v>
      </c>
      <c r="J132" s="14">
        <f t="shared" ca="1" si="58"/>
        <v>0.8</v>
      </c>
      <c r="L132" s="14">
        <f t="shared" ca="1" si="59"/>
        <v>0.67</v>
      </c>
      <c r="M132" s="22">
        <f t="shared" ca="1" si="64"/>
        <v>6.7911199999999763</v>
      </c>
      <c r="N132" s="37">
        <f t="shared" ca="1" si="60"/>
        <v>1</v>
      </c>
      <c r="O132" s="37">
        <f t="shared" ca="1" si="61"/>
        <v>0</v>
      </c>
      <c r="Q132" s="22">
        <f t="shared" si="51"/>
        <v>21.4</v>
      </c>
      <c r="R132" s="22">
        <f t="shared" ca="1" si="52"/>
        <v>245.29399999999998</v>
      </c>
      <c r="S132" s="22">
        <f ca="1">IF(Q132="","",IF(Q132=0,0,SUMPRODUCT(OFFSET(M$18,MATCH(MIN(Q$18:Q$137),Q$18:Q$137,0),0,COUNT(M$18:M132)-MATCH(MIN(Q$18:Q$137),Q$18:Q$137,0),1),OFFSET(M$18,MATCH(MIN(Q$18:Q$137),Q$18:Q$137,0),1,COUNT(M$18:M132)-MATCH(MIN(Q$18:Q$137),Q$18:Q$137,0),1))*$T$6))</f>
        <v>583.58557879999989</v>
      </c>
      <c r="T132" s="22">
        <f t="shared" ca="1" si="53"/>
        <v>828.87957879999988</v>
      </c>
      <c r="V132" s="22">
        <f ca="1">IF(Q132="","",IF(Q132=0,0,SUMPRODUCT(OFFSET(M$18,MATCH(MIN(Q$18:Q$137),Q$18:Q$137,0),0,COUNT(M$18:M132)-MATCH(MIN(Q$18:Q$137),Q$18:Q$137,0),1),OFFSET(M$18,MATCH(MIN(Q$18:Q$137),Q$18:Q$137,0),2,COUNT(M$18:M132)-MATCH(MIN(Q$18:Q$137),Q$18:Q$137,0),1))*$T$6*$T$14))</f>
        <v>0</v>
      </c>
      <c r="W132" s="29"/>
      <c r="X132" s="23">
        <f t="shared" ca="1" si="54"/>
        <v>60.385539937818535</v>
      </c>
      <c r="Z132" s="15">
        <f t="shared" si="65"/>
        <v>24.049999999999997</v>
      </c>
      <c r="AA132" s="15">
        <f t="shared" si="66"/>
        <v>25.799999999999997</v>
      </c>
      <c r="AC132" s="15">
        <f t="shared" si="67"/>
        <v>112</v>
      </c>
      <c r="AD132" s="15">
        <f t="shared" si="68"/>
        <v>118</v>
      </c>
      <c r="AF132" s="15">
        <f t="shared" ca="1" si="69"/>
        <v>7</v>
      </c>
      <c r="AH132" s="15">
        <f t="shared" si="62"/>
        <v>4</v>
      </c>
      <c r="AI132" s="38">
        <f t="shared" ca="1" si="50"/>
        <v>54.771464796207297</v>
      </c>
    </row>
    <row r="133" spans="1:35" x14ac:dyDescent="0.2">
      <c r="A133" s="15">
        <v>116</v>
      </c>
      <c r="B133" s="2">
        <f t="shared" si="55"/>
        <v>168.45</v>
      </c>
      <c r="C133" s="25">
        <v>24.6</v>
      </c>
      <c r="D133" s="25">
        <v>2.64</v>
      </c>
      <c r="E133" s="25">
        <v>50.68</v>
      </c>
      <c r="F133" s="3" t="str">
        <f t="shared" ca="1" si="56"/>
        <v>ИГЭ-5</v>
      </c>
      <c r="G133" s="30" t="str">
        <f t="shared" ca="1" si="57"/>
        <v>пыл.-глинист.</v>
      </c>
      <c r="I133" s="13">
        <f t="shared" ca="1" si="63"/>
        <v>2568</v>
      </c>
      <c r="J133" s="14">
        <f t="shared" ca="1" si="58"/>
        <v>0.79600000000000004</v>
      </c>
      <c r="L133" s="14">
        <f t="shared" ca="1" si="59"/>
        <v>0.67</v>
      </c>
      <c r="M133" s="22">
        <f t="shared" ca="1" si="64"/>
        <v>6.7911200000000971</v>
      </c>
      <c r="N133" s="37">
        <f t="shared" ca="1" si="60"/>
        <v>1</v>
      </c>
      <c r="O133" s="37">
        <f t="shared" ca="1" si="61"/>
        <v>0</v>
      </c>
      <c r="Q133" s="22">
        <f t="shared" si="51"/>
        <v>21.6</v>
      </c>
      <c r="R133" s="22">
        <f t="shared" ca="1" si="52"/>
        <v>250.40567999999999</v>
      </c>
      <c r="S133" s="22">
        <f ca="1">IF(Q133="","",IF(Q133=0,0,SUMPRODUCT(OFFSET(M$18,MATCH(MIN(Q$18:Q$137),Q$18:Q$137,0),0,COUNT(M$18:M133)-MATCH(MIN(Q$18:Q$137),Q$18:Q$137,0),1),OFFSET(M$18,MATCH(MIN(Q$18:Q$137),Q$18:Q$137,0),1,COUNT(M$18:M133)-MATCH(MIN(Q$18:Q$137),Q$18:Q$137,0),1))*$T$6))</f>
        <v>593.09314680000011</v>
      </c>
      <c r="T133" s="22">
        <f t="shared" ca="1" si="53"/>
        <v>843.49882680000007</v>
      </c>
      <c r="V133" s="22">
        <f ca="1">IF(Q133="","",IF(Q133=0,0,SUMPRODUCT(OFFSET(M$18,MATCH(MIN(Q$18:Q$137),Q$18:Q$137,0),0,COUNT(M$18:M133)-MATCH(MIN(Q$18:Q$137),Q$18:Q$137,0),1),OFFSET(M$18,MATCH(MIN(Q$18:Q$137),Q$18:Q$137,0),2,COUNT(M$18:M133)-MATCH(MIN(Q$18:Q$137),Q$18:Q$137,0),1))*$T$6*$T$14))</f>
        <v>0</v>
      </c>
      <c r="W133" s="29"/>
      <c r="X133" s="23">
        <f t="shared" ca="1" si="54"/>
        <v>61.510356415902152</v>
      </c>
      <c r="Z133" s="15">
        <f t="shared" si="65"/>
        <v>24.25</v>
      </c>
      <c r="AA133" s="15">
        <f t="shared" si="66"/>
        <v>26</v>
      </c>
      <c r="AC133" s="15">
        <f t="shared" si="67"/>
        <v>114</v>
      </c>
      <c r="AD133" s="15">
        <f t="shared" si="68"/>
        <v>118</v>
      </c>
      <c r="AF133" s="15">
        <f t="shared" ca="1" si="69"/>
        <v>5</v>
      </c>
      <c r="AH133" s="15">
        <f t="shared" si="62"/>
        <v>4</v>
      </c>
      <c r="AI133" s="38">
        <f t="shared" ca="1" si="50"/>
        <v>55.791706499684501</v>
      </c>
    </row>
    <row r="134" spans="1:35" x14ac:dyDescent="0.2">
      <c r="A134" s="15">
        <v>117</v>
      </c>
      <c r="B134" s="2">
        <f t="shared" si="55"/>
        <v>168.25</v>
      </c>
      <c r="C134" s="25">
        <v>24.8</v>
      </c>
      <c r="D134" s="25">
        <v>2.64</v>
      </c>
      <c r="E134" s="25">
        <v>50.68</v>
      </c>
      <c r="F134" s="3" t="str">
        <f t="shared" ca="1" si="56"/>
        <v>ИГЭ-5</v>
      </c>
      <c r="G134" s="30" t="str">
        <f t="shared" ca="1" si="57"/>
        <v>пыл.-глинист.</v>
      </c>
      <c r="I134" s="13">
        <f t="shared" ca="1" si="63"/>
        <v>2568</v>
      </c>
      <c r="J134" s="14">
        <f t="shared" ca="1" si="58"/>
        <v>0.79600000000000004</v>
      </c>
      <c r="L134" s="14">
        <f t="shared" ca="1" si="59"/>
        <v>0.67</v>
      </c>
      <c r="M134" s="22">
        <f t="shared" ca="1" si="64"/>
        <v>6.7911199999999763</v>
      </c>
      <c r="N134" s="37">
        <f t="shared" ca="1" si="60"/>
        <v>1</v>
      </c>
      <c r="O134" s="37">
        <f t="shared" ca="1" si="61"/>
        <v>0</v>
      </c>
      <c r="Q134" s="22">
        <f t="shared" si="51"/>
        <v>21.8</v>
      </c>
      <c r="R134" s="22">
        <f t="shared" ca="1" si="52"/>
        <v>250.40567999999999</v>
      </c>
      <c r="S134" s="22">
        <f ca="1">IF(Q134="","",IF(Q134=0,0,SUMPRODUCT(OFFSET(M$18,MATCH(MIN(Q$18:Q$137),Q$18:Q$137,0),0,COUNT(M$18:M134)-MATCH(MIN(Q$18:Q$137),Q$18:Q$137,0),1),OFFSET(M$18,MATCH(MIN(Q$18:Q$137),Q$18:Q$137,0),1,COUNT(M$18:M134)-MATCH(MIN(Q$18:Q$137),Q$18:Q$137,0),1))*$T$6))</f>
        <v>602.60071479999999</v>
      </c>
      <c r="T134" s="22">
        <f t="shared" ca="1" si="53"/>
        <v>853.00639479999995</v>
      </c>
      <c r="V134" s="22">
        <f ca="1">IF(Q134="","",IF(Q134=0,0,SUMPRODUCT(OFFSET(M$18,MATCH(MIN(Q$18:Q$137),Q$18:Q$137,0),0,COUNT(M$18:M134)-MATCH(MIN(Q$18:Q$137),Q$18:Q$137,0),1),OFFSET(M$18,MATCH(MIN(Q$18:Q$137),Q$18:Q$137,0),2,COUNT(M$18:M134)-MATCH(MIN(Q$18:Q$137),Q$18:Q$137,0),1))*$T$6*$T$14))</f>
        <v>0</v>
      </c>
      <c r="W134" s="29"/>
      <c r="X134" s="23">
        <f t="shared" ca="1" si="54"/>
        <v>62.218318255861362</v>
      </c>
      <c r="Z134" s="15">
        <f t="shared" si="65"/>
        <v>24.45</v>
      </c>
      <c r="AA134" s="15">
        <f t="shared" si="66"/>
        <v>26.2</v>
      </c>
      <c r="AC134" s="15">
        <f t="shared" si="67"/>
        <v>114</v>
      </c>
      <c r="AD134" s="15">
        <f t="shared" si="68"/>
        <v>118</v>
      </c>
      <c r="AF134" s="15">
        <f t="shared" ca="1" si="69"/>
        <v>5</v>
      </c>
      <c r="AH134" s="15">
        <f t="shared" si="62"/>
        <v>4</v>
      </c>
      <c r="AI134" s="38">
        <f t="shared" ca="1" si="50"/>
        <v>56.433848758150901</v>
      </c>
    </row>
    <row r="135" spans="1:35" x14ac:dyDescent="0.2">
      <c r="A135" s="15">
        <v>118</v>
      </c>
      <c r="B135" s="2">
        <f t="shared" si="55"/>
        <v>168.05</v>
      </c>
      <c r="C135" s="25">
        <v>25</v>
      </c>
      <c r="D135" s="25">
        <v>2.64</v>
      </c>
      <c r="E135" s="25">
        <v>50.68</v>
      </c>
      <c r="F135" s="3" t="str">
        <f t="shared" ca="1" si="56"/>
        <v>ИГЭ-5</v>
      </c>
      <c r="G135" s="30" t="str">
        <f t="shared" ca="1" si="57"/>
        <v>пыл.-глинист.</v>
      </c>
      <c r="I135" s="13">
        <f t="shared" ca="1" si="63"/>
        <v>2610</v>
      </c>
      <c r="J135" s="14">
        <f t="shared" ca="1" si="58"/>
        <v>0.79300000000000004</v>
      </c>
      <c r="L135" s="14">
        <f t="shared" ca="1" si="59"/>
        <v>0.67</v>
      </c>
      <c r="M135" s="22">
        <f t="shared" ca="1" si="64"/>
        <v>6.7911199999999763</v>
      </c>
      <c r="N135" s="37">
        <f t="shared" ca="1" si="60"/>
        <v>1</v>
      </c>
      <c r="O135" s="37">
        <f t="shared" ca="1" si="61"/>
        <v>0</v>
      </c>
      <c r="Q135" s="22">
        <f t="shared" si="51"/>
        <v>22</v>
      </c>
      <c r="R135" s="22">
        <f t="shared" ca="1" si="52"/>
        <v>253.54192499999996</v>
      </c>
      <c r="S135" s="22">
        <f ca="1">IF(Q135="","",IF(Q135=0,0,SUMPRODUCT(OFFSET(M$18,MATCH(MIN(Q$18:Q$137),Q$18:Q$137,0),0,COUNT(M$18:M135)-MATCH(MIN(Q$18:Q$137),Q$18:Q$137,0),1),OFFSET(M$18,MATCH(MIN(Q$18:Q$137),Q$18:Q$137,0),1,COUNT(M$18:M135)-MATCH(MIN(Q$18:Q$137),Q$18:Q$137,0),1))*$T$6))</f>
        <v>612.10828279999998</v>
      </c>
      <c r="T135" s="22">
        <f t="shared" ca="1" si="53"/>
        <v>865.65020779999998</v>
      </c>
      <c r="V135" s="22">
        <f ca="1">IF(Q135="","",IF(Q135=0,0,SUMPRODUCT(OFFSET(M$18,MATCH(MIN(Q$18:Q$137),Q$18:Q$137,0),0,COUNT(M$18:M135)-MATCH(MIN(Q$18:Q$137),Q$18:Q$137,0),1),OFFSET(M$18,MATCH(MIN(Q$18:Q$137),Q$18:Q$137,0),2,COUNT(M$18:M135)-MATCH(MIN(Q$18:Q$137),Q$18:Q$137,0),1))*$T$6*$T$14))</f>
        <v>0</v>
      </c>
      <c r="W135" s="29"/>
      <c r="X135" s="23">
        <f t="shared" ca="1" si="54"/>
        <v>63.182039117227312</v>
      </c>
      <c r="Z135" s="15">
        <f t="shared" si="65"/>
        <v>24.65</v>
      </c>
      <c r="AA135" s="15">
        <f t="shared" si="66"/>
        <v>26.4</v>
      </c>
      <c r="AC135" s="15">
        <f t="shared" si="67"/>
        <v>115</v>
      </c>
      <c r="AD135" s="15">
        <f t="shared" si="68"/>
        <v>118</v>
      </c>
      <c r="AF135" s="15">
        <f t="shared" ca="1" si="69"/>
        <v>4</v>
      </c>
      <c r="AH135" s="15">
        <f t="shared" si="62"/>
        <v>4</v>
      </c>
      <c r="AI135" s="38">
        <f t="shared" ca="1" si="50"/>
        <v>57.307971988414792</v>
      </c>
    </row>
    <row r="136" spans="1:35" x14ac:dyDescent="0.2">
      <c r="A136" s="15">
        <v>119</v>
      </c>
      <c r="B136" s="2" t="str">
        <f t="shared" si="55"/>
        <v/>
      </c>
      <c r="C136" s="25"/>
      <c r="D136" s="25"/>
      <c r="E136" s="25"/>
      <c r="F136" s="3" t="str">
        <f t="shared" ca="1" si="56"/>
        <v/>
      </c>
      <c r="G136" s="30" t="str">
        <f t="shared" ca="1" si="57"/>
        <v/>
      </c>
      <c r="I136" s="13" t="str">
        <f t="shared" ca="1" si="63"/>
        <v/>
      </c>
      <c r="J136" s="14" t="str">
        <f t="shared" ca="1" si="58"/>
        <v/>
      </c>
      <c r="L136" s="14" t="str">
        <f t="shared" ca="1" si="59"/>
        <v/>
      </c>
      <c r="M136" s="22" t="str">
        <f t="shared" ca="1" si="64"/>
        <v/>
      </c>
      <c r="N136" s="37" t="str">
        <f t="shared" ca="1" si="60"/>
        <v/>
      </c>
      <c r="O136" s="37" t="str">
        <f t="shared" ca="1" si="61"/>
        <v/>
      </c>
      <c r="Q136" s="22" t="str">
        <f>IF(C136="","",IF(ROUND(($D$6-FLOOR($D$6-$T$8,$C$19-$C$18))-B136,2)&lt;0,"",ROUND(($D$6-FLOOR($D$6-$T$8,$C$19-$C$18))-B136,2)))</f>
        <v/>
      </c>
      <c r="R136" s="22" t="str">
        <f>IF(Q136="","",J136*I136*$T$7)</f>
        <v/>
      </c>
      <c r="S136" s="22" t="str">
        <f ca="1">IF(Q136="","",IF(Q136=0,0,SUMPRODUCT(OFFSET(M$18,MATCH(MIN(Q$18:Q$137),Q$18:Q$137,0),0,COUNT(M$18:M136)-MATCH(MIN(Q$18:Q$137),Q$18:Q$137,0),1),OFFSET(M$18,MATCH(MIN(Q$18:Q$137),Q$18:Q$137,0),1,COUNT(M$18:M136)-MATCH(MIN(Q$18:Q$137),Q$18:Q$137,0),1))*$T$6))</f>
        <v/>
      </c>
      <c r="T136" s="22" t="str">
        <f>IF(Q136="","",R136+S136)</f>
        <v/>
      </c>
      <c r="V136" s="22" t="str">
        <f ca="1">IF(Q136="","",IF(Q136=0,0,SUMPRODUCT(OFFSET(M$18,MATCH(MIN(Q$18:Q$137),Q$18:Q$137,0),0,COUNT(M$18:M136)-MATCH(MIN(Q$18:Q$137),Q$18:Q$137,0),1),OFFSET(M$18,MATCH(MIN(Q$18:Q$137),Q$18:Q$137,0),2,COUNT(M$18:M136)-MATCH(MIN(Q$18:Q$137),Q$18:Q$137,0),1))*$T$6*$T$14))</f>
        <v/>
      </c>
      <c r="X136" s="23" t="str">
        <f>IF(Q136="","",MAX(0,(T136/1.25-V136)/9.81-2.5*1.1*$T$7*Q136))</f>
        <v/>
      </c>
      <c r="Z136" s="15">
        <f t="shared" si="65"/>
        <v>-0.35</v>
      </c>
      <c r="AA136" s="15">
        <f t="shared" si="66"/>
        <v>1.4</v>
      </c>
      <c r="AC136" s="15">
        <f t="shared" si="67"/>
        <v>1</v>
      </c>
      <c r="AD136" s="15" t="e">
        <f t="shared" si="68"/>
        <v>#NUM!</v>
      </c>
      <c r="AF136" s="15">
        <f t="shared" ca="1" si="69"/>
        <v>0</v>
      </c>
      <c r="AH136" s="15" t="e">
        <f t="shared" si="62"/>
        <v>#N/A</v>
      </c>
      <c r="AI136" s="38" t="e">
        <f t="shared" si="50"/>
        <v>#VALUE!</v>
      </c>
    </row>
    <row r="137" spans="1:35" x14ac:dyDescent="0.2">
      <c r="A137" s="15">
        <v>120</v>
      </c>
      <c r="B137" s="2" t="str">
        <f t="shared" si="55"/>
        <v/>
      </c>
      <c r="C137" s="25"/>
      <c r="D137" s="25"/>
      <c r="E137" s="25"/>
      <c r="F137" s="3" t="str">
        <f t="shared" ca="1" si="56"/>
        <v/>
      </c>
      <c r="G137" s="30" t="str">
        <f t="shared" ca="1" si="57"/>
        <v/>
      </c>
      <c r="I137" s="13" t="str">
        <f t="shared" ca="1" si="63"/>
        <v/>
      </c>
      <c r="J137" s="14" t="str">
        <f t="shared" ca="1" si="58"/>
        <v/>
      </c>
      <c r="L137" s="14" t="str">
        <f t="shared" ca="1" si="59"/>
        <v/>
      </c>
      <c r="M137" s="22" t="str">
        <f t="shared" ca="1" si="64"/>
        <v/>
      </c>
      <c r="N137" s="37" t="str">
        <f t="shared" ca="1" si="60"/>
        <v/>
      </c>
      <c r="O137" s="37" t="str">
        <f t="shared" ca="1" si="61"/>
        <v/>
      </c>
      <c r="Q137" s="22" t="str">
        <f>IF(C137="","",IF(ROUND(($D$6-FLOOR($D$6-$T$8,$C$19-$C$18))-B137,2)&lt;0,"",ROUND(($D$6-FLOOR($D$6-$T$8,$C$19-$C$18))-B137,2)))</f>
        <v/>
      </c>
      <c r="R137" s="22" t="str">
        <f>IF(Q137="","",J137*I137*$T$7)</f>
        <v/>
      </c>
      <c r="S137" s="22" t="str">
        <f ca="1">IF(Q137="","",IF(Q137=0,0,SUMPRODUCT(OFFSET(M$18,MATCH(MIN(Q$18:Q$137),Q$18:Q$137,0),0,COUNT(M$18:M137)-MATCH(MIN(Q$18:Q$137),Q$18:Q$137,0),1),OFFSET(M$18,MATCH(MIN(Q$18:Q$137),Q$18:Q$137,0),1,COUNT(M$18:M137)-MATCH(MIN(Q$18:Q$137),Q$18:Q$137,0),1))*$T$6))</f>
        <v/>
      </c>
      <c r="T137" s="22" t="str">
        <f>IF(Q137="","",R137+S137)</f>
        <v/>
      </c>
      <c r="V137" s="22" t="str">
        <f ca="1">IF(Q137="","",IF(Q137=0,0,SUMPRODUCT(OFFSET(M$18,MATCH(MIN(Q$18:Q$137),Q$18:Q$137,0),0,COUNT(M$18:M137)-MATCH(MIN(Q$18:Q$137),Q$18:Q$137,0),1),OFFSET(M$18,MATCH(MIN(Q$18:Q$137),Q$18:Q$137,0),2,COUNT(M$18:M137)-MATCH(MIN(Q$18:Q$137),Q$18:Q$137,0),1))*$T$6*$T$14))</f>
        <v/>
      </c>
      <c r="X137" s="23" t="str">
        <f>IF(Q137="","",MAX(0,(T137/1.25-V137)/9.81-2.5*1.1*$T$7*Q137))</f>
        <v/>
      </c>
      <c r="Z137" s="15">
        <f t="shared" si="65"/>
        <v>-0.35</v>
      </c>
      <c r="AA137" s="15">
        <f t="shared" si="66"/>
        <v>1.4</v>
      </c>
      <c r="AC137" s="15" t="e">
        <f t="shared" si="67"/>
        <v>#DIV/0!</v>
      </c>
      <c r="AD137" s="15" t="e">
        <f t="shared" si="68"/>
        <v>#N/A</v>
      </c>
      <c r="AF137" s="15">
        <f t="shared" ca="1" si="69"/>
        <v>0</v>
      </c>
      <c r="AH137" s="15" t="e">
        <f t="shared" si="62"/>
        <v>#N/A</v>
      </c>
      <c r="AI137" s="38" t="e">
        <f t="shared" si="50"/>
        <v>#VALUE!</v>
      </c>
    </row>
  </sheetData>
  <mergeCells count="22">
    <mergeCell ref="E12:F12"/>
    <mergeCell ref="E13:F13"/>
    <mergeCell ref="E6:F6"/>
    <mergeCell ref="E7:F7"/>
    <mergeCell ref="E8:F8"/>
    <mergeCell ref="E9:F9"/>
    <mergeCell ref="E15:F15"/>
    <mergeCell ref="Q14:S14"/>
    <mergeCell ref="Q11:T11"/>
    <mergeCell ref="B1:T1"/>
    <mergeCell ref="E14:F14"/>
    <mergeCell ref="E5:F5"/>
    <mergeCell ref="B3:F3"/>
    <mergeCell ref="Q5:S5"/>
    <mergeCell ref="E10:F10"/>
    <mergeCell ref="E11:F11"/>
    <mergeCell ref="Q6:S6"/>
    <mergeCell ref="Q7:S7"/>
    <mergeCell ref="Q8:S8"/>
    <mergeCell ref="Q12:S12"/>
    <mergeCell ref="Q13:S13"/>
    <mergeCell ref="AC17:AF17"/>
  </mergeCells>
  <phoneticPr fontId="1" type="noConversion"/>
  <conditionalFormatting sqref="Q11:T14">
    <cfRule type="expression" dxfId="1" priority="1" stopIfTrue="1">
      <formula>IF(OR($G$6="тип II",$G$7="тип II",$G$8="тип II",$G$9="тип II",$G$10="тип II",$G$11="тип II",$G$12="тип II",$G$13="тип II",$G$14="тип II",$G$15="тип II"),FALSE(),TRUE())</formula>
    </cfRule>
  </conditionalFormatting>
  <dataValidations disablePrompts="1" count="2">
    <dataValidation type="list" allowBlank="1" showInputMessage="1" showErrorMessage="1" sqref="E6:F15">
      <formula1>"песчаный,пыл.-глинист."</formula1>
    </dataValidation>
    <dataValidation type="list" allowBlank="1" showInputMessage="1" showErrorMessage="1" sqref="G6:G15">
      <formula1>"тип I,тип II"</formula1>
    </dataValidation>
  </dataValidations>
  <pageMargins left="0.98425196850393704" right="0.31496062992125984" top="0.35433070866141736" bottom="0.35433070866141736" header="0.31496062992125984" footer="0.31496062992125984"/>
  <pageSetup paperSize="9" scale="52" orientation="portrait" horizontalDpi="180" verticalDpi="18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37"/>
  <sheetViews>
    <sheetView zoomScale="85" zoomScaleNormal="70" workbookViewId="0">
      <pane ySplit="17" topLeftCell="A93" activePane="bottomLeft" state="frozen"/>
      <selection pane="bottomLeft" activeCell="Q107" sqref="Q107:AI107"/>
    </sheetView>
  </sheetViews>
  <sheetFormatPr defaultRowHeight="12.75" x14ac:dyDescent="0.2"/>
  <cols>
    <col min="1" max="1" width="3.85546875" style="15" customWidth="1"/>
    <col min="2" max="6" width="9" style="24" customWidth="1"/>
    <col min="7" max="7" width="14" style="20" customWidth="1"/>
    <col min="8" max="8" width="2.28515625" style="20" customWidth="1"/>
    <col min="9" max="10" width="9.140625" style="19"/>
    <col min="11" max="11" width="2.28515625" style="20" customWidth="1"/>
    <col min="12" max="13" width="9.140625" style="19"/>
    <col min="14" max="15" width="9.140625" style="15"/>
    <col min="16" max="16" width="2.28515625" style="20" customWidth="1"/>
    <col min="17" max="17" width="9.140625" style="24"/>
    <col min="18" max="20" width="9.140625" style="19"/>
    <col min="21" max="21" width="2.28515625" style="20" customWidth="1"/>
    <col min="22" max="22" width="9.140625" style="15"/>
    <col min="23" max="23" width="2.42578125" style="15" customWidth="1"/>
    <col min="24" max="24" width="9.140625" style="19"/>
    <col min="25" max="25" width="3.7109375" style="15" customWidth="1"/>
    <col min="26" max="27" width="6" style="15" customWidth="1"/>
    <col min="28" max="28" width="4.85546875" style="15" customWidth="1"/>
    <col min="29" max="30" width="5.42578125" style="15" customWidth="1"/>
    <col min="31" max="31" width="1.7109375" style="15" customWidth="1"/>
    <col min="32" max="32" width="5.7109375" style="15" customWidth="1"/>
    <col min="33" max="16384" width="9.140625" style="15"/>
  </cols>
  <sheetData>
    <row r="1" spans="2:25" ht="39.6" customHeight="1" x14ac:dyDescent="0.2">
      <c r="B1" s="55" t="s">
        <v>10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16"/>
      <c r="X1" s="17"/>
      <c r="Y1" s="18"/>
    </row>
    <row r="2" spans="2:25" ht="6" customHeight="1" x14ac:dyDescent="0.2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P2" s="7"/>
      <c r="Q2" s="7"/>
      <c r="R2" s="7"/>
      <c r="S2" s="7"/>
      <c r="T2" s="7"/>
      <c r="U2" s="16"/>
      <c r="X2" s="17"/>
      <c r="Y2" s="18"/>
    </row>
    <row r="3" spans="2:25" ht="14.25" customHeight="1" x14ac:dyDescent="0.2">
      <c r="B3" s="57" t="e">
        <f ca="1">MID(CELL("ИМЯФАЙЛА",B4),SEARCH("]",CELL("ИМЯФАЙЛА",B4))+1,255)</f>
        <v>#VALUE!</v>
      </c>
      <c r="C3" s="57"/>
      <c r="D3" s="57"/>
      <c r="E3" s="57"/>
      <c r="F3" s="57"/>
      <c r="G3" s="7"/>
      <c r="H3" s="7"/>
      <c r="I3" s="7"/>
      <c r="J3" s="7"/>
      <c r="K3" s="7"/>
      <c r="L3" s="7"/>
      <c r="M3" s="7"/>
      <c r="P3" s="7"/>
      <c r="Q3" s="7"/>
      <c r="R3" s="7"/>
      <c r="S3" s="7"/>
      <c r="T3" s="7"/>
      <c r="U3" s="16"/>
      <c r="X3" s="17"/>
      <c r="Y3" s="18"/>
    </row>
    <row r="4" spans="2:25" ht="6" customHeight="1" x14ac:dyDescent="0.2">
      <c r="B4" s="17"/>
      <c r="C4" s="17"/>
      <c r="D4" s="17"/>
      <c r="E4" s="17"/>
      <c r="F4" s="17"/>
      <c r="G4" s="16"/>
      <c r="H4" s="16"/>
      <c r="I4" s="17"/>
      <c r="J4" s="17"/>
      <c r="K4" s="16"/>
      <c r="L4" s="17"/>
      <c r="M4" s="17"/>
      <c r="P4" s="16"/>
      <c r="Q4" s="17"/>
      <c r="R4" s="17"/>
      <c r="S4" s="17"/>
      <c r="T4" s="17"/>
      <c r="U4" s="16"/>
      <c r="X4" s="17"/>
      <c r="Y4" s="18"/>
    </row>
    <row r="5" spans="2:25" ht="14.25" customHeight="1" x14ac:dyDescent="0.2">
      <c r="B5" s="3" t="s">
        <v>7</v>
      </c>
      <c r="C5" s="3" t="s">
        <v>8</v>
      </c>
      <c r="D5" s="4" t="s">
        <v>9</v>
      </c>
      <c r="E5" s="56" t="s">
        <v>42</v>
      </c>
      <c r="F5" s="56"/>
      <c r="G5" s="35" t="s">
        <v>51</v>
      </c>
      <c r="H5" s="16"/>
      <c r="K5" s="16"/>
      <c r="L5" s="15"/>
      <c r="M5" s="15"/>
      <c r="P5" s="16"/>
      <c r="Q5" s="58" t="s">
        <v>38</v>
      </c>
      <c r="R5" s="58"/>
      <c r="S5" s="58"/>
      <c r="T5" s="28">
        <f>Статистика!E1</f>
        <v>0.35</v>
      </c>
      <c r="U5" s="16"/>
      <c r="X5" s="17"/>
      <c r="Y5" s="18"/>
    </row>
    <row r="6" spans="2:25" ht="14.25" customHeight="1" x14ac:dyDescent="0.2">
      <c r="B6" s="3">
        <v>1</v>
      </c>
      <c r="C6" s="26" t="s">
        <v>4</v>
      </c>
      <c r="D6" s="27">
        <v>191.26</v>
      </c>
      <c r="E6" s="47" t="s">
        <v>43</v>
      </c>
      <c r="F6" s="47"/>
      <c r="G6" s="41"/>
      <c r="H6" s="16"/>
      <c r="K6" s="16"/>
      <c r="L6" s="15"/>
      <c r="M6" s="15"/>
      <c r="P6" s="16"/>
      <c r="Q6" s="58" t="s">
        <v>39</v>
      </c>
      <c r="R6" s="58"/>
      <c r="S6" s="58"/>
      <c r="T6" s="28">
        <f>4*T5</f>
        <v>1.4</v>
      </c>
      <c r="U6" s="16"/>
      <c r="X6" s="17"/>
      <c r="Y6" s="18"/>
    </row>
    <row r="7" spans="2:25" ht="14.25" customHeight="1" x14ac:dyDescent="0.2">
      <c r="B7" s="3">
        <v>2</v>
      </c>
      <c r="C7" s="26" t="s">
        <v>5</v>
      </c>
      <c r="D7" s="27">
        <v>188.76</v>
      </c>
      <c r="E7" s="47" t="s">
        <v>43</v>
      </c>
      <c r="F7" s="47"/>
      <c r="G7" s="41"/>
      <c r="H7" s="16"/>
      <c r="K7" s="16"/>
      <c r="L7" s="15"/>
      <c r="M7" s="15"/>
      <c r="P7" s="16"/>
      <c r="Q7" s="58" t="s">
        <v>40</v>
      </c>
      <c r="R7" s="58"/>
      <c r="S7" s="58"/>
      <c r="T7" s="28">
        <f>T5*T5</f>
        <v>0.12249999999999998</v>
      </c>
      <c r="U7" s="16"/>
      <c r="X7" s="17"/>
      <c r="Y7" s="18"/>
    </row>
    <row r="8" spans="2:25" ht="14.25" customHeight="1" x14ac:dyDescent="0.2">
      <c r="B8" s="3">
        <v>3</v>
      </c>
      <c r="C8" s="26" t="s">
        <v>50</v>
      </c>
      <c r="D8" s="27">
        <v>177.46</v>
      </c>
      <c r="E8" s="47" t="s">
        <v>43</v>
      </c>
      <c r="F8" s="47"/>
      <c r="G8" s="41"/>
      <c r="H8" s="16"/>
      <c r="K8" s="16"/>
      <c r="L8" s="15"/>
      <c r="M8" s="15"/>
      <c r="P8" s="16"/>
      <c r="Q8" s="58" t="s">
        <v>41</v>
      </c>
      <c r="R8" s="58"/>
      <c r="S8" s="58"/>
      <c r="T8" s="27">
        <f>D6-3</f>
        <v>188.26</v>
      </c>
      <c r="U8" s="16"/>
      <c r="X8" s="17"/>
      <c r="Y8" s="18"/>
    </row>
    <row r="9" spans="2:25" ht="14.25" customHeight="1" x14ac:dyDescent="0.2">
      <c r="B9" s="4">
        <v>4</v>
      </c>
      <c r="C9" s="26" t="s">
        <v>60</v>
      </c>
      <c r="D9" s="27">
        <v>170.26</v>
      </c>
      <c r="E9" s="47" t="s">
        <v>43</v>
      </c>
      <c r="F9" s="47"/>
      <c r="G9" s="41"/>
      <c r="H9" s="16"/>
      <c r="K9" s="16"/>
      <c r="L9" s="15"/>
      <c r="M9" s="15"/>
      <c r="P9" s="16"/>
      <c r="Q9" s="17"/>
      <c r="R9" s="17"/>
      <c r="S9" s="17"/>
      <c r="T9" s="17"/>
      <c r="U9" s="16"/>
      <c r="X9" s="17"/>
      <c r="Y9" s="18"/>
    </row>
    <row r="10" spans="2:25" ht="14.25" customHeight="1" x14ac:dyDescent="0.2">
      <c r="B10" s="4">
        <v>5</v>
      </c>
      <c r="C10" s="26" t="s">
        <v>6</v>
      </c>
      <c r="D10" s="27">
        <v>167.96</v>
      </c>
      <c r="E10" s="47" t="s">
        <v>43</v>
      </c>
      <c r="F10" s="47"/>
      <c r="G10" s="41"/>
      <c r="H10" s="16"/>
      <c r="I10" s="17"/>
      <c r="J10" s="17"/>
      <c r="K10" s="16"/>
      <c r="L10" s="17"/>
      <c r="M10" s="17"/>
      <c r="P10" s="16"/>
      <c r="Q10" s="17"/>
      <c r="R10" s="17"/>
      <c r="S10" s="17"/>
      <c r="T10" s="17"/>
      <c r="U10" s="16"/>
      <c r="X10" s="17"/>
      <c r="Y10" s="18"/>
    </row>
    <row r="11" spans="2:25" ht="14.25" customHeight="1" x14ac:dyDescent="0.2">
      <c r="B11" s="4">
        <v>6</v>
      </c>
      <c r="C11" s="26"/>
      <c r="D11" s="27"/>
      <c r="E11" s="47"/>
      <c r="F11" s="47"/>
      <c r="G11" s="41"/>
      <c r="H11" s="16"/>
      <c r="I11" s="17"/>
      <c r="J11" s="17"/>
      <c r="K11" s="16"/>
      <c r="L11" s="17"/>
      <c r="M11" s="17"/>
      <c r="P11" s="16"/>
      <c r="Q11" s="52" t="s">
        <v>54</v>
      </c>
      <c r="R11" s="53"/>
      <c r="S11" s="53"/>
      <c r="T11" s="54"/>
      <c r="U11" s="16"/>
      <c r="X11" s="17"/>
      <c r="Y11" s="18"/>
    </row>
    <row r="12" spans="2:25" ht="14.25" customHeight="1" x14ac:dyDescent="0.2">
      <c r="B12" s="4">
        <v>7</v>
      </c>
      <c r="C12" s="26"/>
      <c r="D12" s="27"/>
      <c r="E12" s="47"/>
      <c r="F12" s="47"/>
      <c r="G12" s="41"/>
      <c r="H12" s="16"/>
      <c r="J12" s="17"/>
      <c r="K12" s="16"/>
      <c r="L12" s="17"/>
      <c r="M12" s="17"/>
      <c r="P12" s="16"/>
      <c r="Q12" s="48" t="s">
        <v>56</v>
      </c>
      <c r="R12" s="49"/>
      <c r="S12" s="50"/>
      <c r="T12" s="40">
        <v>5</v>
      </c>
      <c r="U12" s="16"/>
      <c r="X12" s="17"/>
      <c r="Y12" s="18"/>
    </row>
    <row r="13" spans="2:25" ht="14.25" customHeight="1" x14ac:dyDescent="0.2">
      <c r="B13" s="4">
        <v>8</v>
      </c>
      <c r="C13" s="26"/>
      <c r="D13" s="27"/>
      <c r="E13" s="47"/>
      <c r="F13" s="47"/>
      <c r="G13" s="41"/>
      <c r="H13" s="16"/>
      <c r="J13" s="17"/>
      <c r="K13" s="16"/>
      <c r="L13" s="17"/>
      <c r="M13" s="17"/>
      <c r="P13" s="16"/>
      <c r="Q13" s="48" t="s">
        <v>57</v>
      </c>
      <c r="R13" s="49"/>
      <c r="S13" s="50"/>
      <c r="T13" s="40">
        <v>15</v>
      </c>
      <c r="U13" s="16"/>
      <c r="X13" s="17"/>
      <c r="Y13" s="18"/>
    </row>
    <row r="14" spans="2:25" ht="14.25" customHeight="1" x14ac:dyDescent="0.2">
      <c r="B14" s="4">
        <v>9</v>
      </c>
      <c r="C14" s="26"/>
      <c r="D14" s="27"/>
      <c r="E14" s="47"/>
      <c r="F14" s="47"/>
      <c r="G14" s="41"/>
      <c r="H14" s="16"/>
      <c r="I14" s="17"/>
      <c r="J14" s="17"/>
      <c r="K14" s="16"/>
      <c r="L14" s="17"/>
      <c r="M14" s="17"/>
      <c r="P14" s="16"/>
      <c r="Q14" s="48" t="s">
        <v>55</v>
      </c>
      <c r="R14" s="49"/>
      <c r="S14" s="50"/>
      <c r="T14" s="39">
        <f>ROUND(IF(T12&lt;=5,0,IF(T12&gt;=2*T13,0.8,0.8*(T12-5)/(2*T13-5))),3)</f>
        <v>0</v>
      </c>
      <c r="U14" s="16"/>
      <c r="X14" s="17"/>
      <c r="Y14" s="18"/>
    </row>
    <row r="15" spans="2:25" ht="14.25" customHeight="1" x14ac:dyDescent="0.2">
      <c r="B15" s="4">
        <v>10</v>
      </c>
      <c r="C15" s="26"/>
      <c r="D15" s="26"/>
      <c r="E15" s="47"/>
      <c r="F15" s="47"/>
      <c r="G15" s="41"/>
      <c r="H15" s="16"/>
      <c r="I15" s="17"/>
      <c r="J15" s="17"/>
      <c r="K15" s="16"/>
      <c r="L15" s="17"/>
      <c r="M15" s="17"/>
      <c r="P15" s="16"/>
      <c r="U15" s="16"/>
      <c r="X15" s="17"/>
      <c r="Y15" s="18"/>
    </row>
    <row r="16" spans="2:25" x14ac:dyDescent="0.2">
      <c r="B16" s="17"/>
      <c r="C16" s="17"/>
      <c r="D16" s="17"/>
      <c r="E16" s="17"/>
      <c r="F16" s="17"/>
      <c r="G16" s="16"/>
      <c r="H16" s="16"/>
      <c r="I16" s="17"/>
      <c r="J16" s="17"/>
      <c r="K16" s="16"/>
      <c r="L16" s="17"/>
      <c r="M16" s="17"/>
      <c r="P16" s="16"/>
      <c r="Q16" s="17"/>
      <c r="R16" s="17"/>
      <c r="S16" s="17"/>
      <c r="T16" s="17"/>
      <c r="U16" s="16"/>
      <c r="X16" s="17"/>
      <c r="Y16" s="18"/>
    </row>
    <row r="17" spans="1:38" ht="28.5" x14ac:dyDescent="0.2">
      <c r="B17" s="1" t="s">
        <v>0</v>
      </c>
      <c r="C17" s="1" t="s">
        <v>1</v>
      </c>
      <c r="D17" s="5" t="s">
        <v>11</v>
      </c>
      <c r="E17" s="5" t="s">
        <v>12</v>
      </c>
      <c r="F17" s="1" t="s">
        <v>8</v>
      </c>
      <c r="G17" s="1" t="s">
        <v>42</v>
      </c>
      <c r="I17" s="6" t="s">
        <v>13</v>
      </c>
      <c r="J17" s="6" t="s">
        <v>14</v>
      </c>
      <c r="L17" s="6" t="s">
        <v>15</v>
      </c>
      <c r="M17" s="6" t="s">
        <v>16</v>
      </c>
      <c r="N17" s="36" t="s">
        <v>53</v>
      </c>
      <c r="O17" s="36" t="s">
        <v>52</v>
      </c>
      <c r="Q17" s="5" t="s">
        <v>17</v>
      </c>
      <c r="R17" s="6" t="s">
        <v>18</v>
      </c>
      <c r="S17" s="6" t="s">
        <v>19</v>
      </c>
      <c r="T17" s="6" t="s">
        <v>20</v>
      </c>
      <c r="V17" s="6" t="s">
        <v>58</v>
      </c>
      <c r="X17" s="6" t="s">
        <v>21</v>
      </c>
      <c r="Z17" s="15" t="s">
        <v>2</v>
      </c>
      <c r="AA17" s="15" t="s">
        <v>3</v>
      </c>
      <c r="AC17" s="51" t="s">
        <v>23</v>
      </c>
      <c r="AD17" s="51"/>
      <c r="AE17" s="51"/>
      <c r="AF17" s="51"/>
      <c r="AH17" s="15" t="s">
        <v>22</v>
      </c>
      <c r="AI17" s="15" t="s">
        <v>63</v>
      </c>
    </row>
    <row r="18" spans="1:38" x14ac:dyDescent="0.2">
      <c r="A18" s="15">
        <v>1</v>
      </c>
      <c r="B18" s="2">
        <f t="shared" ref="B18:B49" si="0">IF(C18="","",ROUND($D$6-C18,2))</f>
        <v>190.06</v>
      </c>
      <c r="C18" s="25">
        <v>1.2</v>
      </c>
      <c r="D18" s="25">
        <v>7.44</v>
      </c>
      <c r="E18" s="25">
        <v>76.03</v>
      </c>
      <c r="F18" s="3" t="str">
        <f t="shared" ref="F18:F49" ca="1" si="1">IF(C18="","",OFFSET($C$5,MATCH(B18,D$6:D$15,-1),0,1,1))</f>
        <v>ИГЭ-1</v>
      </c>
      <c r="G18" s="30" t="str">
        <f t="shared" ref="G18:G49" ca="1" si="2">IF(C18="","",OFFSET($E$5,MATCH(B18,D$6:D$15,-1),0,1,1))</f>
        <v>пыл.-глинист.</v>
      </c>
      <c r="I18" s="13">
        <f ca="1">ROUND(AVERAGE(OFFSET($D$18,MATCH(MAX(FLOOR(C18-$T$5,(C19-C18)),C$18),C$18:C$137),0,MATCH(MIN(CEILING(C18+4*$T$5,(C19-C18)),C$137),C$18:C$137)-MATCH(MAX(FLOOR(C18-$T$5,(C19-C18)),C$18),C$18:C$137)+1,1))*1000,0)</f>
        <v>4406</v>
      </c>
      <c r="J18" s="14">
        <f t="shared" ref="J18:J49" ca="1" si="3">IF(I18="","",IF(I18&lt;=1000,0.9,IF(I18&lt;=2500,ROUND(0.967-0.000067*I18,3),IF(I18&lt;=5000,ROUND(0.95-0.00006*I18,3),IF(I18&lt;=7500,ROUND(0.85-0.00004*I18,3),IF(I18&lt;=10000,ROUND(0.85-0.00004*I18,3),IF(I18&lt;=15000,ROUND(0.65-0.00002*I18,3),IF(I18&lt;=30000,0.5-0.00001*I18,0.2))))))))</f>
        <v>0.68600000000000005</v>
      </c>
      <c r="L18" s="14">
        <f t="shared" ref="L18:L49" ca="1" si="4">IF(G18="","",IF(G18="песчаный",IF(E18&lt;=20,0.75,IF(E18&lt;=40,ROUND(0.9-0.0075*E18,3),IF(E18&lt;=120,ROUND(0.7-0.0025*E18,3),0.4))),IF(E18&lt;=20,1,IF(E18&lt;=40,ROUND(1.25-0.0125*E18,3),IF(E18&lt;=80,ROUND(1.05-0.0075*E18,3),IF(E18&lt;=100,ROUND(0.65-0.0025*E18,3),IF(E18&lt;=120,ROUND(0.9-0.005*E18,3),0.3)))))))</f>
        <v>0.48</v>
      </c>
      <c r="M18" s="21">
        <v>0</v>
      </c>
      <c r="N18" s="37">
        <f t="shared" ref="N18:N49" ca="1" si="5">IF(C18="","",IF(OFFSET($C$5,MATCH(B18,D$6:D$15,-1),4,1,1)="",1,0))</f>
        <v>1</v>
      </c>
      <c r="O18" s="37">
        <f t="shared" ref="O18:O49" ca="1" si="6">IF(C18="","",IF(OFFSET($C$5,MATCH(B18,D$6:D$15,-1),4,1,1)="тип II",1,0))</f>
        <v>0</v>
      </c>
      <c r="Q18" s="22" t="str">
        <f t="shared" ref="Q18:Q49" si="7">IF(C18="","",IF(ROUND(($D$6-FLOOR($D$6-$T$8,$C$19-$C$18))-B18,2)&lt;0,"",ROUND(($D$6-FLOOR($D$6-$T$8,$C$19-$C$18))-B18,2)))</f>
        <v/>
      </c>
      <c r="R18" s="22" t="str">
        <f t="shared" ref="R18:R49" si="8">IF(Q18="","",J18*I18*$T$7)</f>
        <v/>
      </c>
      <c r="S18" s="22" t="str">
        <f>IF(Q18="","",0)</f>
        <v/>
      </c>
      <c r="T18" s="22" t="str">
        <f t="shared" ref="T18:T49" si="9">IF(Q18="","",R18+S18)</f>
        <v/>
      </c>
      <c r="V18" s="22"/>
      <c r="W18" s="29"/>
      <c r="X18" s="23" t="str">
        <f t="shared" ref="X18:X49" si="10">IF(Q18="","",MAX(0,(T18/1.25-V18)/9.81-2.5*1.1*$T$7*Q18))</f>
        <v/>
      </c>
      <c r="AH18" s="15">
        <f t="shared" ref="AH18:AH49" si="11">MATCH(B18,D$6:D$15,-1)</f>
        <v>1</v>
      </c>
      <c r="AI18" s="38"/>
      <c r="AJ18" s="29"/>
      <c r="AK18" s="29"/>
      <c r="AL18" s="29"/>
    </row>
    <row r="19" spans="1:38" x14ac:dyDescent="0.2">
      <c r="A19" s="15">
        <v>2</v>
      </c>
      <c r="B19" s="2">
        <f t="shared" si="0"/>
        <v>189.86</v>
      </c>
      <c r="C19" s="25">
        <v>1.4</v>
      </c>
      <c r="D19" s="25">
        <v>6.96</v>
      </c>
      <c r="E19" s="25">
        <v>92.15</v>
      </c>
      <c r="F19" s="3" t="str">
        <f t="shared" ca="1" si="1"/>
        <v>ИГЭ-1</v>
      </c>
      <c r="G19" s="30" t="str">
        <f t="shared" ca="1" si="2"/>
        <v>пыл.-глинист.</v>
      </c>
      <c r="I19" s="13">
        <f t="shared" ref="I19:I50" ca="1" si="12">IF(D19="","",ROUND(AVERAGE(OFFSET($D$17,MATCH(MAX(FLOOR(C19-$T$5,(C19-C18)),C$18),C$18:C$137),0,MATCH(MIN(CEILING(C19+4*$T$5,(C19-C18)),C$137),C$18:C$137)-MATCH(MAX(FLOOR(C19-$T$5,(C19-C18)),C$18),C$18:C$137)+1,1))*1000,0))</f>
        <v>4785</v>
      </c>
      <c r="J19" s="14">
        <f t="shared" ca="1" si="3"/>
        <v>0.66300000000000003</v>
      </c>
      <c r="L19" s="14">
        <f t="shared" ca="1" si="4"/>
        <v>0.42</v>
      </c>
      <c r="M19" s="22">
        <f t="shared" ref="M19:M50" ca="1" si="13">IF(L19="","",(C19-C18)*SUMPRODUCT(E18:E19,L18:L19)/2)</f>
        <v>7.5197399999999988</v>
      </c>
      <c r="N19" s="37">
        <f t="shared" ca="1" si="5"/>
        <v>1</v>
      </c>
      <c r="O19" s="37">
        <f t="shared" ca="1" si="6"/>
        <v>0</v>
      </c>
      <c r="Q19" s="22" t="str">
        <f t="shared" si="7"/>
        <v/>
      </c>
      <c r="R19" s="22" t="str">
        <f t="shared" si="8"/>
        <v/>
      </c>
      <c r="S19" s="22" t="str">
        <f ca="1">IF(Q19="","",IF(Q19=0,0,SUMPRODUCT(OFFSET(M$18,MATCH(MIN(Q$18:Q$137),Q$18:Q$137,0),0,COUNT(M$18:M19)-MATCH(MIN(Q$18:Q$137),Q$18:Q$137,0),1),OFFSET(M$18,MATCH(MIN(Q$18:Q$137),Q$18:Q$137,0),1,COUNT(M$18:M19)-MATCH(MIN(Q$18:Q$137),Q$18:Q$137,0),1))*$T$6))</f>
        <v/>
      </c>
      <c r="T19" s="22" t="str">
        <f t="shared" si="9"/>
        <v/>
      </c>
      <c r="V19" s="22" t="str">
        <f ca="1">IF(Q19="","",IF(Q19=0,0,SUMPRODUCT(OFFSET(M$18,MATCH(MIN(Q$18:Q$137),Q$18:Q$137,0),0,COUNT(M$18:M19)-MATCH(MIN(Q$18:Q$137),Q$18:Q$137,0),1),OFFSET(M$18,MATCH(MIN(Q$18:Q$137),Q$18:Q$137,0),2,COUNT(M$18:M19)-MATCH(MIN(Q$18:Q$137),Q$18:Q$137,0),1))*$T$6*$T$14))</f>
        <v/>
      </c>
      <c r="W19" s="29"/>
      <c r="X19" s="23" t="str">
        <f t="shared" si="10"/>
        <v/>
      </c>
      <c r="Z19" s="15">
        <f t="shared" ref="Z19:Z50" si="14">C19-T$5</f>
        <v>1.0499999999999998</v>
      </c>
      <c r="AA19" s="15">
        <f t="shared" ref="AA19:AA50" si="15">C19+4*T$5</f>
        <v>2.8</v>
      </c>
      <c r="AC19" s="15">
        <f t="shared" ref="AC19:AC50" si="16">MATCH(MAX(FLOOR(C19-$T$5,(C19-C18)),C$18),C$18:C$137)</f>
        <v>1</v>
      </c>
      <c r="AD19" s="15">
        <f t="shared" ref="AD19:AD50" si="17">MATCH(MIN(CEILING(C19+4*$T$5,(C19-C18)),C$137),C$18:C$137)</f>
        <v>8</v>
      </c>
      <c r="AF19" s="15">
        <f t="shared" ref="AF19:AF50" ca="1" si="18">COUNT(OFFSET($D$17,AC19,0,AD19-AC19+1,1))</f>
        <v>8</v>
      </c>
      <c r="AH19" s="15">
        <f t="shared" si="11"/>
        <v>1</v>
      </c>
      <c r="AI19" s="38" t="e">
        <f>X19/T$5/T$5/9</f>
        <v>#VALUE!</v>
      </c>
      <c r="AJ19" s="29"/>
      <c r="AK19" s="29"/>
      <c r="AL19" s="29"/>
    </row>
    <row r="20" spans="1:38" x14ac:dyDescent="0.2">
      <c r="A20" s="15">
        <v>3</v>
      </c>
      <c r="B20" s="2">
        <f t="shared" si="0"/>
        <v>189.66</v>
      </c>
      <c r="C20" s="25">
        <v>1.6</v>
      </c>
      <c r="D20" s="25">
        <v>2.76</v>
      </c>
      <c r="E20" s="25">
        <v>64.510000000000005</v>
      </c>
      <c r="F20" s="3" t="str">
        <f t="shared" ca="1" si="1"/>
        <v>ИГЭ-1</v>
      </c>
      <c r="G20" s="30" t="str">
        <f t="shared" ca="1" si="2"/>
        <v>пыл.-глинист.</v>
      </c>
      <c r="I20" s="13">
        <f t="shared" ca="1" si="12"/>
        <v>3900</v>
      </c>
      <c r="J20" s="14">
        <f t="shared" ca="1" si="3"/>
        <v>0.71599999999999997</v>
      </c>
      <c r="L20" s="14">
        <f t="shared" ca="1" si="4"/>
        <v>0.56599999999999995</v>
      </c>
      <c r="M20" s="22">
        <f t="shared" ca="1" si="13"/>
        <v>7.5215660000000071</v>
      </c>
      <c r="N20" s="37">
        <f t="shared" ca="1" si="5"/>
        <v>1</v>
      </c>
      <c r="O20" s="37">
        <f t="shared" ca="1" si="6"/>
        <v>0</v>
      </c>
      <c r="Q20" s="22" t="str">
        <f t="shared" si="7"/>
        <v/>
      </c>
      <c r="R20" s="22" t="str">
        <f t="shared" si="8"/>
        <v/>
      </c>
      <c r="S20" s="22" t="str">
        <f ca="1">IF(Q20="","",IF(Q20=0,0,SUMPRODUCT(OFFSET(M$18,MATCH(MIN(Q$18:Q$137),Q$18:Q$137,0),0,COUNT(M$18:M20)-MATCH(MIN(Q$18:Q$137),Q$18:Q$137,0),1),OFFSET(M$18,MATCH(MIN(Q$18:Q$137),Q$18:Q$137,0),1,COUNT(M$18:M20)-MATCH(MIN(Q$18:Q$137),Q$18:Q$137,0),1))*$T$6))</f>
        <v/>
      </c>
      <c r="T20" s="22" t="str">
        <f t="shared" si="9"/>
        <v/>
      </c>
      <c r="V20" s="22" t="str">
        <f ca="1">IF(Q20="","",IF(Q20=0,0,SUMPRODUCT(OFFSET(M$18,MATCH(MIN(Q$18:Q$137),Q$18:Q$137,0),0,COUNT(M$18:M20)-MATCH(MIN(Q$18:Q$137),Q$18:Q$137,0),1),OFFSET(M$18,MATCH(MIN(Q$18:Q$137),Q$18:Q$137,0),2,COUNT(M$18:M20)-MATCH(MIN(Q$18:Q$137),Q$18:Q$137,0),1))*$T$6*$T$14))</f>
        <v/>
      </c>
      <c r="W20" s="29"/>
      <c r="X20" s="23" t="str">
        <f t="shared" si="10"/>
        <v/>
      </c>
      <c r="Z20" s="15">
        <f t="shared" si="14"/>
        <v>1.25</v>
      </c>
      <c r="AA20" s="15">
        <f t="shared" si="15"/>
        <v>3</v>
      </c>
      <c r="AC20" s="15">
        <f t="shared" si="16"/>
        <v>1</v>
      </c>
      <c r="AD20" s="15">
        <f t="shared" si="17"/>
        <v>10</v>
      </c>
      <c r="AF20" s="15">
        <f t="shared" ca="1" si="18"/>
        <v>10</v>
      </c>
      <c r="AH20" s="15">
        <f t="shared" si="11"/>
        <v>1</v>
      </c>
      <c r="AI20" s="38" t="e">
        <f t="shared" ref="AI20:AI83" si="19">X20/T$5/T$5/9</f>
        <v>#VALUE!</v>
      </c>
      <c r="AJ20" s="29"/>
      <c r="AK20" s="29"/>
      <c r="AL20" s="29"/>
    </row>
    <row r="21" spans="1:38" x14ac:dyDescent="0.2">
      <c r="A21" s="15">
        <v>4</v>
      </c>
      <c r="B21" s="2">
        <f t="shared" si="0"/>
        <v>189.46</v>
      </c>
      <c r="C21" s="25">
        <v>1.8</v>
      </c>
      <c r="D21" s="25">
        <v>3.84</v>
      </c>
      <c r="E21" s="25">
        <v>18.43</v>
      </c>
      <c r="F21" s="3" t="str">
        <f t="shared" ca="1" si="1"/>
        <v>ИГЭ-1</v>
      </c>
      <c r="G21" s="30" t="str">
        <f t="shared" ca="1" si="2"/>
        <v>пыл.-глинист.</v>
      </c>
      <c r="I21" s="13">
        <f t="shared" ca="1" si="12"/>
        <v>3900</v>
      </c>
      <c r="J21" s="14">
        <f t="shared" ca="1" si="3"/>
        <v>0.71599999999999997</v>
      </c>
      <c r="L21" s="14">
        <f t="shared" ca="1" si="4"/>
        <v>1</v>
      </c>
      <c r="M21" s="22">
        <f t="shared" ca="1" si="13"/>
        <v>5.4942659999999988</v>
      </c>
      <c r="N21" s="37">
        <f t="shared" ca="1" si="5"/>
        <v>1</v>
      </c>
      <c r="O21" s="37">
        <f t="shared" ca="1" si="6"/>
        <v>0</v>
      </c>
      <c r="Q21" s="22" t="str">
        <f t="shared" si="7"/>
        <v/>
      </c>
      <c r="R21" s="22" t="str">
        <f t="shared" si="8"/>
        <v/>
      </c>
      <c r="S21" s="22" t="str">
        <f ca="1">IF(Q21="","",IF(Q21=0,0,SUMPRODUCT(OFFSET(M$18,MATCH(MIN(Q$18:Q$137),Q$18:Q$137,0),0,COUNT(M$18:M21)-MATCH(MIN(Q$18:Q$137),Q$18:Q$137,0),1),OFFSET(M$18,MATCH(MIN(Q$18:Q$137),Q$18:Q$137,0),1,COUNT(M$18:M21)-MATCH(MIN(Q$18:Q$137),Q$18:Q$137,0),1))*$T$6))</f>
        <v/>
      </c>
      <c r="T21" s="22" t="str">
        <f t="shared" si="9"/>
        <v/>
      </c>
      <c r="V21" s="22" t="str">
        <f ca="1">IF(Q21="","",IF(Q21=0,0,SUMPRODUCT(OFFSET(M$18,MATCH(MIN(Q$18:Q$137),Q$18:Q$137,0),0,COUNT(M$18:M21)-MATCH(MIN(Q$18:Q$137),Q$18:Q$137,0),1),OFFSET(M$18,MATCH(MIN(Q$18:Q$137),Q$18:Q$137,0),2,COUNT(M$18:M21)-MATCH(MIN(Q$18:Q$137),Q$18:Q$137,0),1))*$T$6*$T$14))</f>
        <v/>
      </c>
      <c r="W21" s="29"/>
      <c r="X21" s="23" t="str">
        <f t="shared" si="10"/>
        <v/>
      </c>
      <c r="Z21" s="15">
        <f t="shared" si="14"/>
        <v>1.4500000000000002</v>
      </c>
      <c r="AA21" s="15">
        <f t="shared" si="15"/>
        <v>3.2</v>
      </c>
      <c r="AC21" s="15">
        <f t="shared" si="16"/>
        <v>1</v>
      </c>
      <c r="AD21" s="15">
        <f t="shared" si="17"/>
        <v>10</v>
      </c>
      <c r="AF21" s="15">
        <f t="shared" ca="1" si="18"/>
        <v>10</v>
      </c>
      <c r="AH21" s="15">
        <f t="shared" si="11"/>
        <v>1</v>
      </c>
      <c r="AI21" s="38" t="e">
        <f t="shared" si="19"/>
        <v>#VALUE!</v>
      </c>
      <c r="AJ21" s="29"/>
      <c r="AK21" s="29"/>
      <c r="AL21" s="29"/>
    </row>
    <row r="22" spans="1:38" x14ac:dyDescent="0.2">
      <c r="A22" s="15">
        <v>5</v>
      </c>
      <c r="B22" s="2">
        <f t="shared" si="0"/>
        <v>189.26</v>
      </c>
      <c r="C22" s="25">
        <v>2</v>
      </c>
      <c r="D22" s="25">
        <v>11.04</v>
      </c>
      <c r="E22" s="25">
        <v>27.65</v>
      </c>
      <c r="F22" s="3" t="str">
        <f t="shared" ca="1" si="1"/>
        <v>ИГЭ-1</v>
      </c>
      <c r="G22" s="30" t="str">
        <f t="shared" ca="1" si="2"/>
        <v>пыл.-глинист.</v>
      </c>
      <c r="I22" s="13">
        <f t="shared" ca="1" si="12"/>
        <v>3192</v>
      </c>
      <c r="J22" s="14">
        <f t="shared" ca="1" si="3"/>
        <v>0.75800000000000001</v>
      </c>
      <c r="L22" s="14">
        <f t="shared" ca="1" si="4"/>
        <v>0.90400000000000003</v>
      </c>
      <c r="M22" s="22">
        <f t="shared" ca="1" si="13"/>
        <v>4.3425599999999998</v>
      </c>
      <c r="N22" s="37">
        <f t="shared" ca="1" si="5"/>
        <v>1</v>
      </c>
      <c r="O22" s="37">
        <f t="shared" ca="1" si="6"/>
        <v>0</v>
      </c>
      <c r="Q22" s="22" t="str">
        <f t="shared" si="7"/>
        <v/>
      </c>
      <c r="R22" s="22" t="str">
        <f t="shared" si="8"/>
        <v/>
      </c>
      <c r="S22" s="22" t="str">
        <f ca="1">IF(Q22="","",IF(Q22=0,0,SUMPRODUCT(OFFSET(M$18,MATCH(MIN(Q$18:Q$137),Q$18:Q$137,0),0,COUNT(M$18:M22)-MATCH(MIN(Q$18:Q$137),Q$18:Q$137,0),1),OFFSET(M$18,MATCH(MIN(Q$18:Q$137),Q$18:Q$137,0),1,COUNT(M$18:M22)-MATCH(MIN(Q$18:Q$137),Q$18:Q$137,0),1))*$T$6))</f>
        <v/>
      </c>
      <c r="T22" s="22" t="str">
        <f t="shared" si="9"/>
        <v/>
      </c>
      <c r="V22" s="22" t="str">
        <f ca="1">IF(Q22="","",IF(Q22=0,0,SUMPRODUCT(OFFSET(M$18,MATCH(MIN(Q$18:Q$137),Q$18:Q$137,0),0,COUNT(M$18:M22)-MATCH(MIN(Q$18:Q$137),Q$18:Q$137,0),1),OFFSET(M$18,MATCH(MIN(Q$18:Q$137),Q$18:Q$137,0),2,COUNT(M$18:M22)-MATCH(MIN(Q$18:Q$137),Q$18:Q$137,0),1))*$T$6*$T$14))</f>
        <v/>
      </c>
      <c r="W22" s="29"/>
      <c r="X22" s="23" t="str">
        <f t="shared" si="10"/>
        <v/>
      </c>
      <c r="Z22" s="15">
        <f t="shared" si="14"/>
        <v>1.65</v>
      </c>
      <c r="AA22" s="15">
        <f t="shared" si="15"/>
        <v>3.4</v>
      </c>
      <c r="AC22" s="15">
        <f t="shared" si="16"/>
        <v>2</v>
      </c>
      <c r="AD22" s="15">
        <f t="shared" si="17"/>
        <v>11</v>
      </c>
      <c r="AF22" s="15">
        <f t="shared" ca="1" si="18"/>
        <v>10</v>
      </c>
      <c r="AH22" s="15">
        <f t="shared" si="11"/>
        <v>1</v>
      </c>
      <c r="AI22" s="38" t="e">
        <f t="shared" si="19"/>
        <v>#VALUE!</v>
      </c>
      <c r="AJ22" s="29"/>
      <c r="AK22" s="29"/>
      <c r="AL22" s="29"/>
    </row>
    <row r="23" spans="1:38" x14ac:dyDescent="0.2">
      <c r="A23" s="15">
        <v>6</v>
      </c>
      <c r="B23" s="2">
        <f t="shared" si="0"/>
        <v>189.06</v>
      </c>
      <c r="C23" s="25">
        <v>2.2000000000000002</v>
      </c>
      <c r="D23" s="25">
        <v>3.96</v>
      </c>
      <c r="E23" s="25">
        <v>89.85</v>
      </c>
      <c r="F23" s="3" t="str">
        <f t="shared" ca="1" si="1"/>
        <v>ИГЭ-1</v>
      </c>
      <c r="G23" s="30" t="str">
        <f t="shared" ca="1" si="2"/>
        <v>пыл.-глинист.</v>
      </c>
      <c r="I23" s="13">
        <f t="shared" ca="1" si="12"/>
        <v>2292</v>
      </c>
      <c r="J23" s="14">
        <f t="shared" ca="1" si="3"/>
        <v>0.81299999999999994</v>
      </c>
      <c r="L23" s="14">
        <f t="shared" ca="1" si="4"/>
        <v>0.42499999999999999</v>
      </c>
      <c r="M23" s="22">
        <f t="shared" ca="1" si="13"/>
        <v>6.318185000000005</v>
      </c>
      <c r="N23" s="37">
        <f t="shared" ca="1" si="5"/>
        <v>1</v>
      </c>
      <c r="O23" s="37">
        <f t="shared" ca="1" si="6"/>
        <v>0</v>
      </c>
      <c r="Q23" s="22" t="str">
        <f t="shared" si="7"/>
        <v/>
      </c>
      <c r="R23" s="22" t="str">
        <f t="shared" si="8"/>
        <v/>
      </c>
      <c r="S23" s="22" t="str">
        <f ca="1">IF(Q23="","",IF(Q23=0,0,SUMPRODUCT(OFFSET(M$18,MATCH(MIN(Q$18:Q$137),Q$18:Q$137,0),0,COUNT(M$18:M23)-MATCH(MIN(Q$18:Q$137),Q$18:Q$137,0),1),OFFSET(M$18,MATCH(MIN(Q$18:Q$137),Q$18:Q$137,0),1,COUNT(M$18:M23)-MATCH(MIN(Q$18:Q$137),Q$18:Q$137,0),1))*$T$6))</f>
        <v/>
      </c>
      <c r="T23" s="22" t="str">
        <f t="shared" si="9"/>
        <v/>
      </c>
      <c r="V23" s="22" t="str">
        <f ca="1">IF(Q23="","",IF(Q23=0,0,SUMPRODUCT(OFFSET(M$18,MATCH(MIN(Q$18:Q$137),Q$18:Q$137,0),0,COUNT(M$18:M23)-MATCH(MIN(Q$18:Q$137),Q$18:Q$137,0),1),OFFSET(M$18,MATCH(MIN(Q$18:Q$137),Q$18:Q$137,0),2,COUNT(M$18:M23)-MATCH(MIN(Q$18:Q$137),Q$18:Q$137,0),1))*$T$6*$T$14))</f>
        <v/>
      </c>
      <c r="W23" s="29"/>
      <c r="X23" s="23" t="str">
        <f t="shared" si="10"/>
        <v/>
      </c>
      <c r="Z23" s="15">
        <f t="shared" si="14"/>
        <v>1.85</v>
      </c>
      <c r="AA23" s="15">
        <f t="shared" si="15"/>
        <v>3.6</v>
      </c>
      <c r="AC23" s="15">
        <f t="shared" si="16"/>
        <v>4</v>
      </c>
      <c r="AD23" s="15">
        <f t="shared" si="17"/>
        <v>13</v>
      </c>
      <c r="AF23" s="15">
        <f t="shared" ca="1" si="18"/>
        <v>10</v>
      </c>
      <c r="AH23" s="15">
        <f t="shared" si="11"/>
        <v>1</v>
      </c>
      <c r="AI23" s="38" t="e">
        <f t="shared" si="19"/>
        <v>#VALUE!</v>
      </c>
      <c r="AJ23" s="29"/>
      <c r="AK23" s="29"/>
      <c r="AL23" s="29"/>
    </row>
    <row r="24" spans="1:38" x14ac:dyDescent="0.2">
      <c r="A24" s="15">
        <v>7</v>
      </c>
      <c r="B24" s="2">
        <f t="shared" si="0"/>
        <v>188.86</v>
      </c>
      <c r="C24" s="25">
        <v>2.4</v>
      </c>
      <c r="D24" s="25">
        <v>1.68</v>
      </c>
      <c r="E24" s="25">
        <v>27.65</v>
      </c>
      <c r="F24" s="3" t="str">
        <f t="shared" ca="1" si="1"/>
        <v>ИГЭ-1</v>
      </c>
      <c r="G24" s="30" t="str">
        <f t="shared" ca="1" si="2"/>
        <v>пыл.-глинист.</v>
      </c>
      <c r="I24" s="13">
        <f t="shared" ca="1" si="12"/>
        <v>2292</v>
      </c>
      <c r="J24" s="14">
        <f t="shared" ca="1" si="3"/>
        <v>0.81299999999999994</v>
      </c>
      <c r="L24" s="14">
        <f t="shared" ca="1" si="4"/>
        <v>0.90400000000000003</v>
      </c>
      <c r="M24" s="22">
        <f t="shared" ca="1" si="13"/>
        <v>6.3181849999999917</v>
      </c>
      <c r="N24" s="37">
        <f t="shared" ca="1" si="5"/>
        <v>1</v>
      </c>
      <c r="O24" s="37">
        <f t="shared" ca="1" si="6"/>
        <v>0</v>
      </c>
      <c r="Q24" s="22" t="str">
        <f t="shared" si="7"/>
        <v/>
      </c>
      <c r="R24" s="22" t="str">
        <f t="shared" si="8"/>
        <v/>
      </c>
      <c r="S24" s="22" t="str">
        <f ca="1">IF(Q24="","",IF(Q24=0,0,SUMPRODUCT(OFFSET(M$18,MATCH(MIN(Q$18:Q$137),Q$18:Q$137,0),0,COUNT(M$18:M24)-MATCH(MIN(Q$18:Q$137),Q$18:Q$137,0),1),OFFSET(M$18,MATCH(MIN(Q$18:Q$137),Q$18:Q$137,0),1,COUNT(M$18:M24)-MATCH(MIN(Q$18:Q$137),Q$18:Q$137,0),1))*$T$6))</f>
        <v/>
      </c>
      <c r="T24" s="22" t="str">
        <f t="shared" si="9"/>
        <v/>
      </c>
      <c r="V24" s="22" t="str">
        <f ca="1">IF(Q24="","",IF(Q24=0,0,SUMPRODUCT(OFFSET(M$18,MATCH(MIN(Q$18:Q$137),Q$18:Q$137,0),0,COUNT(M$18:M24)-MATCH(MIN(Q$18:Q$137),Q$18:Q$137,0),1),OFFSET(M$18,MATCH(MIN(Q$18:Q$137),Q$18:Q$137,0),2,COUNT(M$18:M24)-MATCH(MIN(Q$18:Q$137),Q$18:Q$137,0),1))*$T$6*$T$14))</f>
        <v/>
      </c>
      <c r="W24" s="29"/>
      <c r="X24" s="23" t="str">
        <f t="shared" si="10"/>
        <v/>
      </c>
      <c r="Z24" s="15">
        <f t="shared" si="14"/>
        <v>2.0499999999999998</v>
      </c>
      <c r="AA24" s="15">
        <f t="shared" si="15"/>
        <v>3.8</v>
      </c>
      <c r="AC24" s="15">
        <f t="shared" si="16"/>
        <v>4</v>
      </c>
      <c r="AD24" s="15">
        <f t="shared" si="17"/>
        <v>13</v>
      </c>
      <c r="AF24" s="15">
        <f t="shared" ca="1" si="18"/>
        <v>10</v>
      </c>
      <c r="AH24" s="15">
        <f t="shared" si="11"/>
        <v>1</v>
      </c>
      <c r="AI24" s="38" t="e">
        <f t="shared" si="19"/>
        <v>#VALUE!</v>
      </c>
      <c r="AJ24" s="29"/>
      <c r="AK24" s="29"/>
      <c r="AL24" s="29"/>
    </row>
    <row r="25" spans="1:38" x14ac:dyDescent="0.2">
      <c r="A25" s="15">
        <v>8</v>
      </c>
      <c r="B25" s="2">
        <f t="shared" si="0"/>
        <v>188.66</v>
      </c>
      <c r="C25" s="25">
        <v>2.6</v>
      </c>
      <c r="D25" s="25">
        <v>0.6</v>
      </c>
      <c r="E25" s="25">
        <v>4.6100000000000003</v>
      </c>
      <c r="F25" s="3" t="str">
        <f t="shared" ca="1" si="1"/>
        <v>ИГЭ-2</v>
      </c>
      <c r="G25" s="30" t="str">
        <f t="shared" ca="1" si="2"/>
        <v>пыл.-глинист.</v>
      </c>
      <c r="I25" s="13">
        <f t="shared" ca="1" si="12"/>
        <v>900</v>
      </c>
      <c r="J25" s="14">
        <f t="shared" ca="1" si="3"/>
        <v>0.9</v>
      </c>
      <c r="L25" s="14">
        <f t="shared" ca="1" si="4"/>
        <v>1</v>
      </c>
      <c r="M25" s="22">
        <f t="shared" ca="1" si="13"/>
        <v>2.9605600000000027</v>
      </c>
      <c r="N25" s="37">
        <f t="shared" ca="1" si="5"/>
        <v>1</v>
      </c>
      <c r="O25" s="37">
        <f t="shared" ca="1" si="6"/>
        <v>0</v>
      </c>
      <c r="Q25" s="22" t="str">
        <f t="shared" si="7"/>
        <v/>
      </c>
      <c r="R25" s="22" t="str">
        <f t="shared" si="8"/>
        <v/>
      </c>
      <c r="S25" s="22" t="str">
        <f ca="1">IF(Q25="","",IF(Q25=0,0,SUMPRODUCT(OFFSET(M$18,MATCH(MIN(Q$18:Q$137),Q$18:Q$137,0),0,COUNT(M$18:M25)-MATCH(MIN(Q$18:Q$137),Q$18:Q$137,0),1),OFFSET(M$18,MATCH(MIN(Q$18:Q$137),Q$18:Q$137,0),1,COUNT(M$18:M25)-MATCH(MIN(Q$18:Q$137),Q$18:Q$137,0),1))*$T$6))</f>
        <v/>
      </c>
      <c r="T25" s="22" t="str">
        <f t="shared" si="9"/>
        <v/>
      </c>
      <c r="V25" s="22" t="str">
        <f ca="1">IF(Q25="","",IF(Q25=0,0,SUMPRODUCT(OFFSET(M$18,MATCH(MIN(Q$18:Q$137),Q$18:Q$137,0),0,COUNT(M$18:M25)-MATCH(MIN(Q$18:Q$137),Q$18:Q$137,0),1),OFFSET(M$18,MATCH(MIN(Q$18:Q$137),Q$18:Q$137,0),2,COUNT(M$18:M25)-MATCH(MIN(Q$18:Q$137),Q$18:Q$137,0),1))*$T$6*$T$14))</f>
        <v/>
      </c>
      <c r="W25" s="29"/>
      <c r="X25" s="23" t="str">
        <f t="shared" si="10"/>
        <v/>
      </c>
      <c r="Z25" s="15">
        <f t="shared" si="14"/>
        <v>2.25</v>
      </c>
      <c r="AA25" s="15">
        <f t="shared" si="15"/>
        <v>4</v>
      </c>
      <c r="AC25" s="15">
        <f t="shared" si="16"/>
        <v>6</v>
      </c>
      <c r="AD25" s="15">
        <f t="shared" si="17"/>
        <v>15</v>
      </c>
      <c r="AF25" s="15">
        <f t="shared" ca="1" si="18"/>
        <v>10</v>
      </c>
      <c r="AH25" s="15">
        <f t="shared" si="11"/>
        <v>2</v>
      </c>
      <c r="AI25" s="38" t="e">
        <f t="shared" si="19"/>
        <v>#VALUE!</v>
      </c>
      <c r="AJ25" s="29"/>
      <c r="AK25" s="29"/>
      <c r="AL25" s="29"/>
    </row>
    <row r="26" spans="1:38" x14ac:dyDescent="0.2">
      <c r="A26" s="15">
        <v>9</v>
      </c>
      <c r="B26" s="2">
        <f t="shared" si="0"/>
        <v>188.46</v>
      </c>
      <c r="C26" s="25">
        <v>2.8</v>
      </c>
      <c r="D26" s="25">
        <v>0.36</v>
      </c>
      <c r="E26" s="25">
        <v>4.6100000000000003</v>
      </c>
      <c r="F26" s="3" t="str">
        <f t="shared" ca="1" si="1"/>
        <v>ИГЭ-2</v>
      </c>
      <c r="G26" s="30" t="str">
        <f t="shared" ca="1" si="2"/>
        <v>пыл.-глинист.</v>
      </c>
      <c r="I26" s="13">
        <f t="shared" ca="1" si="12"/>
        <v>900</v>
      </c>
      <c r="J26" s="14">
        <f t="shared" ca="1" si="3"/>
        <v>0.9</v>
      </c>
      <c r="L26" s="14">
        <f t="shared" ca="1" si="4"/>
        <v>1</v>
      </c>
      <c r="M26" s="22">
        <f t="shared" ca="1" si="13"/>
        <v>0.92199999999999882</v>
      </c>
      <c r="N26" s="37">
        <f t="shared" ca="1" si="5"/>
        <v>1</v>
      </c>
      <c r="O26" s="37">
        <f t="shared" ca="1" si="6"/>
        <v>0</v>
      </c>
      <c r="Q26" s="22" t="str">
        <f t="shared" si="7"/>
        <v/>
      </c>
      <c r="R26" s="22" t="str">
        <f t="shared" si="8"/>
        <v/>
      </c>
      <c r="S26" s="22" t="str">
        <f ca="1">IF(Q26="","",IF(Q26=0,0,SUMPRODUCT(OFFSET(M$18,MATCH(MIN(Q$18:Q$137),Q$18:Q$137,0),0,COUNT(M$18:M26)-MATCH(MIN(Q$18:Q$137),Q$18:Q$137,0),1),OFFSET(M$18,MATCH(MIN(Q$18:Q$137),Q$18:Q$137,0),1,COUNT(M$18:M26)-MATCH(MIN(Q$18:Q$137),Q$18:Q$137,0),1))*$T$6))</f>
        <v/>
      </c>
      <c r="T26" s="22" t="str">
        <f t="shared" si="9"/>
        <v/>
      </c>
      <c r="V26" s="22" t="str">
        <f ca="1">IF(Q26="","",IF(Q26=0,0,SUMPRODUCT(OFFSET(M$18,MATCH(MIN(Q$18:Q$137),Q$18:Q$137,0),0,COUNT(M$18:M26)-MATCH(MIN(Q$18:Q$137),Q$18:Q$137,0),1),OFFSET(M$18,MATCH(MIN(Q$18:Q$137),Q$18:Q$137,0),2,COUNT(M$18:M26)-MATCH(MIN(Q$18:Q$137),Q$18:Q$137,0),1))*$T$6*$T$14))</f>
        <v/>
      </c>
      <c r="W26" s="29"/>
      <c r="X26" s="23" t="str">
        <f t="shared" si="10"/>
        <v/>
      </c>
      <c r="Z26" s="15">
        <f t="shared" si="14"/>
        <v>2.4499999999999997</v>
      </c>
      <c r="AA26" s="15">
        <f t="shared" si="15"/>
        <v>4.1999999999999993</v>
      </c>
      <c r="AC26" s="15">
        <f t="shared" si="16"/>
        <v>6</v>
      </c>
      <c r="AD26" s="15">
        <f t="shared" si="17"/>
        <v>15</v>
      </c>
      <c r="AF26" s="15">
        <f t="shared" ca="1" si="18"/>
        <v>10</v>
      </c>
      <c r="AH26" s="15">
        <f t="shared" si="11"/>
        <v>2</v>
      </c>
      <c r="AI26" s="38" t="e">
        <f t="shared" si="19"/>
        <v>#VALUE!</v>
      </c>
      <c r="AJ26" s="29"/>
      <c r="AK26" s="29"/>
      <c r="AL26" s="29"/>
    </row>
    <row r="27" spans="1:38" x14ac:dyDescent="0.2">
      <c r="A27" s="15">
        <v>10</v>
      </c>
      <c r="B27" s="2">
        <f t="shared" si="0"/>
        <v>188.26</v>
      </c>
      <c r="C27" s="25">
        <v>3</v>
      </c>
      <c r="D27" s="25">
        <v>0.36</v>
      </c>
      <c r="E27" s="25">
        <v>2.2999999999999998</v>
      </c>
      <c r="F27" s="3" t="str">
        <f t="shared" ca="1" si="1"/>
        <v>ИГЭ-2</v>
      </c>
      <c r="G27" s="30" t="str">
        <f t="shared" ca="1" si="2"/>
        <v>пыл.-глинист.</v>
      </c>
      <c r="I27" s="13">
        <f t="shared" ca="1" si="12"/>
        <v>432</v>
      </c>
      <c r="J27" s="14">
        <f t="shared" ca="1" si="3"/>
        <v>0.9</v>
      </c>
      <c r="L27" s="14">
        <f t="shared" ca="1" si="4"/>
        <v>1</v>
      </c>
      <c r="M27" s="22">
        <f t="shared" ca="1" si="13"/>
        <v>0.69100000000000061</v>
      </c>
      <c r="N27" s="37">
        <f t="shared" ca="1" si="5"/>
        <v>1</v>
      </c>
      <c r="O27" s="37">
        <f t="shared" ca="1" si="6"/>
        <v>0</v>
      </c>
      <c r="Q27" s="22">
        <f t="shared" si="7"/>
        <v>0</v>
      </c>
      <c r="R27" s="22">
        <f t="shared" ca="1" si="8"/>
        <v>47.627999999999993</v>
      </c>
      <c r="S27" s="22">
        <f ca="1">IF(Q27="","",IF(Q27=0,0,SUMPRODUCT(OFFSET(M$18,MATCH(MIN(Q$18:Q$137),Q$18:Q$137,0),0,COUNT(M$18:M27)-MATCH(MIN(Q$18:Q$137),Q$18:Q$137,0),1),OFFSET(M$18,MATCH(MIN(Q$18:Q$137),Q$18:Q$137,0),1,COUNT(M$18:M27)-MATCH(MIN(Q$18:Q$137),Q$18:Q$137,0),1))*$T$6))</f>
        <v>0</v>
      </c>
      <c r="T27" s="22">
        <f t="shared" ca="1" si="9"/>
        <v>47.627999999999993</v>
      </c>
      <c r="V27" s="22">
        <f ca="1">IF(Q27="","",IF(Q27=0,0,SUMPRODUCT(OFFSET(M$18,MATCH(MIN(Q$18:Q$137),Q$18:Q$137,0),0,COUNT(M$18:M27)-MATCH(MIN(Q$18:Q$137),Q$18:Q$137,0),1),OFFSET(M$18,MATCH(MIN(Q$18:Q$137),Q$18:Q$137,0),2,COUNT(M$18:M27)-MATCH(MIN(Q$18:Q$137),Q$18:Q$137,0),1))*$T$6*$T$14))</f>
        <v>0</v>
      </c>
      <c r="W27" s="29"/>
      <c r="X27" s="23">
        <f t="shared" ca="1" si="10"/>
        <v>3.8840366972477058</v>
      </c>
      <c r="Z27" s="15">
        <f t="shared" si="14"/>
        <v>2.65</v>
      </c>
      <c r="AA27" s="15">
        <f t="shared" si="15"/>
        <v>4.4000000000000004</v>
      </c>
      <c r="AC27" s="15">
        <f t="shared" si="16"/>
        <v>8</v>
      </c>
      <c r="AD27" s="15">
        <f t="shared" si="17"/>
        <v>17</v>
      </c>
      <c r="AF27" s="15">
        <f t="shared" ca="1" si="18"/>
        <v>10</v>
      </c>
      <c r="AH27" s="15">
        <f t="shared" si="11"/>
        <v>2</v>
      </c>
      <c r="AI27" s="38">
        <f t="shared" ca="1" si="19"/>
        <v>3.5229357798165135</v>
      </c>
      <c r="AJ27" s="29"/>
      <c r="AK27" s="29"/>
      <c r="AL27" s="29"/>
    </row>
    <row r="28" spans="1:38" x14ac:dyDescent="0.2">
      <c r="A28" s="15">
        <v>11</v>
      </c>
      <c r="B28" s="2">
        <f t="shared" si="0"/>
        <v>188.06</v>
      </c>
      <c r="C28" s="25">
        <v>3.2</v>
      </c>
      <c r="D28" s="25">
        <v>0.36</v>
      </c>
      <c r="E28" s="25">
        <v>4.6100000000000003</v>
      </c>
      <c r="F28" s="3" t="str">
        <f t="shared" ca="1" si="1"/>
        <v>ИГЭ-2</v>
      </c>
      <c r="G28" s="30" t="str">
        <f t="shared" ca="1" si="2"/>
        <v>пыл.-глинист.</v>
      </c>
      <c r="I28" s="13">
        <f t="shared" ca="1" si="12"/>
        <v>420</v>
      </c>
      <c r="J28" s="14">
        <f t="shared" ca="1" si="3"/>
        <v>0.9</v>
      </c>
      <c r="L28" s="14">
        <f t="shared" ca="1" si="4"/>
        <v>1</v>
      </c>
      <c r="M28" s="22">
        <f t="shared" ca="1" si="13"/>
        <v>0.69100000000000061</v>
      </c>
      <c r="N28" s="37">
        <f t="shared" ca="1" si="5"/>
        <v>1</v>
      </c>
      <c r="O28" s="37">
        <f t="shared" ca="1" si="6"/>
        <v>0</v>
      </c>
      <c r="Q28" s="22">
        <f t="shared" si="7"/>
        <v>0.2</v>
      </c>
      <c r="R28" s="22">
        <f t="shared" ca="1" si="8"/>
        <v>46.304999999999993</v>
      </c>
      <c r="S28" s="22">
        <f ca="1">IF(Q28="","",IF(Q28=0,0,SUMPRODUCT(OFFSET(M$18,MATCH(MIN(Q$18:Q$137),Q$18:Q$137,0),0,COUNT(M$18:M28)-MATCH(MIN(Q$18:Q$137),Q$18:Q$137,0),1),OFFSET(M$18,MATCH(MIN(Q$18:Q$137),Q$18:Q$137,0),1,COUNT(M$18:M28)-MATCH(MIN(Q$18:Q$137),Q$18:Q$137,0),1))*$T$6))</f>
        <v>0.96740000000000081</v>
      </c>
      <c r="T28" s="22">
        <f t="shared" ca="1" si="9"/>
        <v>47.27239999999999</v>
      </c>
      <c r="V28" s="22">
        <f ca="1">IF(Q28="","",IF(Q28=0,0,SUMPRODUCT(OFFSET(M$18,MATCH(MIN(Q$18:Q$137),Q$18:Q$137,0),0,COUNT(M$18:M28)-MATCH(MIN(Q$18:Q$137),Q$18:Q$137,0),1),OFFSET(M$18,MATCH(MIN(Q$18:Q$137),Q$18:Q$137,0),2,COUNT(M$18:M28)-MATCH(MIN(Q$18:Q$137),Q$18:Q$137,0),1))*$T$6*$T$14))</f>
        <v>0</v>
      </c>
      <c r="W28" s="29"/>
      <c r="X28" s="23">
        <f t="shared" ca="1" si="10"/>
        <v>3.7876627166156971</v>
      </c>
      <c r="Z28" s="15">
        <f t="shared" si="14"/>
        <v>2.85</v>
      </c>
      <c r="AA28" s="15">
        <f t="shared" si="15"/>
        <v>4.5999999999999996</v>
      </c>
      <c r="AC28" s="15">
        <f t="shared" si="16"/>
        <v>9</v>
      </c>
      <c r="AD28" s="15">
        <f t="shared" si="17"/>
        <v>18</v>
      </c>
      <c r="AF28" s="15">
        <f t="shared" ca="1" si="18"/>
        <v>10</v>
      </c>
      <c r="AH28" s="15">
        <f t="shared" si="11"/>
        <v>2</v>
      </c>
      <c r="AI28" s="38">
        <f t="shared" ca="1" si="19"/>
        <v>3.4355217384269365</v>
      </c>
      <c r="AJ28" s="29"/>
      <c r="AK28" s="29"/>
      <c r="AL28" s="29"/>
    </row>
    <row r="29" spans="1:38" x14ac:dyDescent="0.2">
      <c r="A29" s="15">
        <v>12</v>
      </c>
      <c r="B29" s="2">
        <f t="shared" si="0"/>
        <v>187.86</v>
      </c>
      <c r="C29" s="25">
        <v>3.4</v>
      </c>
      <c r="D29" s="25">
        <v>0.36</v>
      </c>
      <c r="E29" s="25">
        <v>2.2999999999999998</v>
      </c>
      <c r="F29" s="3" t="str">
        <f t="shared" ca="1" si="1"/>
        <v>ИГЭ-2</v>
      </c>
      <c r="G29" s="30" t="str">
        <f t="shared" ca="1" si="2"/>
        <v>пыл.-глинист.</v>
      </c>
      <c r="I29" s="13">
        <f t="shared" ca="1" si="12"/>
        <v>420</v>
      </c>
      <c r="J29" s="14">
        <f t="shared" ca="1" si="3"/>
        <v>0.9</v>
      </c>
      <c r="L29" s="14">
        <f t="shared" ca="1" si="4"/>
        <v>1</v>
      </c>
      <c r="M29" s="22">
        <f t="shared" ca="1" si="13"/>
        <v>0.69099999999999906</v>
      </c>
      <c r="N29" s="37">
        <f t="shared" ca="1" si="5"/>
        <v>1</v>
      </c>
      <c r="O29" s="37">
        <f t="shared" ca="1" si="6"/>
        <v>0</v>
      </c>
      <c r="Q29" s="22">
        <f t="shared" si="7"/>
        <v>0.4</v>
      </c>
      <c r="R29" s="22">
        <f t="shared" ca="1" si="8"/>
        <v>46.304999999999993</v>
      </c>
      <c r="S29" s="22">
        <f ca="1">IF(Q29="","",IF(Q29=0,0,SUMPRODUCT(OFFSET(M$18,MATCH(MIN(Q$18:Q$137),Q$18:Q$137,0),0,COUNT(M$18:M29)-MATCH(MIN(Q$18:Q$137),Q$18:Q$137,0),1),OFFSET(M$18,MATCH(MIN(Q$18:Q$137),Q$18:Q$137,0),1,COUNT(M$18:M29)-MATCH(MIN(Q$18:Q$137),Q$18:Q$137,0),1))*$T$6))</f>
        <v>1.9347999999999994</v>
      </c>
      <c r="T29" s="22">
        <f t="shared" ca="1" si="9"/>
        <v>48.239799999999995</v>
      </c>
      <c r="V29" s="22">
        <f ca="1">IF(Q29="","",IF(Q29=0,0,SUMPRODUCT(OFFSET(M$18,MATCH(MIN(Q$18:Q$137),Q$18:Q$137,0),0,COUNT(M$18:M29)-MATCH(MIN(Q$18:Q$137),Q$18:Q$137,0),1),OFFSET(M$18,MATCH(MIN(Q$18:Q$137),Q$18:Q$137,0),2,COUNT(M$18:M29)-MATCH(MIN(Q$18:Q$137),Q$18:Q$137,0),1))*$T$6*$T$14))</f>
        <v>0</v>
      </c>
      <c r="W29" s="29"/>
      <c r="X29" s="23">
        <f t="shared" ca="1" si="10"/>
        <v>3.7991786442405706</v>
      </c>
      <c r="Z29" s="15">
        <f t="shared" si="14"/>
        <v>3.05</v>
      </c>
      <c r="AA29" s="15">
        <f t="shared" si="15"/>
        <v>4.8</v>
      </c>
      <c r="AC29" s="15">
        <f t="shared" si="16"/>
        <v>9</v>
      </c>
      <c r="AD29" s="15">
        <f t="shared" si="17"/>
        <v>18</v>
      </c>
      <c r="AF29" s="15">
        <f t="shared" ca="1" si="18"/>
        <v>10</v>
      </c>
      <c r="AH29" s="15">
        <f t="shared" si="11"/>
        <v>2</v>
      </c>
      <c r="AI29" s="38">
        <f t="shared" ca="1" si="19"/>
        <v>3.4459670242544864</v>
      </c>
      <c r="AJ29" s="29"/>
      <c r="AK29" s="29"/>
      <c r="AL29" s="29"/>
    </row>
    <row r="30" spans="1:38" x14ac:dyDescent="0.2">
      <c r="A30" s="15">
        <v>13</v>
      </c>
      <c r="B30" s="2">
        <f t="shared" si="0"/>
        <v>187.66</v>
      </c>
      <c r="C30" s="25">
        <v>3.6</v>
      </c>
      <c r="D30" s="25">
        <v>0.36</v>
      </c>
      <c r="E30" s="25">
        <v>2.2999999999999998</v>
      </c>
      <c r="F30" s="3" t="str">
        <f t="shared" ca="1" si="1"/>
        <v>ИГЭ-2</v>
      </c>
      <c r="G30" s="30" t="str">
        <f t="shared" ca="1" si="2"/>
        <v>пыл.-глинист.</v>
      </c>
      <c r="I30" s="13">
        <f t="shared" ca="1" si="12"/>
        <v>468</v>
      </c>
      <c r="J30" s="14">
        <f t="shared" ca="1" si="3"/>
        <v>0.9</v>
      </c>
      <c r="L30" s="14">
        <f t="shared" ca="1" si="4"/>
        <v>1</v>
      </c>
      <c r="M30" s="22">
        <f t="shared" ca="1" si="13"/>
        <v>0.46000000000000035</v>
      </c>
      <c r="N30" s="37">
        <f t="shared" ca="1" si="5"/>
        <v>1</v>
      </c>
      <c r="O30" s="37">
        <f t="shared" ca="1" si="6"/>
        <v>0</v>
      </c>
      <c r="Q30" s="22">
        <f t="shared" si="7"/>
        <v>0.6</v>
      </c>
      <c r="R30" s="22">
        <f t="shared" ca="1" si="8"/>
        <v>51.596999999999994</v>
      </c>
      <c r="S30" s="22">
        <f ca="1">IF(Q30="","",IF(Q30=0,0,SUMPRODUCT(OFFSET(M$18,MATCH(MIN(Q$18:Q$137),Q$18:Q$137,0),0,COUNT(M$18:M30)-MATCH(MIN(Q$18:Q$137),Q$18:Q$137,0),1),OFFSET(M$18,MATCH(MIN(Q$18:Q$137),Q$18:Q$137,0),1,COUNT(M$18:M30)-MATCH(MIN(Q$18:Q$137),Q$18:Q$137,0),1))*$T$6))</f>
        <v>2.5787999999999998</v>
      </c>
      <c r="T30" s="22">
        <f t="shared" ca="1" si="9"/>
        <v>54.175799999999995</v>
      </c>
      <c r="V30" s="22">
        <f ca="1">IF(Q30="","",IF(Q30=0,0,SUMPRODUCT(OFFSET(M$18,MATCH(MIN(Q$18:Q$137),Q$18:Q$137,0),0,COUNT(M$18:M30)-MATCH(MIN(Q$18:Q$137),Q$18:Q$137,0),1),OFFSET(M$18,MATCH(MIN(Q$18:Q$137),Q$18:Q$137,0),2,COUNT(M$18:M30)-MATCH(MIN(Q$18:Q$137),Q$18:Q$137,0),1))*$T$6*$T$14))</f>
        <v>0</v>
      </c>
      <c r="W30" s="29"/>
      <c r="X30" s="23">
        <f t="shared" ca="1" si="10"/>
        <v>4.2158811162079504</v>
      </c>
      <c r="Z30" s="15">
        <f t="shared" si="14"/>
        <v>3.25</v>
      </c>
      <c r="AA30" s="15">
        <f t="shared" si="15"/>
        <v>5</v>
      </c>
      <c r="AC30" s="15">
        <f t="shared" si="16"/>
        <v>11</v>
      </c>
      <c r="AD30" s="15">
        <f t="shared" si="17"/>
        <v>20</v>
      </c>
      <c r="AF30" s="15">
        <f t="shared" ca="1" si="18"/>
        <v>10</v>
      </c>
      <c r="AH30" s="15">
        <f t="shared" si="11"/>
        <v>2</v>
      </c>
      <c r="AI30" s="38">
        <f t="shared" ca="1" si="19"/>
        <v>3.8239284500752384</v>
      </c>
      <c r="AJ30" s="29"/>
      <c r="AK30" s="29"/>
      <c r="AL30" s="29"/>
    </row>
    <row r="31" spans="1:38" x14ac:dyDescent="0.2">
      <c r="A31" s="15">
        <v>14</v>
      </c>
      <c r="B31" s="2">
        <f t="shared" si="0"/>
        <v>187.46</v>
      </c>
      <c r="C31" s="25">
        <v>3.8</v>
      </c>
      <c r="D31" s="25">
        <v>0.48</v>
      </c>
      <c r="E31" s="25">
        <v>2.2999999999999998</v>
      </c>
      <c r="F31" s="3" t="str">
        <f t="shared" ca="1" si="1"/>
        <v>ИГЭ-2</v>
      </c>
      <c r="G31" s="30" t="str">
        <f t="shared" ca="1" si="2"/>
        <v>пыл.-глинист.</v>
      </c>
      <c r="I31" s="13">
        <f t="shared" ca="1" si="12"/>
        <v>468</v>
      </c>
      <c r="J31" s="14">
        <f t="shared" ca="1" si="3"/>
        <v>0.9</v>
      </c>
      <c r="L31" s="14">
        <f t="shared" ca="1" si="4"/>
        <v>1</v>
      </c>
      <c r="M31" s="22">
        <f t="shared" ca="1" si="13"/>
        <v>0.45999999999999935</v>
      </c>
      <c r="N31" s="37">
        <f t="shared" ca="1" si="5"/>
        <v>1</v>
      </c>
      <c r="O31" s="37">
        <f t="shared" ca="1" si="6"/>
        <v>0</v>
      </c>
      <c r="Q31" s="22">
        <f t="shared" si="7"/>
        <v>0.8</v>
      </c>
      <c r="R31" s="22">
        <f t="shared" ca="1" si="8"/>
        <v>51.596999999999994</v>
      </c>
      <c r="S31" s="22">
        <f ca="1">IF(Q31="","",IF(Q31=0,0,SUMPRODUCT(OFFSET(M$18,MATCH(MIN(Q$18:Q$137),Q$18:Q$137,0),0,COUNT(M$18:M31)-MATCH(MIN(Q$18:Q$137),Q$18:Q$137,0),1),OFFSET(M$18,MATCH(MIN(Q$18:Q$137),Q$18:Q$137,0),1,COUNT(M$18:M31)-MATCH(MIN(Q$18:Q$137),Q$18:Q$137,0),1))*$T$6))</f>
        <v>3.2227999999999994</v>
      </c>
      <c r="T31" s="22">
        <f t="shared" ca="1" si="9"/>
        <v>54.819799999999994</v>
      </c>
      <c r="V31" s="22">
        <f ca="1">IF(Q31="","",IF(Q31=0,0,SUMPRODUCT(OFFSET(M$18,MATCH(MIN(Q$18:Q$137),Q$18:Q$137,0),0,COUNT(M$18:M31)-MATCH(MIN(Q$18:Q$137),Q$18:Q$137,0),1),OFFSET(M$18,MATCH(MIN(Q$18:Q$137),Q$18:Q$137,0),2,COUNT(M$18:M31)-MATCH(MIN(Q$18:Q$137),Q$18:Q$137,0),1))*$T$6*$T$14))</f>
        <v>0</v>
      </c>
      <c r="W31" s="29"/>
      <c r="X31" s="23">
        <f t="shared" ca="1" si="10"/>
        <v>4.2010239551478072</v>
      </c>
      <c r="Z31" s="15">
        <f t="shared" si="14"/>
        <v>3.4499999999999997</v>
      </c>
      <c r="AA31" s="15">
        <f t="shared" si="15"/>
        <v>5.1999999999999993</v>
      </c>
      <c r="AC31" s="15">
        <f t="shared" si="16"/>
        <v>11</v>
      </c>
      <c r="AD31" s="15">
        <f t="shared" si="17"/>
        <v>20</v>
      </c>
      <c r="AF31" s="15">
        <f t="shared" ca="1" si="18"/>
        <v>10</v>
      </c>
      <c r="AH31" s="15">
        <f t="shared" si="11"/>
        <v>2</v>
      </c>
      <c r="AI31" s="38">
        <f t="shared" ca="1" si="19"/>
        <v>3.8104525670274905</v>
      </c>
      <c r="AJ31" s="29"/>
      <c r="AK31" s="29"/>
      <c r="AL31" s="29"/>
    </row>
    <row r="32" spans="1:38" x14ac:dyDescent="0.2">
      <c r="A32" s="15">
        <v>15</v>
      </c>
      <c r="B32" s="2">
        <f t="shared" si="0"/>
        <v>187.26</v>
      </c>
      <c r="C32" s="25">
        <v>4</v>
      </c>
      <c r="D32" s="25">
        <v>0.48</v>
      </c>
      <c r="E32" s="25">
        <v>2.2999999999999998</v>
      </c>
      <c r="F32" s="3" t="str">
        <f t="shared" ca="1" si="1"/>
        <v>ИГЭ-2</v>
      </c>
      <c r="G32" s="30" t="str">
        <f t="shared" ca="1" si="2"/>
        <v>пыл.-глинист.</v>
      </c>
      <c r="I32" s="13">
        <f t="shared" ca="1" si="12"/>
        <v>504</v>
      </c>
      <c r="J32" s="14">
        <f t="shared" ca="1" si="3"/>
        <v>0.9</v>
      </c>
      <c r="L32" s="14">
        <f t="shared" ca="1" si="4"/>
        <v>1</v>
      </c>
      <c r="M32" s="22">
        <f t="shared" ca="1" si="13"/>
        <v>0.46000000000000035</v>
      </c>
      <c r="N32" s="37">
        <f t="shared" ca="1" si="5"/>
        <v>1</v>
      </c>
      <c r="O32" s="37">
        <f t="shared" ca="1" si="6"/>
        <v>0</v>
      </c>
      <c r="Q32" s="22">
        <f t="shared" si="7"/>
        <v>1</v>
      </c>
      <c r="R32" s="22">
        <f t="shared" ca="1" si="8"/>
        <v>55.565999999999995</v>
      </c>
      <c r="S32" s="22">
        <f ca="1">IF(Q32="","",IF(Q32=0,0,SUMPRODUCT(OFFSET(M$18,MATCH(MIN(Q$18:Q$137),Q$18:Q$137,0),0,COUNT(M$18:M32)-MATCH(MIN(Q$18:Q$137),Q$18:Q$137,0),1),OFFSET(M$18,MATCH(MIN(Q$18:Q$137),Q$18:Q$137,0),1,COUNT(M$18:M32)-MATCH(MIN(Q$18:Q$137),Q$18:Q$137,0),1))*$T$6))</f>
        <v>3.8667999999999996</v>
      </c>
      <c r="T32" s="22">
        <f t="shared" ca="1" si="9"/>
        <v>59.432799999999993</v>
      </c>
      <c r="V32" s="22">
        <f ca="1">IF(Q32="","",IF(Q32=0,0,SUMPRODUCT(OFFSET(M$18,MATCH(MIN(Q$18:Q$137),Q$18:Q$137,0),0,COUNT(M$18:M32)-MATCH(MIN(Q$18:Q$137),Q$18:Q$137,0),1),OFFSET(M$18,MATCH(MIN(Q$18:Q$137),Q$18:Q$137,0),2,COUNT(M$18:M32)-MATCH(MIN(Q$18:Q$137),Q$18:Q$137,0),1))*$T$6*$T$14))</f>
        <v>0</v>
      </c>
      <c r="W32" s="29"/>
      <c r="X32" s="23">
        <f t="shared" ca="1" si="10"/>
        <v>4.5098365188583074</v>
      </c>
      <c r="Z32" s="15">
        <f t="shared" si="14"/>
        <v>3.65</v>
      </c>
      <c r="AA32" s="15">
        <f t="shared" si="15"/>
        <v>5.4</v>
      </c>
      <c r="AC32" s="15">
        <f t="shared" si="16"/>
        <v>13</v>
      </c>
      <c r="AD32" s="15">
        <f t="shared" si="17"/>
        <v>22</v>
      </c>
      <c r="AF32" s="15">
        <f t="shared" ca="1" si="18"/>
        <v>10</v>
      </c>
      <c r="AH32" s="15">
        <f t="shared" si="11"/>
        <v>2</v>
      </c>
      <c r="AI32" s="38">
        <f t="shared" ca="1" si="19"/>
        <v>4.0905546656311182</v>
      </c>
      <c r="AJ32" s="29"/>
      <c r="AK32" s="29"/>
      <c r="AL32" s="29"/>
    </row>
    <row r="33" spans="1:38" x14ac:dyDescent="0.2">
      <c r="A33" s="15">
        <v>16</v>
      </c>
      <c r="B33" s="2">
        <f t="shared" si="0"/>
        <v>187.06</v>
      </c>
      <c r="C33" s="25">
        <v>4.2</v>
      </c>
      <c r="D33" s="25">
        <v>0.48</v>
      </c>
      <c r="E33" s="25">
        <v>2.2999999999999998</v>
      </c>
      <c r="F33" s="3" t="str">
        <f t="shared" ca="1" si="1"/>
        <v>ИГЭ-2</v>
      </c>
      <c r="G33" s="30" t="str">
        <f t="shared" ca="1" si="2"/>
        <v>пыл.-глинист.</v>
      </c>
      <c r="I33" s="13">
        <f t="shared" ca="1" si="12"/>
        <v>528</v>
      </c>
      <c r="J33" s="14">
        <f t="shared" ca="1" si="3"/>
        <v>0.9</v>
      </c>
      <c r="L33" s="14">
        <f t="shared" ca="1" si="4"/>
        <v>1</v>
      </c>
      <c r="M33" s="22">
        <f t="shared" ca="1" si="13"/>
        <v>0.46000000000000035</v>
      </c>
      <c r="N33" s="37">
        <f t="shared" ca="1" si="5"/>
        <v>1</v>
      </c>
      <c r="O33" s="37">
        <f t="shared" ca="1" si="6"/>
        <v>0</v>
      </c>
      <c r="Q33" s="22">
        <f t="shared" si="7"/>
        <v>1.2</v>
      </c>
      <c r="R33" s="22">
        <f t="shared" ca="1" si="8"/>
        <v>58.211999999999989</v>
      </c>
      <c r="S33" s="22">
        <f ca="1">IF(Q33="","",IF(Q33=0,0,SUMPRODUCT(OFFSET(M$18,MATCH(MIN(Q$18:Q$137),Q$18:Q$137,0),0,COUNT(M$18:M33)-MATCH(MIN(Q$18:Q$137),Q$18:Q$137,0),1),OFFSET(M$18,MATCH(MIN(Q$18:Q$137),Q$18:Q$137,0),1,COUNT(M$18:M33)-MATCH(MIN(Q$18:Q$137),Q$18:Q$137,0),1))*$T$6))</f>
        <v>4.5108000000000006</v>
      </c>
      <c r="T33" s="22">
        <f t="shared" ca="1" si="9"/>
        <v>62.722799999999992</v>
      </c>
      <c r="V33" s="22">
        <f ca="1">IF(Q33="","",IF(Q33=0,0,SUMPRODUCT(OFFSET(M$18,MATCH(MIN(Q$18:Q$137),Q$18:Q$137,0),0,COUNT(M$18:M33)-MATCH(MIN(Q$18:Q$137),Q$18:Q$137,0),1),OFFSET(M$18,MATCH(MIN(Q$18:Q$137),Q$18:Q$137,0),2,COUNT(M$18:M33)-MATCH(MIN(Q$18:Q$137),Q$18:Q$137,0),1))*$T$6*$T$14))</f>
        <v>0</v>
      </c>
      <c r="W33" s="29"/>
      <c r="X33" s="23">
        <f t="shared" ca="1" si="10"/>
        <v>4.7107591743119253</v>
      </c>
      <c r="Z33" s="15">
        <f t="shared" si="14"/>
        <v>3.85</v>
      </c>
      <c r="AA33" s="15">
        <f t="shared" si="15"/>
        <v>5.6</v>
      </c>
      <c r="AC33" s="15">
        <f t="shared" si="16"/>
        <v>14</v>
      </c>
      <c r="AD33" s="15">
        <f t="shared" si="17"/>
        <v>23</v>
      </c>
      <c r="AF33" s="15">
        <f t="shared" ca="1" si="18"/>
        <v>10</v>
      </c>
      <c r="AH33" s="15">
        <f t="shared" si="11"/>
        <v>2</v>
      </c>
      <c r="AI33" s="38">
        <f t="shared" ca="1" si="19"/>
        <v>4.2727974370176192</v>
      </c>
      <c r="AJ33" s="29"/>
      <c r="AK33" s="29"/>
      <c r="AL33" s="29"/>
    </row>
    <row r="34" spans="1:38" x14ac:dyDescent="0.2">
      <c r="A34" s="15">
        <v>17</v>
      </c>
      <c r="B34" s="2">
        <f t="shared" si="0"/>
        <v>186.86</v>
      </c>
      <c r="C34" s="25">
        <v>4.4000000000000004</v>
      </c>
      <c r="D34" s="25">
        <v>0.48</v>
      </c>
      <c r="E34" s="25">
        <v>2.2999999999999998</v>
      </c>
      <c r="F34" s="3" t="str">
        <f t="shared" ca="1" si="1"/>
        <v>ИГЭ-2</v>
      </c>
      <c r="G34" s="30" t="str">
        <f t="shared" ca="1" si="2"/>
        <v>пыл.-глинист.</v>
      </c>
      <c r="I34" s="13">
        <f t="shared" ca="1" si="12"/>
        <v>564</v>
      </c>
      <c r="J34" s="14">
        <f t="shared" ca="1" si="3"/>
        <v>0.9</v>
      </c>
      <c r="L34" s="14">
        <f t="shared" ca="1" si="4"/>
        <v>1</v>
      </c>
      <c r="M34" s="22">
        <f t="shared" ca="1" si="13"/>
        <v>0.46000000000000035</v>
      </c>
      <c r="N34" s="37">
        <f t="shared" ca="1" si="5"/>
        <v>1</v>
      </c>
      <c r="O34" s="37">
        <f t="shared" ca="1" si="6"/>
        <v>0</v>
      </c>
      <c r="Q34" s="22">
        <f t="shared" si="7"/>
        <v>1.4</v>
      </c>
      <c r="R34" s="22">
        <f t="shared" ca="1" si="8"/>
        <v>62.180999999999997</v>
      </c>
      <c r="S34" s="22">
        <f ca="1">IF(Q34="","",IF(Q34=0,0,SUMPRODUCT(OFFSET(M$18,MATCH(MIN(Q$18:Q$137),Q$18:Q$137,0),0,COUNT(M$18:M34)-MATCH(MIN(Q$18:Q$137),Q$18:Q$137,0),1),OFFSET(M$18,MATCH(MIN(Q$18:Q$137),Q$18:Q$137,0),1,COUNT(M$18:M34)-MATCH(MIN(Q$18:Q$137),Q$18:Q$137,0),1))*$T$6))</f>
        <v>5.1548000000000007</v>
      </c>
      <c r="T34" s="22">
        <f t="shared" ca="1" si="9"/>
        <v>67.335799999999992</v>
      </c>
      <c r="V34" s="22">
        <f ca="1">IF(Q34="","",IF(Q34=0,0,SUMPRODUCT(OFFSET(M$18,MATCH(MIN(Q$18:Q$137),Q$18:Q$137,0),0,COUNT(M$18:M34)-MATCH(MIN(Q$18:Q$137),Q$18:Q$137,0),1),OFFSET(M$18,MATCH(MIN(Q$18:Q$137),Q$18:Q$137,0),2,COUNT(M$18:M34)-MATCH(MIN(Q$18:Q$137),Q$18:Q$137,0),1))*$T$6*$T$14))</f>
        <v>0</v>
      </c>
      <c r="W34" s="29"/>
      <c r="X34" s="23">
        <f t="shared" ca="1" si="10"/>
        <v>5.0195717380224245</v>
      </c>
      <c r="Z34" s="15">
        <f t="shared" si="14"/>
        <v>4.0500000000000007</v>
      </c>
      <c r="AA34" s="15">
        <f t="shared" si="15"/>
        <v>5.8000000000000007</v>
      </c>
      <c r="AC34" s="15">
        <f t="shared" si="16"/>
        <v>15</v>
      </c>
      <c r="AD34" s="15">
        <f t="shared" si="17"/>
        <v>24</v>
      </c>
      <c r="AF34" s="15">
        <f t="shared" ca="1" si="18"/>
        <v>10</v>
      </c>
      <c r="AH34" s="15">
        <f t="shared" si="11"/>
        <v>2</v>
      </c>
      <c r="AI34" s="38">
        <f t="shared" ca="1" si="19"/>
        <v>4.5528995356212469</v>
      </c>
      <c r="AJ34" s="29"/>
      <c r="AK34" s="29"/>
      <c r="AL34" s="29"/>
    </row>
    <row r="35" spans="1:38" x14ac:dyDescent="0.2">
      <c r="A35" s="15">
        <v>18</v>
      </c>
      <c r="B35" s="2">
        <f t="shared" si="0"/>
        <v>186.66</v>
      </c>
      <c r="C35" s="25">
        <v>4.5999999999999996</v>
      </c>
      <c r="D35" s="25">
        <v>0.48</v>
      </c>
      <c r="E35" s="25">
        <v>2.2999999999999998</v>
      </c>
      <c r="F35" s="3" t="str">
        <f t="shared" ca="1" si="1"/>
        <v>ИГЭ-2</v>
      </c>
      <c r="G35" s="30" t="str">
        <f t="shared" ca="1" si="2"/>
        <v>пыл.-глинист.</v>
      </c>
      <c r="I35" s="13">
        <f t="shared" ca="1" si="12"/>
        <v>589</v>
      </c>
      <c r="J35" s="14">
        <f t="shared" ca="1" si="3"/>
        <v>0.9</v>
      </c>
      <c r="L35" s="14">
        <f t="shared" ca="1" si="4"/>
        <v>1</v>
      </c>
      <c r="M35" s="22">
        <f t="shared" ca="1" si="13"/>
        <v>0.45999999999999835</v>
      </c>
      <c r="N35" s="37">
        <f t="shared" ca="1" si="5"/>
        <v>1</v>
      </c>
      <c r="O35" s="37">
        <f t="shared" ca="1" si="6"/>
        <v>0</v>
      </c>
      <c r="Q35" s="22">
        <f t="shared" si="7"/>
        <v>1.6</v>
      </c>
      <c r="R35" s="22">
        <f t="shared" ca="1" si="8"/>
        <v>64.937249999999992</v>
      </c>
      <c r="S35" s="22">
        <f ca="1">IF(Q35="","",IF(Q35=0,0,SUMPRODUCT(OFFSET(M$18,MATCH(MIN(Q$18:Q$137),Q$18:Q$137,0),0,COUNT(M$18:M35)-MATCH(MIN(Q$18:Q$137),Q$18:Q$137,0),1),OFFSET(M$18,MATCH(MIN(Q$18:Q$137),Q$18:Q$137,0),1,COUNT(M$18:M35)-MATCH(MIN(Q$18:Q$137),Q$18:Q$137,0),1))*$T$6))</f>
        <v>5.7987999999999991</v>
      </c>
      <c r="T35" s="22">
        <f t="shared" ca="1" si="9"/>
        <v>70.736049999999992</v>
      </c>
      <c r="V35" s="22">
        <f ca="1">IF(Q35="","",IF(Q35=0,0,SUMPRODUCT(OFFSET(M$18,MATCH(MIN(Q$18:Q$137),Q$18:Q$137,0),0,COUNT(M$18:M35)-MATCH(MIN(Q$18:Q$137),Q$18:Q$137,0),1),OFFSET(M$18,MATCH(MIN(Q$18:Q$137),Q$18:Q$137,0),2,COUNT(M$18:M35)-MATCH(MIN(Q$18:Q$137),Q$18:Q$137,0),1))*$T$6*$T$14))</f>
        <v>0</v>
      </c>
      <c r="W35" s="29"/>
      <c r="X35" s="23">
        <f t="shared" ca="1" si="10"/>
        <v>5.2294852191641175</v>
      </c>
      <c r="Z35" s="15">
        <f t="shared" si="14"/>
        <v>4.25</v>
      </c>
      <c r="AA35" s="15">
        <f t="shared" si="15"/>
        <v>6</v>
      </c>
      <c r="AC35" s="15">
        <f t="shared" si="16"/>
        <v>15</v>
      </c>
      <c r="AD35" s="15">
        <f t="shared" si="17"/>
        <v>25</v>
      </c>
      <c r="AF35" s="15">
        <f t="shared" ca="1" si="18"/>
        <v>11</v>
      </c>
      <c r="AH35" s="15">
        <f t="shared" si="11"/>
        <v>2</v>
      </c>
      <c r="AI35" s="38">
        <f t="shared" ca="1" si="19"/>
        <v>4.7432972509425104</v>
      </c>
      <c r="AJ35" s="29"/>
      <c r="AK35" s="29"/>
      <c r="AL35" s="29"/>
    </row>
    <row r="36" spans="1:38" x14ac:dyDescent="0.2">
      <c r="A36" s="15">
        <v>19</v>
      </c>
      <c r="B36" s="2">
        <f t="shared" si="0"/>
        <v>186.46</v>
      </c>
      <c r="C36" s="25">
        <v>4.8</v>
      </c>
      <c r="D36" s="25">
        <v>0.6</v>
      </c>
      <c r="E36" s="25">
        <v>2.2999999999999998</v>
      </c>
      <c r="F36" s="3" t="str">
        <f t="shared" ca="1" si="1"/>
        <v>ИГЭ-2</v>
      </c>
      <c r="G36" s="30" t="str">
        <f t="shared" ca="1" si="2"/>
        <v>пыл.-глинист.</v>
      </c>
      <c r="I36" s="13">
        <f t="shared" ca="1" si="12"/>
        <v>624</v>
      </c>
      <c r="J36" s="14">
        <f t="shared" ca="1" si="3"/>
        <v>0.9</v>
      </c>
      <c r="L36" s="14">
        <f t="shared" ca="1" si="4"/>
        <v>1</v>
      </c>
      <c r="M36" s="22">
        <f t="shared" ca="1" si="13"/>
        <v>0.46000000000000035</v>
      </c>
      <c r="N36" s="37">
        <f t="shared" ca="1" si="5"/>
        <v>1</v>
      </c>
      <c r="O36" s="37">
        <f t="shared" ca="1" si="6"/>
        <v>0</v>
      </c>
      <c r="Q36" s="22">
        <f t="shared" si="7"/>
        <v>1.8</v>
      </c>
      <c r="R36" s="22">
        <f t="shared" ca="1" si="8"/>
        <v>68.795999999999992</v>
      </c>
      <c r="S36" s="22">
        <f ca="1">IF(Q36="","",IF(Q36=0,0,SUMPRODUCT(OFFSET(M$18,MATCH(MIN(Q$18:Q$137),Q$18:Q$137,0),0,COUNT(M$18:M36)-MATCH(MIN(Q$18:Q$137),Q$18:Q$137,0),1),OFFSET(M$18,MATCH(MIN(Q$18:Q$137),Q$18:Q$137,0),1,COUNT(M$18:M36)-MATCH(MIN(Q$18:Q$137),Q$18:Q$137,0),1))*$T$6))</f>
        <v>6.4427999999999992</v>
      </c>
      <c r="T36" s="22">
        <f t="shared" ca="1" si="9"/>
        <v>75.238799999999998</v>
      </c>
      <c r="V36" s="22">
        <f ca="1">IF(Q36="","",IF(Q36=0,0,SUMPRODUCT(OFFSET(M$18,MATCH(MIN(Q$18:Q$137),Q$18:Q$137,0),0,COUNT(M$18:M36)-MATCH(MIN(Q$18:Q$137),Q$18:Q$137,0),1),OFFSET(M$18,MATCH(MIN(Q$18:Q$137),Q$18:Q$137,0),2,COUNT(M$18:M36)-MATCH(MIN(Q$18:Q$137),Q$18:Q$137,0),1))*$T$6*$T$14))</f>
        <v>0</v>
      </c>
      <c r="W36" s="29"/>
      <c r="X36" s="23">
        <f t="shared" ca="1" si="10"/>
        <v>5.5293069571865443</v>
      </c>
      <c r="Z36" s="15">
        <f t="shared" si="14"/>
        <v>4.45</v>
      </c>
      <c r="AA36" s="15">
        <f t="shared" si="15"/>
        <v>6.1999999999999993</v>
      </c>
      <c r="AC36" s="15">
        <f t="shared" si="16"/>
        <v>17</v>
      </c>
      <c r="AD36" s="15">
        <f t="shared" si="17"/>
        <v>26</v>
      </c>
      <c r="AF36" s="15">
        <f t="shared" ca="1" si="18"/>
        <v>10</v>
      </c>
      <c r="AH36" s="15">
        <f t="shared" si="11"/>
        <v>2</v>
      </c>
      <c r="AI36" s="38">
        <f t="shared" ca="1" si="19"/>
        <v>5.0152444056113792</v>
      </c>
      <c r="AJ36" s="29"/>
      <c r="AK36" s="29"/>
      <c r="AL36" s="29"/>
    </row>
    <row r="37" spans="1:38" x14ac:dyDescent="0.2">
      <c r="A37" s="15">
        <v>20</v>
      </c>
      <c r="B37" s="2">
        <f t="shared" si="0"/>
        <v>186.26</v>
      </c>
      <c r="C37" s="25">
        <v>5</v>
      </c>
      <c r="D37" s="25">
        <v>0.6</v>
      </c>
      <c r="E37" s="25">
        <v>4.6100000000000003</v>
      </c>
      <c r="F37" s="3" t="str">
        <f t="shared" ca="1" si="1"/>
        <v>ИГЭ-2</v>
      </c>
      <c r="G37" s="30" t="str">
        <f t="shared" ca="1" si="2"/>
        <v>пыл.-глинист.</v>
      </c>
      <c r="I37" s="13">
        <f t="shared" ca="1" si="12"/>
        <v>660</v>
      </c>
      <c r="J37" s="14">
        <f t="shared" ca="1" si="3"/>
        <v>0.9</v>
      </c>
      <c r="L37" s="14">
        <f t="shared" ca="1" si="4"/>
        <v>1</v>
      </c>
      <c r="M37" s="22">
        <f t="shared" ca="1" si="13"/>
        <v>0.69100000000000061</v>
      </c>
      <c r="N37" s="37">
        <f t="shared" ca="1" si="5"/>
        <v>1</v>
      </c>
      <c r="O37" s="37">
        <f t="shared" ca="1" si="6"/>
        <v>0</v>
      </c>
      <c r="Q37" s="22">
        <f t="shared" si="7"/>
        <v>2</v>
      </c>
      <c r="R37" s="22">
        <f t="shared" ca="1" si="8"/>
        <v>72.764999999999986</v>
      </c>
      <c r="S37" s="22">
        <f ca="1">IF(Q37="","",IF(Q37=0,0,SUMPRODUCT(OFFSET(M$18,MATCH(MIN(Q$18:Q$137),Q$18:Q$137,0),0,COUNT(M$18:M37)-MATCH(MIN(Q$18:Q$137),Q$18:Q$137,0),1),OFFSET(M$18,MATCH(MIN(Q$18:Q$137),Q$18:Q$137,0),1,COUNT(M$18:M37)-MATCH(MIN(Q$18:Q$137),Q$18:Q$137,0),1))*$T$6))</f>
        <v>7.4101999999999997</v>
      </c>
      <c r="T37" s="22">
        <f t="shared" ca="1" si="9"/>
        <v>80.17519999999999</v>
      </c>
      <c r="V37" s="22">
        <f ca="1">IF(Q37="","",IF(Q37=0,0,SUMPRODUCT(OFFSET(M$18,MATCH(MIN(Q$18:Q$137),Q$18:Q$137,0),0,COUNT(M$18:M37)-MATCH(MIN(Q$18:Q$137),Q$18:Q$137,0),1),OFFSET(M$18,MATCH(MIN(Q$18:Q$137),Q$18:Q$137,0),2,COUNT(M$18:M37)-MATCH(MIN(Q$18:Q$137),Q$18:Q$137,0),1))*$T$6*$T$14))</f>
        <v>0</v>
      </c>
      <c r="W37" s="29"/>
      <c r="X37" s="23">
        <f t="shared" ca="1" si="10"/>
        <v>5.864492609582058</v>
      </c>
      <c r="Z37" s="15">
        <f t="shared" si="14"/>
        <v>4.6500000000000004</v>
      </c>
      <c r="AA37" s="15">
        <f t="shared" si="15"/>
        <v>6.4</v>
      </c>
      <c r="AC37" s="15">
        <f t="shared" si="16"/>
        <v>18</v>
      </c>
      <c r="AD37" s="15">
        <f t="shared" si="17"/>
        <v>27</v>
      </c>
      <c r="AF37" s="15">
        <f t="shared" ca="1" si="18"/>
        <v>10</v>
      </c>
      <c r="AH37" s="15">
        <f t="shared" si="11"/>
        <v>2</v>
      </c>
      <c r="AI37" s="38">
        <f t="shared" ca="1" si="19"/>
        <v>5.3192676730903026</v>
      </c>
      <c r="AJ37" s="29"/>
      <c r="AK37" s="29"/>
      <c r="AL37" s="29"/>
    </row>
    <row r="38" spans="1:38" x14ac:dyDescent="0.2">
      <c r="A38" s="15">
        <v>21</v>
      </c>
      <c r="B38" s="2">
        <f t="shared" si="0"/>
        <v>186.06</v>
      </c>
      <c r="C38" s="25">
        <v>5.2</v>
      </c>
      <c r="D38" s="25">
        <v>0.48</v>
      </c>
      <c r="E38" s="25">
        <v>13.82</v>
      </c>
      <c r="F38" s="3" t="str">
        <f t="shared" ca="1" si="1"/>
        <v>ИГЭ-2</v>
      </c>
      <c r="G38" s="30" t="str">
        <f t="shared" ca="1" si="2"/>
        <v>пыл.-глинист.</v>
      </c>
      <c r="I38" s="13">
        <f t="shared" ca="1" si="12"/>
        <v>696</v>
      </c>
      <c r="J38" s="14">
        <f t="shared" ca="1" si="3"/>
        <v>0.9</v>
      </c>
      <c r="L38" s="14">
        <f t="shared" ca="1" si="4"/>
        <v>1</v>
      </c>
      <c r="M38" s="22">
        <f t="shared" ca="1" si="13"/>
        <v>1.8430000000000015</v>
      </c>
      <c r="N38" s="37">
        <f t="shared" ca="1" si="5"/>
        <v>1</v>
      </c>
      <c r="O38" s="37">
        <f t="shared" ca="1" si="6"/>
        <v>0</v>
      </c>
      <c r="Q38" s="22">
        <f t="shared" si="7"/>
        <v>2.2000000000000002</v>
      </c>
      <c r="R38" s="22">
        <f t="shared" ca="1" si="8"/>
        <v>76.73399999999998</v>
      </c>
      <c r="S38" s="22">
        <f ca="1">IF(Q38="","",IF(Q38=0,0,SUMPRODUCT(OFFSET(M$18,MATCH(MIN(Q$18:Q$137),Q$18:Q$137,0),0,COUNT(M$18:M38)-MATCH(MIN(Q$18:Q$137),Q$18:Q$137,0),1),OFFSET(M$18,MATCH(MIN(Q$18:Q$137),Q$18:Q$137,0),1,COUNT(M$18:M38)-MATCH(MIN(Q$18:Q$137),Q$18:Q$137,0),1))*$T$6))</f>
        <v>9.9904000000000028</v>
      </c>
      <c r="T38" s="22">
        <f t="shared" ca="1" si="9"/>
        <v>86.724399999999989</v>
      </c>
      <c r="V38" s="22">
        <f ca="1">IF(Q38="","",IF(Q38=0,0,SUMPRODUCT(OFFSET(M$18,MATCH(MIN(Q$18:Q$137),Q$18:Q$137,0),0,COUNT(M$18:M38)-MATCH(MIN(Q$18:Q$137),Q$18:Q$137,0),1),OFFSET(M$18,MATCH(MIN(Q$18:Q$137),Q$18:Q$137,0),2,COUNT(M$18:M38)-MATCH(MIN(Q$18:Q$137),Q$18:Q$137,0),1))*$T$6*$T$14))</f>
        <v>0</v>
      </c>
      <c r="W38" s="29"/>
      <c r="X38" s="23">
        <f t="shared" ca="1" si="10"/>
        <v>6.3312011977573883</v>
      </c>
      <c r="Z38" s="15">
        <f t="shared" si="14"/>
        <v>4.8500000000000005</v>
      </c>
      <c r="AA38" s="15">
        <f t="shared" si="15"/>
        <v>6.6</v>
      </c>
      <c r="AC38" s="15">
        <f t="shared" si="16"/>
        <v>19</v>
      </c>
      <c r="AD38" s="15">
        <f t="shared" si="17"/>
        <v>28</v>
      </c>
      <c r="AF38" s="15">
        <f t="shared" ca="1" si="18"/>
        <v>10</v>
      </c>
      <c r="AH38" s="15">
        <f t="shared" si="11"/>
        <v>2</v>
      </c>
      <c r="AI38" s="38">
        <f t="shared" ca="1" si="19"/>
        <v>5.7425861204148658</v>
      </c>
      <c r="AJ38" s="29"/>
      <c r="AK38" s="29"/>
      <c r="AL38" s="29"/>
    </row>
    <row r="39" spans="1:38" x14ac:dyDescent="0.2">
      <c r="A39" s="15">
        <v>22</v>
      </c>
      <c r="B39" s="2">
        <f t="shared" si="0"/>
        <v>185.86</v>
      </c>
      <c r="C39" s="25">
        <v>5.4</v>
      </c>
      <c r="D39" s="25">
        <v>0.6</v>
      </c>
      <c r="E39" s="25">
        <v>9.2200000000000006</v>
      </c>
      <c r="F39" s="3" t="str">
        <f t="shared" ca="1" si="1"/>
        <v>ИГЭ-2</v>
      </c>
      <c r="G39" s="30" t="str">
        <f t="shared" ca="1" si="2"/>
        <v>пыл.-глинист.</v>
      </c>
      <c r="I39" s="13">
        <f t="shared" ca="1" si="12"/>
        <v>720</v>
      </c>
      <c r="J39" s="14">
        <f t="shared" ca="1" si="3"/>
        <v>0.9</v>
      </c>
      <c r="L39" s="14">
        <f t="shared" ca="1" si="4"/>
        <v>1</v>
      </c>
      <c r="M39" s="22">
        <f t="shared" ca="1" si="13"/>
        <v>2.304000000000002</v>
      </c>
      <c r="N39" s="37">
        <f t="shared" ca="1" si="5"/>
        <v>1</v>
      </c>
      <c r="O39" s="37">
        <f t="shared" ca="1" si="6"/>
        <v>0</v>
      </c>
      <c r="Q39" s="22">
        <f t="shared" si="7"/>
        <v>2.4</v>
      </c>
      <c r="R39" s="22">
        <f t="shared" ca="1" si="8"/>
        <v>79.38</v>
      </c>
      <c r="S39" s="22">
        <f ca="1">IF(Q39="","",IF(Q39=0,0,SUMPRODUCT(OFFSET(M$18,MATCH(MIN(Q$18:Q$137),Q$18:Q$137,0),0,COUNT(M$18:M39)-MATCH(MIN(Q$18:Q$137),Q$18:Q$137,0),1),OFFSET(M$18,MATCH(MIN(Q$18:Q$137),Q$18:Q$137,0),1,COUNT(M$18:M39)-MATCH(MIN(Q$18:Q$137),Q$18:Q$137,0),1))*$T$6))</f>
        <v>13.216000000000006</v>
      </c>
      <c r="T39" s="22">
        <f t="shared" ca="1" si="9"/>
        <v>92.596000000000004</v>
      </c>
      <c r="V39" s="22">
        <f ca="1">IF(Q39="","",IF(Q39=0,0,SUMPRODUCT(OFFSET(M$18,MATCH(MIN(Q$18:Q$137),Q$18:Q$137,0),0,COUNT(M$18:M39)-MATCH(MIN(Q$18:Q$137),Q$18:Q$137,0),1),OFFSET(M$18,MATCH(MIN(Q$18:Q$137),Q$18:Q$137,0),2,COUNT(M$18:M39)-MATCH(MIN(Q$18:Q$137),Q$18:Q$137,0),1))*$T$6*$T$14))</f>
        <v>0</v>
      </c>
      <c r="W39" s="29"/>
      <c r="X39" s="23">
        <f t="shared" ca="1" si="10"/>
        <v>6.742651885830786</v>
      </c>
      <c r="Z39" s="15">
        <f t="shared" si="14"/>
        <v>5.0500000000000007</v>
      </c>
      <c r="AA39" s="15">
        <f t="shared" si="15"/>
        <v>6.8000000000000007</v>
      </c>
      <c r="AC39" s="15">
        <f t="shared" si="16"/>
        <v>20</v>
      </c>
      <c r="AD39" s="15">
        <f t="shared" si="17"/>
        <v>29</v>
      </c>
      <c r="AF39" s="15">
        <f t="shared" ca="1" si="18"/>
        <v>10</v>
      </c>
      <c r="AH39" s="15">
        <f t="shared" si="11"/>
        <v>2</v>
      </c>
      <c r="AI39" s="38">
        <f t="shared" ca="1" si="19"/>
        <v>6.1157840234292848</v>
      </c>
      <c r="AJ39" s="29"/>
      <c r="AK39" s="29"/>
      <c r="AL39" s="29"/>
    </row>
    <row r="40" spans="1:38" x14ac:dyDescent="0.2">
      <c r="A40" s="15">
        <v>23</v>
      </c>
      <c r="B40" s="2">
        <f t="shared" si="0"/>
        <v>185.66</v>
      </c>
      <c r="C40" s="25">
        <v>5.6</v>
      </c>
      <c r="D40" s="25">
        <v>0.6</v>
      </c>
      <c r="E40" s="25">
        <v>11.52</v>
      </c>
      <c r="F40" s="3" t="str">
        <f t="shared" ca="1" si="1"/>
        <v>ИГЭ-2</v>
      </c>
      <c r="G40" s="30" t="str">
        <f t="shared" ca="1" si="2"/>
        <v>пыл.-глинист.</v>
      </c>
      <c r="I40" s="13">
        <f t="shared" ca="1" si="12"/>
        <v>731</v>
      </c>
      <c r="J40" s="14">
        <f t="shared" ca="1" si="3"/>
        <v>0.9</v>
      </c>
      <c r="L40" s="14">
        <f t="shared" ca="1" si="4"/>
        <v>1</v>
      </c>
      <c r="M40" s="22">
        <f t="shared" ca="1" si="13"/>
        <v>2.0739999999999927</v>
      </c>
      <c r="N40" s="37">
        <f t="shared" ca="1" si="5"/>
        <v>1</v>
      </c>
      <c r="O40" s="37">
        <f t="shared" ca="1" si="6"/>
        <v>0</v>
      </c>
      <c r="Q40" s="22">
        <f t="shared" si="7"/>
        <v>2.6</v>
      </c>
      <c r="R40" s="22">
        <f t="shared" ca="1" si="8"/>
        <v>80.592749999999981</v>
      </c>
      <c r="S40" s="22">
        <f ca="1">IF(Q40="","",IF(Q40=0,0,SUMPRODUCT(OFFSET(M$18,MATCH(MIN(Q$18:Q$137),Q$18:Q$137,0),0,COUNT(M$18:M40)-MATCH(MIN(Q$18:Q$137),Q$18:Q$137,0),1),OFFSET(M$18,MATCH(MIN(Q$18:Q$137),Q$18:Q$137,0),1,COUNT(M$18:M40)-MATCH(MIN(Q$18:Q$137),Q$18:Q$137,0),1))*$T$6))</f>
        <v>16.119599999999995</v>
      </c>
      <c r="T40" s="22">
        <f t="shared" ca="1" si="9"/>
        <v>96.712349999999972</v>
      </c>
      <c r="V40" s="22">
        <f ca="1">IF(Q40="","",IF(Q40=0,0,SUMPRODUCT(OFFSET(M$18,MATCH(MIN(Q$18:Q$137),Q$18:Q$137,0),0,COUNT(M$18:M40)-MATCH(MIN(Q$18:Q$137),Q$18:Q$137,0),1),OFFSET(M$18,MATCH(MIN(Q$18:Q$137),Q$18:Q$137,0),2,COUNT(M$18:M40)-MATCH(MIN(Q$18:Q$137),Q$18:Q$137,0),1))*$T$6*$T$14))</f>
        <v>0</v>
      </c>
      <c r="W40" s="29"/>
      <c r="X40" s="23">
        <f t="shared" ca="1" si="10"/>
        <v>7.0109629204892947</v>
      </c>
      <c r="Z40" s="15">
        <f t="shared" si="14"/>
        <v>5.25</v>
      </c>
      <c r="AA40" s="15">
        <f t="shared" si="15"/>
        <v>7</v>
      </c>
      <c r="AC40" s="15">
        <f t="shared" si="16"/>
        <v>20</v>
      </c>
      <c r="AD40" s="15">
        <f t="shared" si="17"/>
        <v>30</v>
      </c>
      <c r="AF40" s="15">
        <f t="shared" ca="1" si="18"/>
        <v>11</v>
      </c>
      <c r="AH40" s="15">
        <f t="shared" si="11"/>
        <v>2</v>
      </c>
      <c r="AI40" s="38">
        <f t="shared" ca="1" si="19"/>
        <v>6.3591500412601327</v>
      </c>
      <c r="AJ40" s="29"/>
      <c r="AK40" s="29"/>
      <c r="AL40" s="29"/>
    </row>
    <row r="41" spans="1:38" x14ac:dyDescent="0.2">
      <c r="A41" s="15">
        <v>24</v>
      </c>
      <c r="B41" s="2">
        <f t="shared" si="0"/>
        <v>185.46</v>
      </c>
      <c r="C41" s="25">
        <v>5.8</v>
      </c>
      <c r="D41" s="25">
        <v>0.84</v>
      </c>
      <c r="E41" s="25">
        <v>13.82</v>
      </c>
      <c r="F41" s="3" t="str">
        <f t="shared" ca="1" si="1"/>
        <v>ИГЭ-2</v>
      </c>
      <c r="G41" s="30" t="str">
        <f t="shared" ca="1" si="2"/>
        <v>пыл.-глинист.</v>
      </c>
      <c r="I41" s="13">
        <f t="shared" ca="1" si="12"/>
        <v>780</v>
      </c>
      <c r="J41" s="14">
        <f t="shared" ca="1" si="3"/>
        <v>0.9</v>
      </c>
      <c r="L41" s="14">
        <f t="shared" ca="1" si="4"/>
        <v>1</v>
      </c>
      <c r="M41" s="22">
        <f t="shared" ca="1" si="13"/>
        <v>2.534000000000002</v>
      </c>
      <c r="N41" s="37">
        <f t="shared" ca="1" si="5"/>
        <v>1</v>
      </c>
      <c r="O41" s="37">
        <f t="shared" ca="1" si="6"/>
        <v>0</v>
      </c>
      <c r="Q41" s="22">
        <f t="shared" si="7"/>
        <v>2.8</v>
      </c>
      <c r="R41" s="22">
        <f t="shared" ca="1" si="8"/>
        <v>85.99499999999999</v>
      </c>
      <c r="S41" s="22">
        <f ca="1">IF(Q41="","",IF(Q41=0,0,SUMPRODUCT(OFFSET(M$18,MATCH(MIN(Q$18:Q$137),Q$18:Q$137,0),0,COUNT(M$18:M41)-MATCH(MIN(Q$18:Q$137),Q$18:Q$137,0),1),OFFSET(M$18,MATCH(MIN(Q$18:Q$137),Q$18:Q$137,0),1,COUNT(M$18:M41)-MATCH(MIN(Q$18:Q$137),Q$18:Q$137,0),1))*$T$6))</f>
        <v>19.667199999999998</v>
      </c>
      <c r="T41" s="22">
        <f t="shared" ca="1" si="9"/>
        <v>105.66219999999998</v>
      </c>
      <c r="V41" s="22">
        <f ca="1">IF(Q41="","",IF(Q41=0,0,SUMPRODUCT(OFFSET(M$18,MATCH(MIN(Q$18:Q$137),Q$18:Q$137,0),0,COUNT(M$18:M41)-MATCH(MIN(Q$18:Q$137),Q$18:Q$137,0),1),OFFSET(M$18,MATCH(MIN(Q$18:Q$137),Q$18:Q$137,0),2,COUNT(M$18:M41)-MATCH(MIN(Q$18:Q$137),Q$18:Q$137,0),1))*$T$6*$T$14))</f>
        <v>0</v>
      </c>
      <c r="W41" s="29"/>
      <c r="X41" s="23">
        <f t="shared" ca="1" si="10"/>
        <v>7.6734431702344521</v>
      </c>
      <c r="Z41" s="15">
        <f t="shared" si="14"/>
        <v>5.45</v>
      </c>
      <c r="AA41" s="15">
        <f t="shared" si="15"/>
        <v>7.1999999999999993</v>
      </c>
      <c r="AC41" s="15">
        <f t="shared" si="16"/>
        <v>22</v>
      </c>
      <c r="AD41" s="15">
        <f t="shared" si="17"/>
        <v>31</v>
      </c>
      <c r="AF41" s="15">
        <f t="shared" ca="1" si="18"/>
        <v>10</v>
      </c>
      <c r="AH41" s="15">
        <f t="shared" si="11"/>
        <v>2</v>
      </c>
      <c r="AI41" s="38">
        <f t="shared" ca="1" si="19"/>
        <v>6.9600391566752409</v>
      </c>
      <c r="AJ41" s="29"/>
      <c r="AK41" s="29"/>
      <c r="AL41" s="29"/>
    </row>
    <row r="42" spans="1:38" x14ac:dyDescent="0.2">
      <c r="A42" s="15">
        <v>25</v>
      </c>
      <c r="B42" s="2">
        <f t="shared" si="0"/>
        <v>185.26</v>
      </c>
      <c r="C42" s="25">
        <v>6</v>
      </c>
      <c r="D42" s="25">
        <v>0.84</v>
      </c>
      <c r="E42" s="25">
        <v>13.82</v>
      </c>
      <c r="F42" s="3" t="str">
        <f t="shared" ca="1" si="1"/>
        <v>ИГЭ-2</v>
      </c>
      <c r="G42" s="30" t="str">
        <f t="shared" ca="1" si="2"/>
        <v>пыл.-глинист.</v>
      </c>
      <c r="I42" s="13">
        <f t="shared" ca="1" si="12"/>
        <v>792</v>
      </c>
      <c r="J42" s="14">
        <f t="shared" ca="1" si="3"/>
        <v>0.9</v>
      </c>
      <c r="L42" s="14">
        <f t="shared" ca="1" si="4"/>
        <v>1</v>
      </c>
      <c r="M42" s="22">
        <f t="shared" ca="1" si="13"/>
        <v>2.7640000000000025</v>
      </c>
      <c r="N42" s="37">
        <f t="shared" ca="1" si="5"/>
        <v>1</v>
      </c>
      <c r="O42" s="37">
        <f t="shared" ca="1" si="6"/>
        <v>0</v>
      </c>
      <c r="Q42" s="22">
        <f t="shared" si="7"/>
        <v>3</v>
      </c>
      <c r="R42" s="22">
        <f t="shared" ca="1" si="8"/>
        <v>87.317999999999998</v>
      </c>
      <c r="S42" s="22">
        <f ca="1">IF(Q42="","",IF(Q42=0,0,SUMPRODUCT(OFFSET(M$18,MATCH(MIN(Q$18:Q$137),Q$18:Q$137,0),0,COUNT(M$18:M42)-MATCH(MIN(Q$18:Q$137),Q$18:Q$137,0),1),OFFSET(M$18,MATCH(MIN(Q$18:Q$137),Q$18:Q$137,0),1,COUNT(M$18:M42)-MATCH(MIN(Q$18:Q$137),Q$18:Q$137,0),1))*$T$6))</f>
        <v>23.536799999999999</v>
      </c>
      <c r="T42" s="22">
        <f t="shared" ca="1" si="9"/>
        <v>110.8548</v>
      </c>
      <c r="V42" s="22">
        <f ca="1">IF(Q42="","",IF(Q42=0,0,SUMPRODUCT(OFFSET(M$18,MATCH(MIN(Q$18:Q$137),Q$18:Q$137,0),0,COUNT(M$18:M42)-MATCH(MIN(Q$18:Q$137),Q$18:Q$137,0),1),OFFSET(M$18,MATCH(MIN(Q$18:Q$137),Q$18:Q$137,0),2,COUNT(M$18:M42)-MATCH(MIN(Q$18:Q$137),Q$18:Q$137,0),1))*$T$6*$T$14))</f>
        <v>0</v>
      </c>
      <c r="W42" s="29"/>
      <c r="X42" s="23">
        <f t="shared" ca="1" si="10"/>
        <v>8.0295217889908272</v>
      </c>
      <c r="Z42" s="15">
        <f t="shared" si="14"/>
        <v>5.65</v>
      </c>
      <c r="AA42" s="15">
        <f t="shared" si="15"/>
        <v>7.4</v>
      </c>
      <c r="AC42" s="15">
        <f t="shared" si="16"/>
        <v>23</v>
      </c>
      <c r="AD42" s="15">
        <f t="shared" si="17"/>
        <v>32</v>
      </c>
      <c r="AF42" s="15">
        <f t="shared" ca="1" si="18"/>
        <v>10</v>
      </c>
      <c r="AH42" s="15">
        <f t="shared" si="11"/>
        <v>2</v>
      </c>
      <c r="AI42" s="38">
        <f t="shared" ca="1" si="19"/>
        <v>7.2830129605358973</v>
      </c>
      <c r="AJ42" s="29"/>
      <c r="AK42" s="29"/>
      <c r="AL42" s="29"/>
    </row>
    <row r="43" spans="1:38" x14ac:dyDescent="0.2">
      <c r="A43" s="15">
        <v>26</v>
      </c>
      <c r="B43" s="2">
        <f t="shared" si="0"/>
        <v>185.06</v>
      </c>
      <c r="C43" s="25">
        <v>6.2</v>
      </c>
      <c r="D43" s="25">
        <v>0.72</v>
      </c>
      <c r="E43" s="25">
        <v>13.82</v>
      </c>
      <c r="F43" s="3" t="str">
        <f t="shared" ca="1" si="1"/>
        <v>ИГЭ-2</v>
      </c>
      <c r="G43" s="30" t="str">
        <f t="shared" ca="1" si="2"/>
        <v>пыл.-глинист.</v>
      </c>
      <c r="I43" s="13">
        <f t="shared" ca="1" si="12"/>
        <v>804</v>
      </c>
      <c r="J43" s="14">
        <f t="shared" ca="1" si="3"/>
        <v>0.9</v>
      </c>
      <c r="L43" s="14">
        <f t="shared" ca="1" si="4"/>
        <v>1</v>
      </c>
      <c r="M43" s="22">
        <f t="shared" ca="1" si="13"/>
        <v>2.7640000000000025</v>
      </c>
      <c r="N43" s="37">
        <f t="shared" ca="1" si="5"/>
        <v>1</v>
      </c>
      <c r="O43" s="37">
        <f t="shared" ca="1" si="6"/>
        <v>0</v>
      </c>
      <c r="Q43" s="22">
        <f t="shared" si="7"/>
        <v>3.2</v>
      </c>
      <c r="R43" s="22">
        <f t="shared" ca="1" si="8"/>
        <v>88.640999999999991</v>
      </c>
      <c r="S43" s="22">
        <f ca="1">IF(Q43="","",IF(Q43=0,0,SUMPRODUCT(OFFSET(M$18,MATCH(MIN(Q$18:Q$137),Q$18:Q$137,0),0,COUNT(M$18:M43)-MATCH(MIN(Q$18:Q$137),Q$18:Q$137,0),1),OFFSET(M$18,MATCH(MIN(Q$18:Q$137),Q$18:Q$137,0),1,COUNT(M$18:M43)-MATCH(MIN(Q$18:Q$137),Q$18:Q$137,0),1))*$T$6))</f>
        <v>27.406400000000005</v>
      </c>
      <c r="T43" s="22">
        <f t="shared" ca="1" si="9"/>
        <v>116.0474</v>
      </c>
      <c r="V43" s="22">
        <f ca="1">IF(Q43="","",IF(Q43=0,0,SUMPRODUCT(OFFSET(M$18,MATCH(MIN(Q$18:Q$137),Q$18:Q$137,0),0,COUNT(M$18:M43)-MATCH(MIN(Q$18:Q$137),Q$18:Q$137,0),1),OFFSET(M$18,MATCH(MIN(Q$18:Q$137),Q$18:Q$137,0),2,COUNT(M$18:M43)-MATCH(MIN(Q$18:Q$137),Q$18:Q$137,0),1))*$T$6*$T$14))</f>
        <v>0</v>
      </c>
      <c r="W43" s="29"/>
      <c r="X43" s="23">
        <f t="shared" ca="1" si="10"/>
        <v>8.3856004077471962</v>
      </c>
      <c r="Z43" s="15">
        <f t="shared" si="14"/>
        <v>5.8500000000000005</v>
      </c>
      <c r="AA43" s="15">
        <f t="shared" si="15"/>
        <v>7.6</v>
      </c>
      <c r="AC43" s="15">
        <f t="shared" si="16"/>
        <v>24</v>
      </c>
      <c r="AD43" s="15">
        <f t="shared" si="17"/>
        <v>33</v>
      </c>
      <c r="AF43" s="15">
        <f t="shared" ca="1" si="18"/>
        <v>10</v>
      </c>
      <c r="AH43" s="15">
        <f t="shared" si="11"/>
        <v>2</v>
      </c>
      <c r="AI43" s="38">
        <f t="shared" ca="1" si="19"/>
        <v>7.6059867643965511</v>
      </c>
      <c r="AJ43" s="29"/>
      <c r="AK43" s="29"/>
      <c r="AL43" s="29"/>
    </row>
    <row r="44" spans="1:38" x14ac:dyDescent="0.2">
      <c r="A44" s="15">
        <v>27</v>
      </c>
      <c r="B44" s="2">
        <f t="shared" si="0"/>
        <v>184.86</v>
      </c>
      <c r="C44" s="25">
        <v>6.4</v>
      </c>
      <c r="D44" s="25">
        <v>0.84</v>
      </c>
      <c r="E44" s="25">
        <v>11.52</v>
      </c>
      <c r="F44" s="3" t="str">
        <f t="shared" ca="1" si="1"/>
        <v>ИГЭ-2</v>
      </c>
      <c r="G44" s="30" t="str">
        <f t="shared" ca="1" si="2"/>
        <v>пыл.-глинист.</v>
      </c>
      <c r="I44" s="13">
        <f t="shared" ca="1" si="12"/>
        <v>792</v>
      </c>
      <c r="J44" s="14">
        <f t="shared" ca="1" si="3"/>
        <v>0.9</v>
      </c>
      <c r="L44" s="14">
        <f t="shared" ca="1" si="4"/>
        <v>1</v>
      </c>
      <c r="M44" s="22">
        <f t="shared" ca="1" si="13"/>
        <v>2.534000000000002</v>
      </c>
      <c r="N44" s="37">
        <f t="shared" ca="1" si="5"/>
        <v>1</v>
      </c>
      <c r="O44" s="37">
        <f t="shared" ca="1" si="6"/>
        <v>0</v>
      </c>
      <c r="Q44" s="22">
        <f t="shared" si="7"/>
        <v>3.4</v>
      </c>
      <c r="R44" s="22">
        <f t="shared" ca="1" si="8"/>
        <v>87.317999999999998</v>
      </c>
      <c r="S44" s="22">
        <f ca="1">IF(Q44="","",IF(Q44=0,0,SUMPRODUCT(OFFSET(M$18,MATCH(MIN(Q$18:Q$137),Q$18:Q$137,0),0,COUNT(M$18:M44)-MATCH(MIN(Q$18:Q$137),Q$18:Q$137,0),1),OFFSET(M$18,MATCH(MIN(Q$18:Q$137),Q$18:Q$137,0),1,COUNT(M$18:M44)-MATCH(MIN(Q$18:Q$137),Q$18:Q$137,0),1))*$T$6))</f>
        <v>30.954000000000008</v>
      </c>
      <c r="T44" s="22">
        <f t="shared" ca="1" si="9"/>
        <v>118.27200000000001</v>
      </c>
      <c r="V44" s="22">
        <f ca="1">IF(Q44="","",IF(Q44=0,0,SUMPRODUCT(OFFSET(M$18,MATCH(MIN(Q$18:Q$137),Q$18:Q$137,0),0,COUNT(M$18:M44)-MATCH(MIN(Q$18:Q$137),Q$18:Q$137,0),1),OFFSET(M$18,MATCH(MIN(Q$18:Q$137),Q$18:Q$137,0),2,COUNT(M$18:M44)-MATCH(MIN(Q$18:Q$137),Q$18:Q$137,0),1))*$T$6*$T$14))</f>
        <v>0</v>
      </c>
      <c r="W44" s="29"/>
      <c r="X44" s="23">
        <f t="shared" ca="1" si="10"/>
        <v>8.4996402905198778</v>
      </c>
      <c r="Z44" s="15">
        <f t="shared" si="14"/>
        <v>6.0500000000000007</v>
      </c>
      <c r="AA44" s="15">
        <f t="shared" si="15"/>
        <v>7.8000000000000007</v>
      </c>
      <c r="AC44" s="15">
        <f t="shared" si="16"/>
        <v>25</v>
      </c>
      <c r="AD44" s="15">
        <f t="shared" si="17"/>
        <v>34</v>
      </c>
      <c r="AF44" s="15">
        <f t="shared" ca="1" si="18"/>
        <v>10</v>
      </c>
      <c r="AH44" s="15">
        <f t="shared" si="11"/>
        <v>2</v>
      </c>
      <c r="AI44" s="38">
        <f t="shared" ca="1" si="19"/>
        <v>7.7094242997912739</v>
      </c>
      <c r="AJ44" s="29"/>
      <c r="AK44" s="29"/>
      <c r="AL44" s="29"/>
    </row>
    <row r="45" spans="1:38" x14ac:dyDescent="0.2">
      <c r="A45" s="15">
        <v>28</v>
      </c>
      <c r="B45" s="2">
        <f t="shared" si="0"/>
        <v>184.66</v>
      </c>
      <c r="C45" s="25">
        <v>6.6</v>
      </c>
      <c r="D45" s="25">
        <v>0.84</v>
      </c>
      <c r="E45" s="25">
        <v>13.82</v>
      </c>
      <c r="F45" s="3" t="str">
        <f t="shared" ca="1" si="1"/>
        <v>ИГЭ-2</v>
      </c>
      <c r="G45" s="30" t="str">
        <f t="shared" ca="1" si="2"/>
        <v>пыл.-глинист.</v>
      </c>
      <c r="I45" s="13">
        <f t="shared" ca="1" si="12"/>
        <v>796</v>
      </c>
      <c r="J45" s="14">
        <f t="shared" ca="1" si="3"/>
        <v>0.9</v>
      </c>
      <c r="L45" s="14">
        <f t="shared" ca="1" si="4"/>
        <v>1</v>
      </c>
      <c r="M45" s="22">
        <f t="shared" ca="1" si="13"/>
        <v>2.5339999999999909</v>
      </c>
      <c r="N45" s="37">
        <f t="shared" ca="1" si="5"/>
        <v>1</v>
      </c>
      <c r="O45" s="37">
        <f t="shared" ca="1" si="6"/>
        <v>0</v>
      </c>
      <c r="Q45" s="22">
        <f t="shared" si="7"/>
        <v>3.6</v>
      </c>
      <c r="R45" s="22">
        <f t="shared" ca="1" si="8"/>
        <v>87.758999999999986</v>
      </c>
      <c r="S45" s="22">
        <f ca="1">IF(Q45="","",IF(Q45=0,0,SUMPRODUCT(OFFSET(M$18,MATCH(MIN(Q$18:Q$137),Q$18:Q$137,0),0,COUNT(M$18:M45)-MATCH(MIN(Q$18:Q$137),Q$18:Q$137,0),1),OFFSET(M$18,MATCH(MIN(Q$18:Q$137),Q$18:Q$137,0),1,COUNT(M$18:M45)-MATCH(MIN(Q$18:Q$137),Q$18:Q$137,0),1))*$T$6))</f>
        <v>34.501599999999996</v>
      </c>
      <c r="T45" s="22">
        <f t="shared" ca="1" si="9"/>
        <v>122.26059999999998</v>
      </c>
      <c r="V45" s="22">
        <f ca="1">IF(Q45="","",IF(Q45=0,0,SUMPRODUCT(OFFSET(M$18,MATCH(MIN(Q$18:Q$137),Q$18:Q$137,0),0,COUNT(M$18:M45)-MATCH(MIN(Q$18:Q$137),Q$18:Q$137,0),1),OFFSET(M$18,MATCH(MIN(Q$18:Q$137),Q$18:Q$137,0),2,COUNT(M$18:M45)-MATCH(MIN(Q$18:Q$137),Q$18:Q$137,0),1))*$T$6*$T$14))</f>
        <v>0</v>
      </c>
      <c r="W45" s="29"/>
      <c r="X45" s="23">
        <f t="shared" ca="1" si="10"/>
        <v>8.7575333843017322</v>
      </c>
      <c r="Z45" s="15">
        <f t="shared" si="14"/>
        <v>6.25</v>
      </c>
      <c r="AA45" s="15">
        <f t="shared" si="15"/>
        <v>8</v>
      </c>
      <c r="AC45" s="15">
        <f t="shared" si="16"/>
        <v>25</v>
      </c>
      <c r="AD45" s="15">
        <f t="shared" si="17"/>
        <v>35</v>
      </c>
      <c r="AF45" s="15">
        <f t="shared" ca="1" si="18"/>
        <v>11</v>
      </c>
      <c r="AH45" s="15">
        <f t="shared" si="11"/>
        <v>2</v>
      </c>
      <c r="AI45" s="38">
        <f t="shared" ca="1" si="19"/>
        <v>7.9433409381421614</v>
      </c>
      <c r="AJ45" s="29"/>
      <c r="AK45" s="29"/>
      <c r="AL45" s="29"/>
    </row>
    <row r="46" spans="1:38" x14ac:dyDescent="0.2">
      <c r="A46" s="15">
        <v>29</v>
      </c>
      <c r="B46" s="2">
        <f t="shared" si="0"/>
        <v>184.46</v>
      </c>
      <c r="C46" s="25">
        <v>6.8</v>
      </c>
      <c r="D46" s="25">
        <v>0.84</v>
      </c>
      <c r="E46" s="25">
        <v>13.82</v>
      </c>
      <c r="F46" s="3" t="str">
        <f t="shared" ca="1" si="1"/>
        <v>ИГЭ-2</v>
      </c>
      <c r="G46" s="30" t="str">
        <f t="shared" ca="1" si="2"/>
        <v>пыл.-глинист.</v>
      </c>
      <c r="I46" s="13">
        <f t="shared" ca="1" si="12"/>
        <v>792</v>
      </c>
      <c r="J46" s="14">
        <f t="shared" ca="1" si="3"/>
        <v>0.9</v>
      </c>
      <c r="L46" s="14">
        <f t="shared" ca="1" si="4"/>
        <v>1</v>
      </c>
      <c r="M46" s="22">
        <f t="shared" ca="1" si="13"/>
        <v>2.7640000000000025</v>
      </c>
      <c r="N46" s="37">
        <f t="shared" ca="1" si="5"/>
        <v>1</v>
      </c>
      <c r="O46" s="37">
        <f t="shared" ca="1" si="6"/>
        <v>0</v>
      </c>
      <c r="Q46" s="22">
        <f t="shared" si="7"/>
        <v>3.8</v>
      </c>
      <c r="R46" s="22">
        <f t="shared" ca="1" si="8"/>
        <v>87.317999999999998</v>
      </c>
      <c r="S46" s="22">
        <f ca="1">IF(Q46="","",IF(Q46=0,0,SUMPRODUCT(OFFSET(M$18,MATCH(MIN(Q$18:Q$137),Q$18:Q$137,0),0,COUNT(M$18:M46)-MATCH(MIN(Q$18:Q$137),Q$18:Q$137,0),1),OFFSET(M$18,MATCH(MIN(Q$18:Q$137),Q$18:Q$137,0),1,COUNT(M$18:M46)-MATCH(MIN(Q$18:Q$137),Q$18:Q$137,0),1))*$T$6))</f>
        <v>38.371200000000002</v>
      </c>
      <c r="T46" s="22">
        <f t="shared" ca="1" si="9"/>
        <v>125.6892</v>
      </c>
      <c r="V46" s="22">
        <f ca="1">IF(Q46="","",IF(Q46=0,0,SUMPRODUCT(OFFSET(M$18,MATCH(MIN(Q$18:Q$137),Q$18:Q$137,0),0,COUNT(M$18:M46)-MATCH(MIN(Q$18:Q$137),Q$18:Q$137,0),1),OFFSET(M$18,MATCH(MIN(Q$18:Q$137),Q$18:Q$137,0),2,COUNT(M$18:M46)-MATCH(MIN(Q$18:Q$137),Q$18:Q$137,0),1))*$T$6*$T$14))</f>
        <v>0</v>
      </c>
      <c r="W46" s="29"/>
      <c r="X46" s="23">
        <f t="shared" ca="1" si="10"/>
        <v>8.9697587920489301</v>
      </c>
      <c r="Z46" s="15">
        <f t="shared" si="14"/>
        <v>6.45</v>
      </c>
      <c r="AA46" s="15">
        <f t="shared" si="15"/>
        <v>8.1999999999999993</v>
      </c>
      <c r="AC46" s="15">
        <f t="shared" si="16"/>
        <v>27</v>
      </c>
      <c r="AD46" s="15">
        <f t="shared" si="17"/>
        <v>36</v>
      </c>
      <c r="AF46" s="15">
        <f t="shared" ca="1" si="18"/>
        <v>10</v>
      </c>
      <c r="AH46" s="15">
        <f t="shared" si="11"/>
        <v>2</v>
      </c>
      <c r="AI46" s="38">
        <f t="shared" ca="1" si="19"/>
        <v>8.1358356390466504</v>
      </c>
      <c r="AJ46" s="29"/>
      <c r="AK46" s="29"/>
      <c r="AL46" s="29"/>
    </row>
    <row r="47" spans="1:38" x14ac:dyDescent="0.2">
      <c r="A47" s="15">
        <v>30</v>
      </c>
      <c r="B47" s="2">
        <f t="shared" si="0"/>
        <v>184.26</v>
      </c>
      <c r="C47" s="25">
        <v>7</v>
      </c>
      <c r="D47" s="25">
        <v>0.84</v>
      </c>
      <c r="E47" s="25">
        <v>11.52</v>
      </c>
      <c r="F47" s="3" t="str">
        <f t="shared" ca="1" si="1"/>
        <v>ИГЭ-2</v>
      </c>
      <c r="G47" s="30" t="str">
        <f t="shared" ca="1" si="2"/>
        <v>пыл.-глинист.</v>
      </c>
      <c r="I47" s="13">
        <f t="shared" ca="1" si="12"/>
        <v>792</v>
      </c>
      <c r="J47" s="14">
        <f t="shared" ca="1" si="3"/>
        <v>0.9</v>
      </c>
      <c r="L47" s="14">
        <f t="shared" ca="1" si="4"/>
        <v>1</v>
      </c>
      <c r="M47" s="22">
        <f t="shared" ca="1" si="13"/>
        <v>2.534000000000002</v>
      </c>
      <c r="N47" s="37">
        <f t="shared" ca="1" si="5"/>
        <v>1</v>
      </c>
      <c r="O47" s="37">
        <f t="shared" ca="1" si="6"/>
        <v>0</v>
      </c>
      <c r="Q47" s="22">
        <f t="shared" si="7"/>
        <v>4</v>
      </c>
      <c r="R47" s="22">
        <f t="shared" ca="1" si="8"/>
        <v>87.317999999999998</v>
      </c>
      <c r="S47" s="22">
        <f ca="1">IF(Q47="","",IF(Q47=0,0,SUMPRODUCT(OFFSET(M$18,MATCH(MIN(Q$18:Q$137),Q$18:Q$137,0),0,COUNT(M$18:M47)-MATCH(MIN(Q$18:Q$137),Q$18:Q$137,0),1),OFFSET(M$18,MATCH(MIN(Q$18:Q$137),Q$18:Q$137,0),1,COUNT(M$18:M47)-MATCH(MIN(Q$18:Q$137),Q$18:Q$137,0),1))*$T$6))</f>
        <v>41.918800000000005</v>
      </c>
      <c r="T47" s="22">
        <f t="shared" ca="1" si="9"/>
        <v>129.23680000000002</v>
      </c>
      <c r="V47" s="22">
        <f ca="1">IF(Q47="","",IF(Q47=0,0,SUMPRODUCT(OFFSET(M$18,MATCH(MIN(Q$18:Q$137),Q$18:Q$137,0),0,COUNT(M$18:M47)-MATCH(MIN(Q$18:Q$137),Q$18:Q$137,0),1),OFFSET(M$18,MATCH(MIN(Q$18:Q$137),Q$18:Q$137,0),2,COUNT(M$18:M47)-MATCH(MIN(Q$18:Q$137),Q$18:Q$137,0),1))*$T$6*$T$14))</f>
        <v>0</v>
      </c>
      <c r="W47" s="29"/>
      <c r="X47" s="23">
        <f t="shared" ca="1" si="10"/>
        <v>9.1916885830784913</v>
      </c>
      <c r="Z47" s="15">
        <f t="shared" si="14"/>
        <v>6.65</v>
      </c>
      <c r="AA47" s="15">
        <f t="shared" si="15"/>
        <v>8.4</v>
      </c>
      <c r="AC47" s="15">
        <f t="shared" si="16"/>
        <v>28</v>
      </c>
      <c r="AD47" s="15">
        <f t="shared" si="17"/>
        <v>37</v>
      </c>
      <c r="AF47" s="15">
        <f t="shared" ca="1" si="18"/>
        <v>10</v>
      </c>
      <c r="AH47" s="15">
        <f t="shared" si="11"/>
        <v>2</v>
      </c>
      <c r="AI47" s="38">
        <f t="shared" ca="1" si="19"/>
        <v>8.3371325016584965</v>
      </c>
      <c r="AJ47" s="29"/>
      <c r="AK47" s="29"/>
      <c r="AL47" s="29"/>
    </row>
    <row r="48" spans="1:38" x14ac:dyDescent="0.2">
      <c r="A48" s="15">
        <v>31</v>
      </c>
      <c r="B48" s="2">
        <f t="shared" si="0"/>
        <v>184.06</v>
      </c>
      <c r="C48" s="25">
        <v>7.2</v>
      </c>
      <c r="D48" s="25">
        <v>0.84</v>
      </c>
      <c r="E48" s="25">
        <v>36.86</v>
      </c>
      <c r="F48" s="3" t="str">
        <f t="shared" ca="1" si="1"/>
        <v>ИГЭ-2</v>
      </c>
      <c r="G48" s="30" t="str">
        <f t="shared" ca="1" si="2"/>
        <v>пыл.-глинист.</v>
      </c>
      <c r="I48" s="13">
        <f t="shared" ca="1" si="12"/>
        <v>804</v>
      </c>
      <c r="J48" s="14">
        <f t="shared" ca="1" si="3"/>
        <v>0.9</v>
      </c>
      <c r="L48" s="14">
        <f t="shared" ca="1" si="4"/>
        <v>0.78900000000000003</v>
      </c>
      <c r="M48" s="22">
        <f t="shared" ca="1" si="13"/>
        <v>4.060254000000004</v>
      </c>
      <c r="N48" s="37">
        <f t="shared" ca="1" si="5"/>
        <v>1</v>
      </c>
      <c r="O48" s="37">
        <f t="shared" ca="1" si="6"/>
        <v>0</v>
      </c>
      <c r="Q48" s="22">
        <f t="shared" si="7"/>
        <v>4.2</v>
      </c>
      <c r="R48" s="22">
        <f t="shared" ca="1" si="8"/>
        <v>88.640999999999991</v>
      </c>
      <c r="S48" s="22">
        <f ca="1">IF(Q48="","",IF(Q48=0,0,SUMPRODUCT(OFFSET(M$18,MATCH(MIN(Q$18:Q$137),Q$18:Q$137,0),0,COUNT(M$18:M48)-MATCH(MIN(Q$18:Q$137),Q$18:Q$137,0),1),OFFSET(M$18,MATCH(MIN(Q$18:Q$137),Q$18:Q$137,0),1,COUNT(M$18:M48)-MATCH(MIN(Q$18:Q$137),Q$18:Q$137,0),1))*$T$6))</f>
        <v>47.603155600000008</v>
      </c>
      <c r="T48" s="22">
        <f t="shared" ca="1" si="9"/>
        <v>136.2441556</v>
      </c>
      <c r="V48" s="22">
        <f ca="1">IF(Q48="","",IF(Q48=0,0,SUMPRODUCT(OFFSET(M$18,MATCH(MIN(Q$18:Q$137),Q$18:Q$137,0),0,COUNT(M$18:M48)-MATCH(MIN(Q$18:Q$137),Q$18:Q$137,0),1),OFFSET(M$18,MATCH(MIN(Q$18:Q$137),Q$18:Q$137,0),2,COUNT(M$18:M48)-MATCH(MIN(Q$18:Q$137),Q$18:Q$137,0),1))*$T$6*$T$14))</f>
        <v>0</v>
      </c>
      <c r="W48" s="29"/>
      <c r="X48" s="23">
        <f t="shared" ca="1" si="10"/>
        <v>9.6957595035677873</v>
      </c>
      <c r="Z48" s="15">
        <f t="shared" si="14"/>
        <v>6.8500000000000005</v>
      </c>
      <c r="AA48" s="15">
        <f t="shared" si="15"/>
        <v>8.6</v>
      </c>
      <c r="AC48" s="15">
        <f t="shared" si="16"/>
        <v>29</v>
      </c>
      <c r="AD48" s="15">
        <f t="shared" si="17"/>
        <v>38</v>
      </c>
      <c r="AF48" s="15">
        <f t="shared" ca="1" si="18"/>
        <v>10</v>
      </c>
      <c r="AH48" s="15">
        <f t="shared" si="11"/>
        <v>2</v>
      </c>
      <c r="AI48" s="38">
        <f t="shared" ca="1" si="19"/>
        <v>8.794339685775773</v>
      </c>
      <c r="AJ48" s="29"/>
      <c r="AK48" s="29"/>
      <c r="AL48" s="29"/>
    </row>
    <row r="49" spans="1:38" x14ac:dyDescent="0.2">
      <c r="A49" s="15">
        <v>32</v>
      </c>
      <c r="B49" s="2">
        <f t="shared" si="0"/>
        <v>183.86</v>
      </c>
      <c r="C49" s="25">
        <v>7.4</v>
      </c>
      <c r="D49" s="25">
        <v>0.72</v>
      </c>
      <c r="E49" s="25">
        <v>16.13</v>
      </c>
      <c r="F49" s="3" t="str">
        <f t="shared" ca="1" si="1"/>
        <v>ИГЭ-2</v>
      </c>
      <c r="G49" s="30" t="str">
        <f t="shared" ca="1" si="2"/>
        <v>пыл.-глинист.</v>
      </c>
      <c r="I49" s="13">
        <f t="shared" ca="1" si="12"/>
        <v>816</v>
      </c>
      <c r="J49" s="14">
        <f t="shared" ca="1" si="3"/>
        <v>0.9</v>
      </c>
      <c r="L49" s="14">
        <f t="shared" ca="1" si="4"/>
        <v>1</v>
      </c>
      <c r="M49" s="22">
        <f t="shared" ca="1" si="13"/>
        <v>4.5212540000000043</v>
      </c>
      <c r="N49" s="37">
        <f t="shared" ca="1" si="5"/>
        <v>1</v>
      </c>
      <c r="O49" s="37">
        <f t="shared" ca="1" si="6"/>
        <v>0</v>
      </c>
      <c r="Q49" s="22">
        <f t="shared" si="7"/>
        <v>4.4000000000000004</v>
      </c>
      <c r="R49" s="22">
        <f t="shared" ca="1" si="8"/>
        <v>89.963999999999984</v>
      </c>
      <c r="S49" s="22">
        <f ca="1">IF(Q49="","",IF(Q49=0,0,SUMPRODUCT(OFFSET(M$18,MATCH(MIN(Q$18:Q$137),Q$18:Q$137,0),0,COUNT(M$18:M49)-MATCH(MIN(Q$18:Q$137),Q$18:Q$137,0),1),OFFSET(M$18,MATCH(MIN(Q$18:Q$137),Q$18:Q$137,0),1,COUNT(M$18:M49)-MATCH(MIN(Q$18:Q$137),Q$18:Q$137,0),1))*$T$6))</f>
        <v>53.932911200000014</v>
      </c>
      <c r="T49" s="22">
        <f t="shared" ca="1" si="9"/>
        <v>143.89691120000001</v>
      </c>
      <c r="V49" s="22">
        <f ca="1">IF(Q49="","",IF(Q49=0,0,SUMPRODUCT(OFFSET(M$18,MATCH(MIN(Q$18:Q$137),Q$18:Q$137,0),0,COUNT(M$18:M49)-MATCH(MIN(Q$18:Q$137),Q$18:Q$137,0),1),OFFSET(M$18,MATCH(MIN(Q$18:Q$137),Q$18:Q$137,0),2,COUNT(M$18:M49)-MATCH(MIN(Q$18:Q$137),Q$18:Q$137,0),1))*$T$6*$T$14))</f>
        <v>0</v>
      </c>
      <c r="W49" s="29"/>
      <c r="X49" s="23">
        <f t="shared" ca="1" si="10"/>
        <v>10.252462432212027</v>
      </c>
      <c r="Z49" s="15">
        <f t="shared" si="14"/>
        <v>7.0500000000000007</v>
      </c>
      <c r="AA49" s="15">
        <f t="shared" si="15"/>
        <v>8.8000000000000007</v>
      </c>
      <c r="AC49" s="15">
        <f t="shared" si="16"/>
        <v>30</v>
      </c>
      <c r="AD49" s="15">
        <f t="shared" si="17"/>
        <v>39</v>
      </c>
      <c r="AF49" s="15">
        <f t="shared" ca="1" si="18"/>
        <v>10</v>
      </c>
      <c r="AH49" s="15">
        <f t="shared" si="11"/>
        <v>2</v>
      </c>
      <c r="AI49" s="38">
        <f t="shared" ca="1" si="19"/>
        <v>9.2992856528000267</v>
      </c>
      <c r="AJ49" s="29"/>
      <c r="AK49" s="29"/>
      <c r="AL49" s="29"/>
    </row>
    <row r="50" spans="1:38" x14ac:dyDescent="0.2">
      <c r="A50" s="15">
        <v>33</v>
      </c>
      <c r="B50" s="2">
        <f t="shared" ref="B50:B81" si="20">IF(C50="","",ROUND($D$6-C50,2))</f>
        <v>183.66</v>
      </c>
      <c r="C50" s="25">
        <v>7.6</v>
      </c>
      <c r="D50" s="25">
        <v>0.72</v>
      </c>
      <c r="E50" s="25">
        <v>16.13</v>
      </c>
      <c r="F50" s="3" t="str">
        <f t="shared" ref="F50:F81" ca="1" si="21">IF(C50="","",OFFSET($C$5,MATCH(B50,D$6:D$15,-1),0,1,1))</f>
        <v>ИГЭ-2</v>
      </c>
      <c r="G50" s="30" t="str">
        <f t="shared" ref="G50:G81" ca="1" si="22">IF(C50="","",OFFSET($E$5,MATCH(B50,D$6:D$15,-1),0,1,1))</f>
        <v>пыл.-глинист.</v>
      </c>
      <c r="I50" s="13">
        <f t="shared" ca="1" si="12"/>
        <v>829</v>
      </c>
      <c r="J50" s="14">
        <f t="shared" ref="J50:J81" ca="1" si="23">IF(I50="","",IF(I50&lt;=1000,0.9,IF(I50&lt;=2500,ROUND(0.967-0.000067*I50,3),IF(I50&lt;=5000,ROUND(0.95-0.00006*I50,3),IF(I50&lt;=7500,ROUND(0.85-0.00004*I50,3),IF(I50&lt;=10000,ROUND(0.85-0.00004*I50,3),IF(I50&lt;=15000,ROUND(0.65-0.00002*I50,3),IF(I50&lt;=30000,0.5-0.00001*I50,0.2))))))))</f>
        <v>0.9</v>
      </c>
      <c r="L50" s="14">
        <f t="shared" ref="L50:L81" ca="1" si="24">IF(G50="","",IF(G50="песчаный",IF(E50&lt;=20,0.75,IF(E50&lt;=40,ROUND(0.9-0.0075*E50,3),IF(E50&lt;=120,ROUND(0.7-0.0025*E50,3),0.4))),IF(E50&lt;=20,1,IF(E50&lt;=40,ROUND(1.25-0.0125*E50,3),IF(E50&lt;=80,ROUND(1.05-0.0075*E50,3),IF(E50&lt;=100,ROUND(0.65-0.0025*E50,3),IF(E50&lt;=120,ROUND(0.9-0.005*E50,3),0.3)))))))</f>
        <v>1</v>
      </c>
      <c r="M50" s="22">
        <f t="shared" ca="1" si="13"/>
        <v>3.2259999999999884</v>
      </c>
      <c r="N50" s="37">
        <f t="shared" ref="N50:N81" ca="1" si="25">IF(C50="","",IF(OFFSET($C$5,MATCH(B50,D$6:D$15,-1),4,1,1)="",1,0))</f>
        <v>1</v>
      </c>
      <c r="O50" s="37">
        <f t="shared" ref="O50:O81" ca="1" si="26">IF(C50="","",IF(OFFSET($C$5,MATCH(B50,D$6:D$15,-1),4,1,1)="тип II",1,0))</f>
        <v>0</v>
      </c>
      <c r="Q50" s="22">
        <f t="shared" ref="Q50:Q81" si="27">IF(C50="","",IF(ROUND(($D$6-FLOOR($D$6-$T$8,$C$19-$C$18))-B50,2)&lt;0,"",ROUND(($D$6-FLOOR($D$6-$T$8,$C$19-$C$18))-B50,2)))</f>
        <v>4.5999999999999996</v>
      </c>
      <c r="R50" s="22">
        <f t="shared" ref="R50:R81" ca="1" si="28">IF(Q50="","",J50*I50*$T$7)</f>
        <v>91.397249999999985</v>
      </c>
      <c r="S50" s="22">
        <f ca="1">IF(Q50="","",IF(Q50=0,0,SUMPRODUCT(OFFSET(M$18,MATCH(MIN(Q$18:Q$137),Q$18:Q$137,0),0,COUNT(M$18:M50)-MATCH(MIN(Q$18:Q$137),Q$18:Q$137,0),1),OFFSET(M$18,MATCH(MIN(Q$18:Q$137),Q$18:Q$137,0),1,COUNT(M$18:M50)-MATCH(MIN(Q$18:Q$137),Q$18:Q$137,0),1))*$T$6))</f>
        <v>58.449311200000004</v>
      </c>
      <c r="T50" s="22">
        <f t="shared" ref="T50:T81" ca="1" si="29">IF(Q50="","",R50+S50)</f>
        <v>149.8465612</v>
      </c>
      <c r="V50" s="22">
        <f ca="1">IF(Q50="","",IF(Q50=0,0,SUMPRODUCT(OFFSET(M$18,MATCH(MIN(Q$18:Q$137),Q$18:Q$137,0),0,COUNT(M$18:M50)-MATCH(MIN(Q$18:Q$137),Q$18:Q$137,0),1),OFFSET(M$18,MATCH(MIN(Q$18:Q$137),Q$18:Q$137,0),2,COUNT(M$18:M50)-MATCH(MIN(Q$18:Q$137),Q$18:Q$137,0),1))*$T$6*$T$14))</f>
        <v>0</v>
      </c>
      <c r="W50" s="29"/>
      <c r="X50" s="23">
        <f t="shared" ref="X50:X81" ca="1" si="30">IF(Q50="","",MAX(0,(T50/1.25-V50)/9.81-2.5*1.1*$T$7*Q50))</f>
        <v>10.670278054026504</v>
      </c>
      <c r="Z50" s="15">
        <f t="shared" si="14"/>
        <v>7.25</v>
      </c>
      <c r="AA50" s="15">
        <f t="shared" si="15"/>
        <v>9</v>
      </c>
      <c r="AC50" s="15">
        <f t="shared" si="16"/>
        <v>30</v>
      </c>
      <c r="AD50" s="15">
        <f t="shared" si="17"/>
        <v>40</v>
      </c>
      <c r="AF50" s="15">
        <f t="shared" ca="1" si="18"/>
        <v>11</v>
      </c>
      <c r="AH50" s="15">
        <f t="shared" ref="AH50:AH81" si="31">MATCH(B50,D$6:D$15,-1)</f>
        <v>2</v>
      </c>
      <c r="AI50" s="38">
        <f t="shared" ca="1" si="19"/>
        <v>9.6782567383460361</v>
      </c>
      <c r="AJ50" s="29"/>
      <c r="AK50" s="29"/>
      <c r="AL50" s="29"/>
    </row>
    <row r="51" spans="1:38" x14ac:dyDescent="0.2">
      <c r="A51" s="15">
        <v>34</v>
      </c>
      <c r="B51" s="2">
        <f t="shared" si="20"/>
        <v>183.46</v>
      </c>
      <c r="C51" s="25">
        <v>7.8</v>
      </c>
      <c r="D51" s="25">
        <v>0.72</v>
      </c>
      <c r="E51" s="25">
        <v>16.13</v>
      </c>
      <c r="F51" s="3" t="str">
        <f t="shared" ca="1" si="21"/>
        <v>ИГЭ-2</v>
      </c>
      <c r="G51" s="30" t="str">
        <f t="shared" ca="1" si="22"/>
        <v>пыл.-глинист.</v>
      </c>
      <c r="I51" s="13">
        <f t="shared" ref="I51:I82" ca="1" si="32">IF(D51="","",ROUND(AVERAGE(OFFSET($D$17,MATCH(MAX(FLOOR(C51-$T$5,(C51-C50)),C$18),C$18:C$137),0,MATCH(MIN(CEILING(C51+4*$T$5,(C51-C50)),C$137),C$18:C$137)-MATCH(MAX(FLOOR(C51-$T$5,(C51-C50)),C$18),C$18:C$137)+1,1))*1000,0))</f>
        <v>828</v>
      </c>
      <c r="J51" s="14">
        <f t="shared" ca="1" si="23"/>
        <v>0.9</v>
      </c>
      <c r="L51" s="14">
        <f t="shared" ca="1" si="24"/>
        <v>1</v>
      </c>
      <c r="M51" s="22">
        <f t="shared" ref="M51:M82" ca="1" si="33">IF(L51="","",(C51-C50)*SUMPRODUCT(E50:E51,L50:L51)/2)</f>
        <v>3.2260000000000026</v>
      </c>
      <c r="N51" s="37">
        <f t="shared" ca="1" si="25"/>
        <v>1</v>
      </c>
      <c r="O51" s="37">
        <f t="shared" ca="1" si="26"/>
        <v>0</v>
      </c>
      <c r="Q51" s="22">
        <f t="shared" si="27"/>
        <v>4.8</v>
      </c>
      <c r="R51" s="22">
        <f t="shared" ca="1" si="28"/>
        <v>91.286999999999992</v>
      </c>
      <c r="S51" s="22">
        <f ca="1">IF(Q51="","",IF(Q51=0,0,SUMPRODUCT(OFFSET(M$18,MATCH(MIN(Q$18:Q$137),Q$18:Q$137,0),0,COUNT(M$18:M51)-MATCH(MIN(Q$18:Q$137),Q$18:Q$137,0),1),OFFSET(M$18,MATCH(MIN(Q$18:Q$137),Q$18:Q$137,0),1,COUNT(M$18:M51)-MATCH(MIN(Q$18:Q$137),Q$18:Q$137,0),1))*$T$6))</f>
        <v>62.965711200000001</v>
      </c>
      <c r="T51" s="22">
        <f t="shared" ca="1" si="29"/>
        <v>154.25271119999999</v>
      </c>
      <c r="V51" s="22">
        <f ca="1">IF(Q51="","",IF(Q51=0,0,SUMPRODUCT(OFFSET(M$18,MATCH(MIN(Q$18:Q$137),Q$18:Q$137,0),0,COUNT(M$18:M51)-MATCH(MIN(Q$18:Q$137),Q$18:Q$137,0),1),OFFSET(M$18,MATCH(MIN(Q$18:Q$137),Q$18:Q$137,0),2,COUNT(M$18:M51)-MATCH(MIN(Q$18:Q$137),Q$18:Q$137,0),1))*$T$6*$T$14))</f>
        <v>0</v>
      </c>
      <c r="W51" s="29"/>
      <c r="X51" s="23">
        <f t="shared" ca="1" si="30"/>
        <v>10.962222116207951</v>
      </c>
      <c r="Z51" s="15">
        <f t="shared" ref="Z51:Z82" si="34">C51-T$5</f>
        <v>7.45</v>
      </c>
      <c r="AA51" s="15">
        <f t="shared" ref="AA51:AA82" si="35">C51+4*T$5</f>
        <v>9.1999999999999993</v>
      </c>
      <c r="AC51" s="15">
        <f t="shared" ref="AC51:AC82" si="36">MATCH(MAX(FLOOR(C51-$T$5,(C51-C50)),C$18),C$18:C$137)</f>
        <v>32</v>
      </c>
      <c r="AD51" s="15">
        <f t="shared" ref="AD51:AD82" si="37">MATCH(MIN(CEILING(C51+4*$T$5,(C51-C50)),C$137),C$18:C$137)</f>
        <v>41</v>
      </c>
      <c r="AF51" s="15">
        <f t="shared" ref="AF51:AF82" ca="1" si="38">COUNT(OFFSET($D$17,AC51,0,AD51-AC51+1,1))</f>
        <v>10</v>
      </c>
      <c r="AH51" s="15">
        <f t="shared" si="31"/>
        <v>2</v>
      </c>
      <c r="AI51" s="38">
        <f t="shared" ca="1" si="19"/>
        <v>9.9430586088053978</v>
      </c>
      <c r="AJ51" s="29"/>
      <c r="AK51" s="29"/>
      <c r="AL51" s="29"/>
    </row>
    <row r="52" spans="1:38" x14ac:dyDescent="0.2">
      <c r="A52" s="15">
        <v>35</v>
      </c>
      <c r="B52" s="2">
        <f t="shared" si="20"/>
        <v>183.26</v>
      </c>
      <c r="C52" s="25">
        <v>8</v>
      </c>
      <c r="D52" s="25">
        <v>0.84</v>
      </c>
      <c r="E52" s="25">
        <v>18.43</v>
      </c>
      <c r="F52" s="3" t="str">
        <f t="shared" ca="1" si="21"/>
        <v>ИГЭ-2</v>
      </c>
      <c r="G52" s="30" t="str">
        <f t="shared" ca="1" si="22"/>
        <v>пыл.-глинист.</v>
      </c>
      <c r="I52" s="13">
        <f t="shared" ca="1" si="32"/>
        <v>840</v>
      </c>
      <c r="J52" s="14">
        <f t="shared" ca="1" si="23"/>
        <v>0.9</v>
      </c>
      <c r="L52" s="14">
        <f t="shared" ca="1" si="24"/>
        <v>1</v>
      </c>
      <c r="M52" s="22">
        <f t="shared" ca="1" si="33"/>
        <v>3.4560000000000035</v>
      </c>
      <c r="N52" s="37">
        <f t="shared" ca="1" si="25"/>
        <v>1</v>
      </c>
      <c r="O52" s="37">
        <f t="shared" ca="1" si="26"/>
        <v>0</v>
      </c>
      <c r="Q52" s="22">
        <f t="shared" si="27"/>
        <v>5</v>
      </c>
      <c r="R52" s="22">
        <f t="shared" ca="1" si="28"/>
        <v>92.609999999999985</v>
      </c>
      <c r="S52" s="22">
        <f ca="1">IF(Q52="","",IF(Q52=0,0,SUMPRODUCT(OFFSET(M$18,MATCH(MIN(Q$18:Q$137),Q$18:Q$137,0),0,COUNT(M$18:M52)-MATCH(MIN(Q$18:Q$137),Q$18:Q$137,0),1),OFFSET(M$18,MATCH(MIN(Q$18:Q$137),Q$18:Q$137,0),1,COUNT(M$18:M52)-MATCH(MIN(Q$18:Q$137),Q$18:Q$137,0),1))*$T$6))</f>
        <v>67.804111200000008</v>
      </c>
      <c r="T52" s="22">
        <f t="shared" ca="1" si="29"/>
        <v>160.41411119999998</v>
      </c>
      <c r="V52" s="22">
        <f ca="1">IF(Q52="","",IF(Q52=0,0,SUMPRODUCT(OFFSET(M$18,MATCH(MIN(Q$18:Q$137),Q$18:Q$137,0),0,COUNT(M$18:M52)-MATCH(MIN(Q$18:Q$137),Q$18:Q$137,0),1),OFFSET(M$18,MATCH(MIN(Q$18:Q$137),Q$18:Q$137,0),2,COUNT(M$18:M52)-MATCH(MIN(Q$18:Q$137),Q$18:Q$137,0),1))*$T$6*$T$14))</f>
        <v>0</v>
      </c>
      <c r="W52" s="29"/>
      <c r="X52" s="23">
        <f t="shared" ca="1" si="30"/>
        <v>11.397305831804282</v>
      </c>
      <c r="Z52" s="15">
        <f t="shared" si="34"/>
        <v>7.65</v>
      </c>
      <c r="AA52" s="15">
        <f t="shared" si="35"/>
        <v>9.4</v>
      </c>
      <c r="AC52" s="15">
        <f t="shared" si="36"/>
        <v>33</v>
      </c>
      <c r="AD52" s="15">
        <f t="shared" si="37"/>
        <v>42</v>
      </c>
      <c r="AF52" s="15">
        <f t="shared" ca="1" si="38"/>
        <v>10</v>
      </c>
      <c r="AH52" s="15">
        <f t="shared" si="31"/>
        <v>2</v>
      </c>
      <c r="AI52" s="38">
        <f t="shared" ca="1" si="19"/>
        <v>10.33769236444833</v>
      </c>
      <c r="AJ52" s="29"/>
      <c r="AK52" s="29"/>
      <c r="AL52" s="29"/>
    </row>
    <row r="53" spans="1:38" x14ac:dyDescent="0.2">
      <c r="A53" s="15">
        <v>36</v>
      </c>
      <c r="B53" s="2">
        <f t="shared" si="20"/>
        <v>183.06</v>
      </c>
      <c r="C53" s="25">
        <v>8.1999999999999993</v>
      </c>
      <c r="D53" s="25">
        <v>0.72</v>
      </c>
      <c r="E53" s="25">
        <v>18.43</v>
      </c>
      <c r="F53" s="3" t="str">
        <f t="shared" ca="1" si="21"/>
        <v>ИГЭ-2</v>
      </c>
      <c r="G53" s="30" t="str">
        <f t="shared" ca="1" si="22"/>
        <v>пыл.-глинист.</v>
      </c>
      <c r="I53" s="13">
        <f t="shared" ca="1" si="32"/>
        <v>840</v>
      </c>
      <c r="J53" s="14">
        <f t="shared" ca="1" si="23"/>
        <v>0.9</v>
      </c>
      <c r="L53" s="14">
        <f t="shared" ca="1" si="24"/>
        <v>1</v>
      </c>
      <c r="M53" s="22">
        <f t="shared" ca="1" si="33"/>
        <v>3.6859999999999871</v>
      </c>
      <c r="N53" s="37">
        <f t="shared" ca="1" si="25"/>
        <v>1</v>
      </c>
      <c r="O53" s="37">
        <f t="shared" ca="1" si="26"/>
        <v>0</v>
      </c>
      <c r="Q53" s="22">
        <f t="shared" si="27"/>
        <v>5.2</v>
      </c>
      <c r="R53" s="22">
        <f t="shared" ca="1" si="28"/>
        <v>92.609999999999985</v>
      </c>
      <c r="S53" s="22">
        <f ca="1">IF(Q53="","",IF(Q53=0,0,SUMPRODUCT(OFFSET(M$18,MATCH(MIN(Q$18:Q$137),Q$18:Q$137,0),0,COUNT(M$18:M53)-MATCH(MIN(Q$18:Q$137),Q$18:Q$137,0),1),OFFSET(M$18,MATCH(MIN(Q$18:Q$137),Q$18:Q$137,0),1,COUNT(M$18:M53)-MATCH(MIN(Q$18:Q$137),Q$18:Q$137,0),1))*$T$6))</f>
        <v>72.96451119999999</v>
      </c>
      <c r="T53" s="22">
        <f t="shared" ca="1" si="29"/>
        <v>165.57451119999996</v>
      </c>
      <c r="V53" s="22">
        <f ca="1">IF(Q53="","",IF(Q53=0,0,SUMPRODUCT(OFFSET(M$18,MATCH(MIN(Q$18:Q$137),Q$18:Q$137,0),0,COUNT(M$18:M53)-MATCH(MIN(Q$18:Q$137),Q$18:Q$137,0),1),OFFSET(M$18,MATCH(MIN(Q$18:Q$137),Q$18:Q$137,0),2,COUNT(M$18:M53)-MATCH(MIN(Q$18:Q$137),Q$18:Q$137,0),1))*$T$6*$T$14))</f>
        <v>0</v>
      </c>
      <c r="W53" s="29"/>
      <c r="X53" s="23">
        <f t="shared" ca="1" si="30"/>
        <v>11.750758558613656</v>
      </c>
      <c r="Z53" s="15">
        <f t="shared" si="34"/>
        <v>7.85</v>
      </c>
      <c r="AA53" s="15">
        <f t="shared" si="35"/>
        <v>9.6</v>
      </c>
      <c r="AC53" s="15">
        <f t="shared" si="36"/>
        <v>33</v>
      </c>
      <c r="AD53" s="15">
        <f t="shared" si="37"/>
        <v>43</v>
      </c>
      <c r="AF53" s="15">
        <f t="shared" ca="1" si="38"/>
        <v>11</v>
      </c>
      <c r="AH53" s="15">
        <f t="shared" si="31"/>
        <v>2</v>
      </c>
      <c r="AI53" s="38">
        <f t="shared" ca="1" si="19"/>
        <v>10.658284406905812</v>
      </c>
      <c r="AJ53" s="29"/>
      <c r="AK53" s="29"/>
      <c r="AL53" s="29"/>
    </row>
    <row r="54" spans="1:38" x14ac:dyDescent="0.2">
      <c r="A54" s="15">
        <v>37</v>
      </c>
      <c r="B54" s="2">
        <f t="shared" si="20"/>
        <v>182.86</v>
      </c>
      <c r="C54" s="25">
        <v>8.4</v>
      </c>
      <c r="D54" s="25">
        <v>0.84</v>
      </c>
      <c r="E54" s="25">
        <v>18.43</v>
      </c>
      <c r="F54" s="3" t="str">
        <f t="shared" ca="1" si="21"/>
        <v>ИГЭ-2</v>
      </c>
      <c r="G54" s="30" t="str">
        <f t="shared" ca="1" si="22"/>
        <v>пыл.-глинист.</v>
      </c>
      <c r="I54" s="13">
        <f t="shared" ca="1" si="32"/>
        <v>876</v>
      </c>
      <c r="J54" s="14">
        <f t="shared" ca="1" si="23"/>
        <v>0.9</v>
      </c>
      <c r="L54" s="14">
        <f t="shared" ca="1" si="24"/>
        <v>1</v>
      </c>
      <c r="M54" s="22">
        <f t="shared" ca="1" si="33"/>
        <v>3.6860000000000195</v>
      </c>
      <c r="N54" s="37">
        <f t="shared" ca="1" si="25"/>
        <v>1</v>
      </c>
      <c r="O54" s="37">
        <f t="shared" ca="1" si="26"/>
        <v>0</v>
      </c>
      <c r="Q54" s="22">
        <f t="shared" si="27"/>
        <v>5.4</v>
      </c>
      <c r="R54" s="22">
        <f t="shared" ca="1" si="28"/>
        <v>96.578999999999979</v>
      </c>
      <c r="S54" s="22">
        <f ca="1">IF(Q54="","",IF(Q54=0,0,SUMPRODUCT(OFFSET(M$18,MATCH(MIN(Q$18:Q$137),Q$18:Q$137,0),0,COUNT(M$18:M54)-MATCH(MIN(Q$18:Q$137),Q$18:Q$137,0),1),OFFSET(M$18,MATCH(MIN(Q$18:Q$137),Q$18:Q$137,0),1,COUNT(M$18:M54)-MATCH(MIN(Q$18:Q$137),Q$18:Q$137,0),1))*$T$6))</f>
        <v>78.124911200000014</v>
      </c>
      <c r="T54" s="22">
        <f t="shared" ca="1" si="29"/>
        <v>174.70391119999999</v>
      </c>
      <c r="V54" s="22">
        <f ca="1">IF(Q54="","",IF(Q54=0,0,SUMPRODUCT(OFFSET(M$18,MATCH(MIN(Q$18:Q$137),Q$18:Q$137,0),0,COUNT(M$18:M54)-MATCH(MIN(Q$18:Q$137),Q$18:Q$137,0),1),OFFSET(M$18,MATCH(MIN(Q$18:Q$137),Q$18:Q$137,0),2,COUNT(M$18:M54)-MATCH(MIN(Q$18:Q$137),Q$18:Q$137,0),1))*$T$6*$T$14))</f>
        <v>0</v>
      </c>
      <c r="W54" s="29"/>
      <c r="X54" s="23">
        <f t="shared" ca="1" si="30"/>
        <v>12.427881010193678</v>
      </c>
      <c r="Z54" s="15">
        <f t="shared" si="34"/>
        <v>8.0500000000000007</v>
      </c>
      <c r="AA54" s="15">
        <f t="shared" si="35"/>
        <v>9.8000000000000007</v>
      </c>
      <c r="AC54" s="15">
        <f t="shared" si="36"/>
        <v>35</v>
      </c>
      <c r="AD54" s="15">
        <f t="shared" si="37"/>
        <v>44</v>
      </c>
      <c r="AF54" s="15">
        <f t="shared" ca="1" si="38"/>
        <v>10</v>
      </c>
      <c r="AH54" s="15">
        <f t="shared" si="31"/>
        <v>2</v>
      </c>
      <c r="AI54" s="38">
        <f t="shared" ca="1" si="19"/>
        <v>11.272454431014674</v>
      </c>
      <c r="AJ54" s="29"/>
      <c r="AK54" s="29"/>
      <c r="AL54" s="29"/>
    </row>
    <row r="55" spans="1:38" x14ac:dyDescent="0.2">
      <c r="A55" s="15">
        <v>38</v>
      </c>
      <c r="B55" s="2">
        <f t="shared" si="20"/>
        <v>182.66</v>
      </c>
      <c r="C55" s="25">
        <v>8.6</v>
      </c>
      <c r="D55" s="25">
        <v>0.96</v>
      </c>
      <c r="E55" s="25">
        <v>18.43</v>
      </c>
      <c r="F55" s="3" t="str">
        <f t="shared" ca="1" si="21"/>
        <v>ИГЭ-2</v>
      </c>
      <c r="G55" s="30" t="str">
        <f t="shared" ca="1" si="22"/>
        <v>пыл.-глинист.</v>
      </c>
      <c r="I55" s="13">
        <f t="shared" ca="1" si="32"/>
        <v>873</v>
      </c>
      <c r="J55" s="14">
        <f t="shared" ca="1" si="23"/>
        <v>0.9</v>
      </c>
      <c r="L55" s="14">
        <f t="shared" ca="1" si="24"/>
        <v>1</v>
      </c>
      <c r="M55" s="22">
        <f t="shared" ca="1" si="33"/>
        <v>3.6859999999999871</v>
      </c>
      <c r="N55" s="37">
        <f t="shared" ca="1" si="25"/>
        <v>1</v>
      </c>
      <c r="O55" s="37">
        <f t="shared" ca="1" si="26"/>
        <v>0</v>
      </c>
      <c r="Q55" s="22">
        <f t="shared" si="27"/>
        <v>5.6</v>
      </c>
      <c r="R55" s="22">
        <f t="shared" ca="1" si="28"/>
        <v>96.248249999999999</v>
      </c>
      <c r="S55" s="22">
        <f ca="1">IF(Q55="","",IF(Q55=0,0,SUMPRODUCT(OFFSET(M$18,MATCH(MIN(Q$18:Q$137),Q$18:Q$137,0),0,COUNT(M$18:M55)-MATCH(MIN(Q$18:Q$137),Q$18:Q$137,0),1),OFFSET(M$18,MATCH(MIN(Q$18:Q$137),Q$18:Q$137,0),1,COUNT(M$18:M55)-MATCH(MIN(Q$18:Q$137),Q$18:Q$137,0),1))*$T$6))</f>
        <v>83.285311199999995</v>
      </c>
      <c r="T55" s="22">
        <f t="shared" ca="1" si="29"/>
        <v>179.53356120000001</v>
      </c>
      <c r="V55" s="22">
        <f ca="1">IF(Q55="","",IF(Q55=0,0,SUMPRODUCT(OFFSET(M$18,MATCH(MIN(Q$18:Q$137),Q$18:Q$137,0),0,COUNT(M$18:M55)-MATCH(MIN(Q$18:Q$137),Q$18:Q$137,0),1),OFFSET(M$18,MATCH(MIN(Q$18:Q$137),Q$18:Q$137,0),2,COUNT(M$18:M55)-MATCH(MIN(Q$18:Q$137),Q$18:Q$137,0),1))*$T$6*$T$14))</f>
        <v>0</v>
      </c>
      <c r="W55" s="29"/>
      <c r="X55" s="23">
        <f t="shared" ca="1" si="30"/>
        <v>12.75436125993884</v>
      </c>
      <c r="Z55" s="15">
        <f t="shared" si="34"/>
        <v>8.25</v>
      </c>
      <c r="AA55" s="15">
        <f t="shared" si="35"/>
        <v>10</v>
      </c>
      <c r="AC55" s="15">
        <f t="shared" si="36"/>
        <v>35</v>
      </c>
      <c r="AD55" s="15">
        <f t="shared" si="37"/>
        <v>45</v>
      </c>
      <c r="AF55" s="15">
        <f t="shared" ca="1" si="38"/>
        <v>11</v>
      </c>
      <c r="AH55" s="15">
        <f t="shared" si="31"/>
        <v>2</v>
      </c>
      <c r="AI55" s="38">
        <f t="shared" ca="1" si="19"/>
        <v>11.568581641667883</v>
      </c>
      <c r="AJ55" s="29"/>
      <c r="AK55" s="29"/>
      <c r="AL55" s="29"/>
    </row>
    <row r="56" spans="1:38" x14ac:dyDescent="0.2">
      <c r="A56" s="15">
        <v>39</v>
      </c>
      <c r="B56" s="2">
        <f t="shared" si="20"/>
        <v>182.46</v>
      </c>
      <c r="C56" s="25">
        <v>8.8000000000000007</v>
      </c>
      <c r="D56" s="25">
        <v>0.96</v>
      </c>
      <c r="E56" s="25">
        <v>20.73</v>
      </c>
      <c r="F56" s="3" t="str">
        <f t="shared" ca="1" si="21"/>
        <v>ИГЭ-2</v>
      </c>
      <c r="G56" s="30" t="str">
        <f t="shared" ca="1" si="22"/>
        <v>пыл.-глинист.</v>
      </c>
      <c r="I56" s="13">
        <f t="shared" ca="1" si="32"/>
        <v>888</v>
      </c>
      <c r="J56" s="14">
        <f t="shared" ca="1" si="23"/>
        <v>0.9</v>
      </c>
      <c r="L56" s="14">
        <f t="shared" ca="1" si="24"/>
        <v>0.99099999999999999</v>
      </c>
      <c r="M56" s="22">
        <f t="shared" ca="1" si="33"/>
        <v>3.8973430000000207</v>
      </c>
      <c r="N56" s="37">
        <f t="shared" ca="1" si="25"/>
        <v>1</v>
      </c>
      <c r="O56" s="37">
        <f t="shared" ca="1" si="26"/>
        <v>0</v>
      </c>
      <c r="Q56" s="22">
        <f t="shared" si="27"/>
        <v>5.8</v>
      </c>
      <c r="R56" s="22">
        <f t="shared" ca="1" si="28"/>
        <v>97.901999999999987</v>
      </c>
      <c r="S56" s="22">
        <f ca="1">IF(Q56="","",IF(Q56=0,0,SUMPRODUCT(OFFSET(M$18,MATCH(MIN(Q$18:Q$137),Q$18:Q$137,0),0,COUNT(M$18:M56)-MATCH(MIN(Q$18:Q$137),Q$18:Q$137,0),1),OFFSET(M$18,MATCH(MIN(Q$18:Q$137),Q$18:Q$137,0),1,COUNT(M$18:M56)-MATCH(MIN(Q$18:Q$137),Q$18:Q$137,0),1))*$T$6))</f>
        <v>88.741591400000019</v>
      </c>
      <c r="T56" s="22">
        <f t="shared" ca="1" si="29"/>
        <v>186.64359139999999</v>
      </c>
      <c r="V56" s="22">
        <f ca="1">IF(Q56="","",IF(Q56=0,0,SUMPRODUCT(OFFSET(M$18,MATCH(MIN(Q$18:Q$137),Q$18:Q$137,0),0,COUNT(M$18:M56)-MATCH(MIN(Q$18:Q$137),Q$18:Q$137,0),1),OFFSET(M$18,MATCH(MIN(Q$18:Q$137),Q$18:Q$137,0),2,COUNT(M$18:M56)-MATCH(MIN(Q$18:Q$137),Q$18:Q$137,0),1))*$T$6*$T$14))</f>
        <v>0</v>
      </c>
      <c r="W56" s="29"/>
      <c r="X56" s="23">
        <f t="shared" ca="1" si="30"/>
        <v>13.266805236493372</v>
      </c>
      <c r="Z56" s="15">
        <f t="shared" si="34"/>
        <v>8.4500000000000011</v>
      </c>
      <c r="AA56" s="15">
        <f t="shared" si="35"/>
        <v>10.200000000000001</v>
      </c>
      <c r="AC56" s="15">
        <f t="shared" si="36"/>
        <v>37</v>
      </c>
      <c r="AD56" s="15">
        <f t="shared" si="37"/>
        <v>46</v>
      </c>
      <c r="AF56" s="15">
        <f t="shared" ca="1" si="38"/>
        <v>10</v>
      </c>
      <c r="AH56" s="15">
        <f t="shared" si="31"/>
        <v>2</v>
      </c>
      <c r="AI56" s="38">
        <f t="shared" ca="1" si="19"/>
        <v>12.033383434461109</v>
      </c>
      <c r="AJ56" s="29"/>
      <c r="AK56" s="29"/>
      <c r="AL56" s="29"/>
    </row>
    <row r="57" spans="1:38" x14ac:dyDescent="0.2">
      <c r="A57" s="15">
        <v>40</v>
      </c>
      <c r="B57" s="2">
        <f t="shared" si="20"/>
        <v>182.26</v>
      </c>
      <c r="C57" s="25">
        <v>9</v>
      </c>
      <c r="D57" s="25">
        <v>0.96</v>
      </c>
      <c r="E57" s="25">
        <v>20.73</v>
      </c>
      <c r="F57" s="3" t="str">
        <f t="shared" ca="1" si="21"/>
        <v>ИГЭ-2</v>
      </c>
      <c r="G57" s="30" t="str">
        <f t="shared" ca="1" si="22"/>
        <v>пыл.-глинист.</v>
      </c>
      <c r="I57" s="13">
        <f t="shared" ca="1" si="32"/>
        <v>895</v>
      </c>
      <c r="J57" s="14">
        <f t="shared" ca="1" si="23"/>
        <v>0.9</v>
      </c>
      <c r="L57" s="14">
        <f t="shared" ca="1" si="24"/>
        <v>0.99099999999999999</v>
      </c>
      <c r="M57" s="22">
        <f t="shared" ca="1" si="33"/>
        <v>4.1086859999999854</v>
      </c>
      <c r="N57" s="37">
        <f t="shared" ca="1" si="25"/>
        <v>1</v>
      </c>
      <c r="O57" s="37">
        <f t="shared" ca="1" si="26"/>
        <v>0</v>
      </c>
      <c r="Q57" s="22">
        <f t="shared" si="27"/>
        <v>6</v>
      </c>
      <c r="R57" s="22">
        <f t="shared" ca="1" si="28"/>
        <v>98.673749999999984</v>
      </c>
      <c r="S57" s="22">
        <f ca="1">IF(Q57="","",IF(Q57=0,0,SUMPRODUCT(OFFSET(M$18,MATCH(MIN(Q$18:Q$137),Q$18:Q$137,0),0,COUNT(M$18:M57)-MATCH(MIN(Q$18:Q$137),Q$18:Q$137,0),1),OFFSET(M$18,MATCH(MIN(Q$18:Q$137),Q$18:Q$137,0),1,COUNT(M$18:M57)-MATCH(MIN(Q$18:Q$137),Q$18:Q$137,0),1))*$T$6))</f>
        <v>94.493751800000013</v>
      </c>
      <c r="T57" s="22">
        <f t="shared" ca="1" si="29"/>
        <v>193.1675018</v>
      </c>
      <c r="V57" s="22">
        <f ca="1">IF(Q57="","",IF(Q57=0,0,SUMPRODUCT(OFFSET(M$18,MATCH(MIN(Q$18:Q$137),Q$18:Q$137,0),0,COUNT(M$18:M57)-MATCH(MIN(Q$18:Q$137),Q$18:Q$137,0),1),OFFSET(M$18,MATCH(MIN(Q$18:Q$137),Q$18:Q$137,0),2,COUNT(M$18:M57)-MATCH(MIN(Q$18:Q$137),Q$18:Q$137,0),1))*$T$6*$T$14))</f>
        <v>0</v>
      </c>
      <c r="W57" s="29"/>
      <c r="X57" s="23">
        <f t="shared" ca="1" si="30"/>
        <v>13.731451471967379</v>
      </c>
      <c r="Z57" s="15">
        <f t="shared" si="34"/>
        <v>8.65</v>
      </c>
      <c r="AA57" s="15">
        <f t="shared" si="35"/>
        <v>10.4</v>
      </c>
      <c r="AC57" s="15">
        <f t="shared" si="36"/>
        <v>37</v>
      </c>
      <c r="AD57" s="15">
        <f t="shared" si="37"/>
        <v>47</v>
      </c>
      <c r="AF57" s="15">
        <f t="shared" ca="1" si="38"/>
        <v>11</v>
      </c>
      <c r="AH57" s="15">
        <f t="shared" si="31"/>
        <v>2</v>
      </c>
      <c r="AI57" s="38">
        <f t="shared" ca="1" si="19"/>
        <v>12.454831267090594</v>
      </c>
      <c r="AJ57" s="29"/>
      <c r="AK57" s="29"/>
      <c r="AL57" s="29"/>
    </row>
    <row r="58" spans="1:38" x14ac:dyDescent="0.2">
      <c r="A58" s="15">
        <v>41</v>
      </c>
      <c r="B58" s="2">
        <f t="shared" si="20"/>
        <v>182.06</v>
      </c>
      <c r="C58" s="25">
        <v>9.1999999999999993</v>
      </c>
      <c r="D58" s="25">
        <v>0.84</v>
      </c>
      <c r="E58" s="25">
        <v>39.17</v>
      </c>
      <c r="F58" s="3" t="str">
        <f t="shared" ca="1" si="21"/>
        <v>ИГЭ-2</v>
      </c>
      <c r="G58" s="30" t="str">
        <f t="shared" ca="1" si="22"/>
        <v>пыл.-глинист.</v>
      </c>
      <c r="I58" s="13">
        <f t="shared" ca="1" si="32"/>
        <v>905</v>
      </c>
      <c r="J58" s="14">
        <f t="shared" ca="1" si="23"/>
        <v>0.9</v>
      </c>
      <c r="L58" s="14">
        <f t="shared" ca="1" si="24"/>
        <v>0.76</v>
      </c>
      <c r="M58" s="22">
        <f t="shared" ca="1" si="33"/>
        <v>5.0312629999999823</v>
      </c>
      <c r="N58" s="37">
        <f t="shared" ca="1" si="25"/>
        <v>1</v>
      </c>
      <c r="O58" s="37">
        <f t="shared" ca="1" si="26"/>
        <v>0</v>
      </c>
      <c r="Q58" s="22">
        <f t="shared" si="27"/>
        <v>6.2</v>
      </c>
      <c r="R58" s="22">
        <f t="shared" ca="1" si="28"/>
        <v>99.77624999999999</v>
      </c>
      <c r="S58" s="22">
        <f ca="1">IF(Q58="","",IF(Q58=0,0,SUMPRODUCT(OFFSET(M$18,MATCH(MIN(Q$18:Q$137),Q$18:Q$137,0),0,COUNT(M$18:M58)-MATCH(MIN(Q$18:Q$137),Q$18:Q$137,0),1),OFFSET(M$18,MATCH(MIN(Q$18:Q$137),Q$18:Q$137,0),1,COUNT(M$18:M58)-MATCH(MIN(Q$18:Q$137),Q$18:Q$137,0),1))*$T$6))</f>
        <v>101.53751999999999</v>
      </c>
      <c r="T58" s="22">
        <f t="shared" ca="1" si="29"/>
        <v>201.31376999999998</v>
      </c>
      <c r="V58" s="22">
        <f ca="1">IF(Q58="","",IF(Q58=0,0,SUMPRODUCT(OFFSET(M$18,MATCH(MIN(Q$18:Q$137),Q$18:Q$137,0),0,COUNT(M$18:M58)-MATCH(MIN(Q$18:Q$137),Q$18:Q$137,0),1),OFFSET(M$18,MATCH(MIN(Q$18:Q$137),Q$18:Q$137,0),2,COUNT(M$18:M58)-MATCH(MIN(Q$18:Q$137),Q$18:Q$137,0),1))*$T$6*$T$14))</f>
        <v>0</v>
      </c>
      <c r="W58" s="29"/>
      <c r="X58" s="23">
        <f t="shared" ca="1" si="30"/>
        <v>14.328400076452596</v>
      </c>
      <c r="Z58" s="15">
        <f t="shared" si="34"/>
        <v>8.85</v>
      </c>
      <c r="AA58" s="15">
        <f t="shared" si="35"/>
        <v>10.6</v>
      </c>
      <c r="AC58" s="15">
        <f t="shared" si="36"/>
        <v>38</v>
      </c>
      <c r="AD58" s="15">
        <f t="shared" si="37"/>
        <v>48</v>
      </c>
      <c r="AF58" s="15">
        <f t="shared" ca="1" si="38"/>
        <v>11</v>
      </c>
      <c r="AH58" s="15">
        <f t="shared" si="31"/>
        <v>2</v>
      </c>
      <c r="AI58" s="38">
        <f t="shared" ca="1" si="19"/>
        <v>12.996281248483081</v>
      </c>
      <c r="AJ58" s="29"/>
      <c r="AK58" s="29"/>
      <c r="AL58" s="29"/>
    </row>
    <row r="59" spans="1:38" x14ac:dyDescent="0.2">
      <c r="A59" s="15">
        <v>42</v>
      </c>
      <c r="B59" s="2">
        <f t="shared" si="20"/>
        <v>181.86</v>
      </c>
      <c r="C59" s="25">
        <v>9.4</v>
      </c>
      <c r="D59" s="25">
        <v>0.84</v>
      </c>
      <c r="E59" s="25">
        <v>25.34</v>
      </c>
      <c r="F59" s="3" t="str">
        <f t="shared" ca="1" si="21"/>
        <v>ИГЭ-2</v>
      </c>
      <c r="G59" s="30" t="str">
        <f t="shared" ca="1" si="22"/>
        <v>пыл.-глинист.</v>
      </c>
      <c r="I59" s="13">
        <f t="shared" ca="1" si="32"/>
        <v>900</v>
      </c>
      <c r="J59" s="14">
        <f t="shared" ca="1" si="23"/>
        <v>0.9</v>
      </c>
      <c r="L59" s="14">
        <f t="shared" ca="1" si="24"/>
        <v>0.93300000000000005</v>
      </c>
      <c r="M59" s="22">
        <f t="shared" ca="1" si="33"/>
        <v>5.3411420000000289</v>
      </c>
      <c r="N59" s="37">
        <f t="shared" ca="1" si="25"/>
        <v>1</v>
      </c>
      <c r="O59" s="37">
        <f t="shared" ca="1" si="26"/>
        <v>0</v>
      </c>
      <c r="Q59" s="22">
        <f t="shared" si="27"/>
        <v>6.4</v>
      </c>
      <c r="R59" s="22">
        <f t="shared" ca="1" si="28"/>
        <v>99.22499999999998</v>
      </c>
      <c r="S59" s="22">
        <f ca="1">IF(Q59="","",IF(Q59=0,0,SUMPRODUCT(OFFSET(M$18,MATCH(MIN(Q$18:Q$137),Q$18:Q$137,0),0,COUNT(M$18:M59)-MATCH(MIN(Q$18:Q$137),Q$18:Q$137,0),1),OFFSET(M$18,MATCH(MIN(Q$18:Q$137),Q$18:Q$137,0),1,COUNT(M$18:M59)-MATCH(MIN(Q$18:Q$137),Q$18:Q$137,0),1))*$T$6))</f>
        <v>109.01511880000004</v>
      </c>
      <c r="T59" s="22">
        <f t="shared" ca="1" si="29"/>
        <v>208.2401188</v>
      </c>
      <c r="V59" s="22">
        <f ca="1">IF(Q59="","",IF(Q59=0,0,SUMPRODUCT(OFFSET(M$18,MATCH(MIN(Q$18:Q$137),Q$18:Q$137,0),0,COUNT(M$18:M59)-MATCH(MIN(Q$18:Q$137),Q$18:Q$137,0),1),OFFSET(M$18,MATCH(MIN(Q$18:Q$137),Q$18:Q$137,0),2,COUNT(M$18:M59)-MATCH(MIN(Q$18:Q$137),Q$18:Q$137,0),1))*$T$6*$T$14))</f>
        <v>0</v>
      </c>
      <c r="W59" s="29"/>
      <c r="X59" s="23">
        <f t="shared" ca="1" si="30"/>
        <v>14.825864937818553</v>
      </c>
      <c r="Z59" s="15">
        <f t="shared" si="34"/>
        <v>9.0500000000000007</v>
      </c>
      <c r="AA59" s="15">
        <f t="shared" si="35"/>
        <v>10.8</v>
      </c>
      <c r="AC59" s="15">
        <f t="shared" si="36"/>
        <v>40</v>
      </c>
      <c r="AD59" s="15">
        <f t="shared" si="37"/>
        <v>49</v>
      </c>
      <c r="AF59" s="15">
        <f t="shared" ca="1" si="38"/>
        <v>10</v>
      </c>
      <c r="AH59" s="15">
        <f t="shared" si="31"/>
        <v>2</v>
      </c>
      <c r="AI59" s="38">
        <f t="shared" ca="1" si="19"/>
        <v>13.447496542239051</v>
      </c>
      <c r="AJ59" s="29"/>
      <c r="AK59" s="29"/>
      <c r="AL59" s="29"/>
    </row>
    <row r="60" spans="1:38" x14ac:dyDescent="0.2">
      <c r="A60" s="15">
        <v>43</v>
      </c>
      <c r="B60" s="2">
        <f t="shared" si="20"/>
        <v>181.66</v>
      </c>
      <c r="C60" s="25">
        <v>9.6</v>
      </c>
      <c r="D60" s="25">
        <v>0.84</v>
      </c>
      <c r="E60" s="25">
        <v>23.04</v>
      </c>
      <c r="F60" s="3" t="str">
        <f t="shared" ca="1" si="21"/>
        <v>ИГЭ-2</v>
      </c>
      <c r="G60" s="30" t="str">
        <f t="shared" ca="1" si="22"/>
        <v>пыл.-глинист.</v>
      </c>
      <c r="I60" s="13">
        <f t="shared" ca="1" si="32"/>
        <v>905</v>
      </c>
      <c r="J60" s="14">
        <f t="shared" ca="1" si="23"/>
        <v>0.9</v>
      </c>
      <c r="L60" s="14">
        <f t="shared" ca="1" si="24"/>
        <v>0.96199999999999997</v>
      </c>
      <c r="M60" s="22">
        <f t="shared" ca="1" si="33"/>
        <v>4.5806699999999836</v>
      </c>
      <c r="N60" s="37">
        <f t="shared" ca="1" si="25"/>
        <v>1</v>
      </c>
      <c r="O60" s="37">
        <f t="shared" ca="1" si="26"/>
        <v>0</v>
      </c>
      <c r="Q60" s="22">
        <f t="shared" si="27"/>
        <v>6.6</v>
      </c>
      <c r="R60" s="22">
        <f t="shared" ca="1" si="28"/>
        <v>99.77624999999999</v>
      </c>
      <c r="S60" s="22">
        <f ca="1">IF(Q60="","",IF(Q60=0,0,SUMPRODUCT(OFFSET(M$18,MATCH(MIN(Q$18:Q$137),Q$18:Q$137,0),0,COUNT(M$18:M60)-MATCH(MIN(Q$18:Q$137),Q$18:Q$137,0),1),OFFSET(M$18,MATCH(MIN(Q$18:Q$137),Q$18:Q$137,0),1,COUNT(M$18:M60)-MATCH(MIN(Q$18:Q$137),Q$18:Q$137,0),1))*$T$6))</f>
        <v>115.42805680000001</v>
      </c>
      <c r="T60" s="22">
        <f t="shared" ca="1" si="29"/>
        <v>215.20430679999998</v>
      </c>
      <c r="V60" s="22">
        <f ca="1">IF(Q60="","",IF(Q60=0,0,SUMPRODUCT(OFFSET(M$18,MATCH(MIN(Q$18:Q$137),Q$18:Q$137,0),0,COUNT(M$18:M60)-MATCH(MIN(Q$18:Q$137),Q$18:Q$137,0),1),OFFSET(M$18,MATCH(MIN(Q$18:Q$137),Q$18:Q$137,0),2,COUNT(M$18:M60)-MATCH(MIN(Q$18:Q$137),Q$18:Q$137,0),1))*$T$6*$T$14))</f>
        <v>0</v>
      </c>
      <c r="W60" s="29"/>
      <c r="X60" s="23">
        <f t="shared" ca="1" si="30"/>
        <v>15.326415564729864</v>
      </c>
      <c r="Z60" s="15">
        <f t="shared" si="34"/>
        <v>9.25</v>
      </c>
      <c r="AA60" s="15">
        <f t="shared" si="35"/>
        <v>11</v>
      </c>
      <c r="AC60" s="15">
        <f t="shared" si="36"/>
        <v>40</v>
      </c>
      <c r="AD60" s="15">
        <f t="shared" si="37"/>
        <v>50</v>
      </c>
      <c r="AF60" s="15">
        <f t="shared" ca="1" si="38"/>
        <v>11</v>
      </c>
      <c r="AH60" s="15">
        <f t="shared" si="31"/>
        <v>2</v>
      </c>
      <c r="AI60" s="38">
        <f t="shared" ca="1" si="19"/>
        <v>13.90151071630827</v>
      </c>
      <c r="AJ60" s="29"/>
      <c r="AK60" s="29"/>
      <c r="AL60" s="29"/>
    </row>
    <row r="61" spans="1:38" x14ac:dyDescent="0.2">
      <c r="A61" s="15">
        <v>44</v>
      </c>
      <c r="B61" s="2">
        <f t="shared" si="20"/>
        <v>181.46</v>
      </c>
      <c r="C61" s="25">
        <v>9.8000000000000007</v>
      </c>
      <c r="D61" s="25">
        <v>0.96</v>
      </c>
      <c r="E61" s="25">
        <v>25.34</v>
      </c>
      <c r="F61" s="3" t="str">
        <f t="shared" ca="1" si="21"/>
        <v>ИГЭ-2</v>
      </c>
      <c r="G61" s="30" t="str">
        <f t="shared" ca="1" si="22"/>
        <v>пыл.-глинист.</v>
      </c>
      <c r="I61" s="13">
        <f t="shared" ca="1" si="32"/>
        <v>924</v>
      </c>
      <c r="J61" s="14">
        <f t="shared" ca="1" si="23"/>
        <v>0.9</v>
      </c>
      <c r="L61" s="14">
        <f t="shared" ca="1" si="24"/>
        <v>0.93300000000000005</v>
      </c>
      <c r="M61" s="22">
        <f t="shared" ca="1" si="33"/>
        <v>4.5806700000000244</v>
      </c>
      <c r="N61" s="37">
        <f t="shared" ca="1" si="25"/>
        <v>1</v>
      </c>
      <c r="O61" s="37">
        <f t="shared" ca="1" si="26"/>
        <v>0</v>
      </c>
      <c r="Q61" s="22">
        <f t="shared" si="27"/>
        <v>6.8</v>
      </c>
      <c r="R61" s="22">
        <f t="shared" ca="1" si="28"/>
        <v>101.871</v>
      </c>
      <c r="S61" s="22">
        <f ca="1">IF(Q61="","",IF(Q61=0,0,SUMPRODUCT(OFFSET(M$18,MATCH(MIN(Q$18:Q$137),Q$18:Q$137,0),0,COUNT(M$18:M61)-MATCH(MIN(Q$18:Q$137),Q$18:Q$137,0),1),OFFSET(M$18,MATCH(MIN(Q$18:Q$137),Q$18:Q$137,0),1,COUNT(M$18:M61)-MATCH(MIN(Q$18:Q$137),Q$18:Q$137,0),1))*$T$6))</f>
        <v>121.84099480000005</v>
      </c>
      <c r="T61" s="22">
        <f t="shared" ca="1" si="29"/>
        <v>223.71199480000004</v>
      </c>
      <c r="V61" s="22">
        <f ca="1">IF(Q61="","",IF(Q61=0,0,SUMPRODUCT(OFFSET(M$18,MATCH(MIN(Q$18:Q$137),Q$18:Q$137,0),0,COUNT(M$18:M61)-MATCH(MIN(Q$18:Q$137),Q$18:Q$137,0),1),OFFSET(M$18,MATCH(MIN(Q$18:Q$137),Q$18:Q$137,0),2,COUNT(M$18:M61)-MATCH(MIN(Q$18:Q$137),Q$18:Q$137,0),1))*$T$6*$T$14))</f>
        <v>0</v>
      </c>
      <c r="W61" s="29"/>
      <c r="X61" s="23">
        <f t="shared" ca="1" si="30"/>
        <v>15.952837751274213</v>
      </c>
      <c r="Z61" s="15">
        <f t="shared" si="34"/>
        <v>9.4500000000000011</v>
      </c>
      <c r="AA61" s="15">
        <f t="shared" si="35"/>
        <v>11.200000000000001</v>
      </c>
      <c r="AC61" s="15">
        <f t="shared" si="36"/>
        <v>42</v>
      </c>
      <c r="AD61" s="15">
        <f t="shared" si="37"/>
        <v>51</v>
      </c>
      <c r="AF61" s="15">
        <f t="shared" ca="1" si="38"/>
        <v>10</v>
      </c>
      <c r="AH61" s="15">
        <f t="shared" si="31"/>
        <v>2</v>
      </c>
      <c r="AI61" s="38">
        <f t="shared" ca="1" si="19"/>
        <v>14.469694105464141</v>
      </c>
      <c r="AJ61" s="29"/>
      <c r="AK61" s="29"/>
      <c r="AL61" s="29"/>
    </row>
    <row r="62" spans="1:38" x14ac:dyDescent="0.2">
      <c r="A62" s="15">
        <v>45</v>
      </c>
      <c r="B62" s="2">
        <f t="shared" si="20"/>
        <v>181.26</v>
      </c>
      <c r="C62" s="25">
        <v>10</v>
      </c>
      <c r="D62" s="25">
        <v>0.84</v>
      </c>
      <c r="E62" s="25">
        <v>25.34</v>
      </c>
      <c r="F62" s="3" t="str">
        <f t="shared" ca="1" si="21"/>
        <v>ИГЭ-2</v>
      </c>
      <c r="G62" s="30" t="str">
        <f t="shared" ca="1" si="22"/>
        <v>пыл.-глинист.</v>
      </c>
      <c r="I62" s="13">
        <f t="shared" ca="1" si="32"/>
        <v>938</v>
      </c>
      <c r="J62" s="14">
        <f t="shared" ca="1" si="23"/>
        <v>0.9</v>
      </c>
      <c r="L62" s="14">
        <f t="shared" ca="1" si="24"/>
        <v>0.93300000000000005</v>
      </c>
      <c r="M62" s="22">
        <f t="shared" ca="1" si="33"/>
        <v>4.7284439999999837</v>
      </c>
      <c r="N62" s="37">
        <f t="shared" ca="1" si="25"/>
        <v>1</v>
      </c>
      <c r="O62" s="37">
        <f t="shared" ca="1" si="26"/>
        <v>0</v>
      </c>
      <c r="Q62" s="22">
        <f t="shared" si="27"/>
        <v>7</v>
      </c>
      <c r="R62" s="22">
        <f t="shared" ca="1" si="28"/>
        <v>103.41449999999999</v>
      </c>
      <c r="S62" s="22">
        <f ca="1">IF(Q62="","",IF(Q62=0,0,SUMPRODUCT(OFFSET(M$18,MATCH(MIN(Q$18:Q$137),Q$18:Q$137,0),0,COUNT(M$18:M62)-MATCH(MIN(Q$18:Q$137),Q$18:Q$137,0),1),OFFSET(M$18,MATCH(MIN(Q$18:Q$137),Q$18:Q$137,0),1,COUNT(M$18:M62)-MATCH(MIN(Q$18:Q$137),Q$18:Q$137,0),1))*$T$6))</f>
        <v>128.46081640000003</v>
      </c>
      <c r="T62" s="22">
        <f t="shared" ca="1" si="29"/>
        <v>231.87531640000003</v>
      </c>
      <c r="V62" s="22">
        <f ca="1">IF(Q62="","",IF(Q62=0,0,SUMPRODUCT(OFFSET(M$18,MATCH(MIN(Q$18:Q$137),Q$18:Q$137,0),0,COUNT(M$18:M62)-MATCH(MIN(Q$18:Q$137),Q$18:Q$137,0),1),OFFSET(M$18,MATCH(MIN(Q$18:Q$137),Q$18:Q$137,0),2,COUNT(M$18:M62)-MATCH(MIN(Q$18:Q$137),Q$18:Q$137,0),1))*$T$6*$T$14))</f>
        <v>0</v>
      </c>
      <c r="W62" s="29"/>
      <c r="X62" s="23">
        <f t="shared" ca="1" si="30"/>
        <v>16.551177050968398</v>
      </c>
      <c r="Z62" s="15">
        <f t="shared" si="34"/>
        <v>9.65</v>
      </c>
      <c r="AA62" s="15">
        <f t="shared" si="35"/>
        <v>11.4</v>
      </c>
      <c r="AC62" s="15">
        <f t="shared" si="36"/>
        <v>42</v>
      </c>
      <c r="AD62" s="15">
        <f t="shared" si="37"/>
        <v>52</v>
      </c>
      <c r="AF62" s="15">
        <f t="shared" ca="1" si="38"/>
        <v>11</v>
      </c>
      <c r="AH62" s="15">
        <f t="shared" si="31"/>
        <v>2</v>
      </c>
      <c r="AI62" s="38">
        <f t="shared" ca="1" si="19"/>
        <v>15.012405488406712</v>
      </c>
      <c r="AJ62" s="29"/>
      <c r="AK62" s="29"/>
      <c r="AL62" s="29"/>
    </row>
    <row r="63" spans="1:38" x14ac:dyDescent="0.2">
      <c r="A63" s="15">
        <v>46</v>
      </c>
      <c r="B63" s="2">
        <f t="shared" si="20"/>
        <v>181.06</v>
      </c>
      <c r="C63" s="25">
        <v>10.199999999999999</v>
      </c>
      <c r="D63" s="25">
        <v>0.84</v>
      </c>
      <c r="E63" s="25">
        <v>23.04</v>
      </c>
      <c r="F63" s="3" t="str">
        <f t="shared" ca="1" si="21"/>
        <v>ИГЭ-2</v>
      </c>
      <c r="G63" s="30" t="str">
        <f t="shared" ca="1" si="22"/>
        <v>пыл.-глинист.</v>
      </c>
      <c r="I63" s="13">
        <f t="shared" ca="1" si="32"/>
        <v>960</v>
      </c>
      <c r="J63" s="14">
        <f t="shared" ca="1" si="23"/>
        <v>0.9</v>
      </c>
      <c r="L63" s="14">
        <f t="shared" ca="1" si="24"/>
        <v>0.96199999999999997</v>
      </c>
      <c r="M63" s="22">
        <f t="shared" ca="1" si="33"/>
        <v>4.5806699999999836</v>
      </c>
      <c r="N63" s="37">
        <f t="shared" ca="1" si="25"/>
        <v>1</v>
      </c>
      <c r="O63" s="37">
        <f t="shared" ca="1" si="26"/>
        <v>0</v>
      </c>
      <c r="Q63" s="22">
        <f t="shared" si="27"/>
        <v>7.2</v>
      </c>
      <c r="R63" s="22">
        <f t="shared" ca="1" si="28"/>
        <v>105.83999999999999</v>
      </c>
      <c r="S63" s="22">
        <f ca="1">IF(Q63="","",IF(Q63=0,0,SUMPRODUCT(OFFSET(M$18,MATCH(MIN(Q$18:Q$137),Q$18:Q$137,0),0,COUNT(M$18:M63)-MATCH(MIN(Q$18:Q$137),Q$18:Q$137,0),1),OFFSET(M$18,MATCH(MIN(Q$18:Q$137),Q$18:Q$137,0),1,COUNT(M$18:M63)-MATCH(MIN(Q$18:Q$137),Q$18:Q$137,0),1))*$T$6))</f>
        <v>134.8737544</v>
      </c>
      <c r="T63" s="22">
        <f t="shared" ca="1" si="29"/>
        <v>240.71375439999997</v>
      </c>
      <c r="V63" s="22">
        <f ca="1">IF(Q63="","",IF(Q63=0,0,SUMPRODUCT(OFFSET(M$18,MATCH(MIN(Q$18:Q$137),Q$18:Q$137,0),0,COUNT(M$18:M63)-MATCH(MIN(Q$18:Q$137),Q$18:Q$137,0),1),OFFSET(M$18,MATCH(MIN(Q$18:Q$137),Q$18:Q$137,0),2,COUNT(M$18:M63)-MATCH(MIN(Q$18:Q$137),Q$18:Q$137,0),1))*$T$6*$T$14))</f>
        <v>0</v>
      </c>
      <c r="W63" s="29"/>
      <c r="X63" s="23">
        <f t="shared" ca="1" si="30"/>
        <v>17.204571714576961</v>
      </c>
      <c r="Z63" s="15">
        <f t="shared" si="34"/>
        <v>9.85</v>
      </c>
      <c r="AA63" s="15">
        <f t="shared" si="35"/>
        <v>11.6</v>
      </c>
      <c r="AC63" s="15">
        <f t="shared" si="36"/>
        <v>43</v>
      </c>
      <c r="AD63" s="15">
        <f t="shared" si="37"/>
        <v>53</v>
      </c>
      <c r="AF63" s="15">
        <f t="shared" ca="1" si="38"/>
        <v>11</v>
      </c>
      <c r="AH63" s="15">
        <f t="shared" si="31"/>
        <v>2</v>
      </c>
      <c r="AI63" s="38">
        <f t="shared" ca="1" si="19"/>
        <v>15.605053709366862</v>
      </c>
      <c r="AJ63" s="29"/>
      <c r="AK63" s="29"/>
      <c r="AL63" s="29"/>
    </row>
    <row r="64" spans="1:38" x14ac:dyDescent="0.2">
      <c r="A64" s="15">
        <v>47</v>
      </c>
      <c r="B64" s="2">
        <f t="shared" si="20"/>
        <v>180.86</v>
      </c>
      <c r="C64" s="25">
        <v>10.4</v>
      </c>
      <c r="D64" s="25">
        <v>0.96</v>
      </c>
      <c r="E64" s="25">
        <v>25.34</v>
      </c>
      <c r="F64" s="3" t="str">
        <f t="shared" ca="1" si="21"/>
        <v>ИГЭ-2</v>
      </c>
      <c r="G64" s="30" t="str">
        <f t="shared" ca="1" si="22"/>
        <v>пыл.-глинист.</v>
      </c>
      <c r="I64" s="13">
        <f t="shared" ca="1" si="32"/>
        <v>984</v>
      </c>
      <c r="J64" s="14">
        <f t="shared" ca="1" si="23"/>
        <v>0.9</v>
      </c>
      <c r="L64" s="14">
        <f t="shared" ca="1" si="24"/>
        <v>0.93300000000000005</v>
      </c>
      <c r="M64" s="22">
        <f t="shared" ca="1" si="33"/>
        <v>4.5806700000000244</v>
      </c>
      <c r="N64" s="37">
        <f t="shared" ca="1" si="25"/>
        <v>1</v>
      </c>
      <c r="O64" s="37">
        <f t="shared" ca="1" si="26"/>
        <v>0</v>
      </c>
      <c r="Q64" s="22">
        <f t="shared" si="27"/>
        <v>7.4</v>
      </c>
      <c r="R64" s="22">
        <f t="shared" ca="1" si="28"/>
        <v>108.48599999999999</v>
      </c>
      <c r="S64" s="22">
        <f ca="1">IF(Q64="","",IF(Q64=0,0,SUMPRODUCT(OFFSET(M$18,MATCH(MIN(Q$18:Q$137),Q$18:Q$137,0),0,COUNT(M$18:M64)-MATCH(MIN(Q$18:Q$137),Q$18:Q$137,0),1),OFFSET(M$18,MATCH(MIN(Q$18:Q$137),Q$18:Q$137,0),1,COUNT(M$18:M64)-MATCH(MIN(Q$18:Q$137),Q$18:Q$137,0),1))*$T$6))</f>
        <v>141.28669240000002</v>
      </c>
      <c r="T64" s="22">
        <f t="shared" ca="1" si="29"/>
        <v>249.77269240000001</v>
      </c>
      <c r="V64" s="22">
        <f ca="1">IF(Q64="","",IF(Q64=0,0,SUMPRODUCT(OFFSET(M$18,MATCH(MIN(Q$18:Q$137),Q$18:Q$137,0),0,COUNT(M$18:M64)-MATCH(MIN(Q$18:Q$137),Q$18:Q$137,0),1),OFFSET(M$18,MATCH(MIN(Q$18:Q$137),Q$18:Q$137,0),2,COUNT(M$18:M64)-MATCH(MIN(Q$18:Q$137),Q$18:Q$137,0),1))*$T$6*$T$14))</f>
        <v>0</v>
      </c>
      <c r="W64" s="29"/>
      <c r="X64" s="23">
        <f t="shared" ca="1" si="30"/>
        <v>17.87594802956167</v>
      </c>
      <c r="Z64" s="15">
        <f t="shared" si="34"/>
        <v>10.050000000000001</v>
      </c>
      <c r="AA64" s="15">
        <f t="shared" si="35"/>
        <v>11.8</v>
      </c>
      <c r="AC64" s="15">
        <f t="shared" si="36"/>
        <v>45</v>
      </c>
      <c r="AD64" s="15">
        <f t="shared" si="37"/>
        <v>54</v>
      </c>
      <c r="AF64" s="15">
        <f t="shared" ca="1" si="38"/>
        <v>10</v>
      </c>
      <c r="AH64" s="15">
        <f t="shared" si="31"/>
        <v>2</v>
      </c>
      <c r="AI64" s="38">
        <f t="shared" ca="1" si="19"/>
        <v>16.214011818196528</v>
      </c>
      <c r="AJ64" s="29"/>
      <c r="AK64" s="29"/>
      <c r="AL64" s="29"/>
    </row>
    <row r="65" spans="1:38" x14ac:dyDescent="0.2">
      <c r="A65" s="15">
        <v>48</v>
      </c>
      <c r="B65" s="2">
        <f t="shared" si="20"/>
        <v>180.66</v>
      </c>
      <c r="C65" s="25">
        <v>10.6</v>
      </c>
      <c r="D65" s="25">
        <v>0.96</v>
      </c>
      <c r="E65" s="25">
        <v>25.34</v>
      </c>
      <c r="F65" s="3" t="str">
        <f t="shared" ca="1" si="21"/>
        <v>ИГЭ-2</v>
      </c>
      <c r="G65" s="30" t="str">
        <f t="shared" ca="1" si="22"/>
        <v>пыл.-глинист.</v>
      </c>
      <c r="I65" s="13">
        <f t="shared" ca="1" si="32"/>
        <v>993</v>
      </c>
      <c r="J65" s="14">
        <f t="shared" ca="1" si="23"/>
        <v>0.9</v>
      </c>
      <c r="L65" s="14">
        <f t="shared" ca="1" si="24"/>
        <v>0.93300000000000005</v>
      </c>
      <c r="M65" s="22">
        <f t="shared" ca="1" si="33"/>
        <v>4.7284439999999837</v>
      </c>
      <c r="N65" s="37">
        <f t="shared" ca="1" si="25"/>
        <v>1</v>
      </c>
      <c r="O65" s="37">
        <f t="shared" ca="1" si="26"/>
        <v>0</v>
      </c>
      <c r="Q65" s="22">
        <f t="shared" si="27"/>
        <v>7.6</v>
      </c>
      <c r="R65" s="22">
        <f t="shared" ca="1" si="28"/>
        <v>109.47824999999999</v>
      </c>
      <c r="S65" s="22">
        <f ca="1">IF(Q65="","",IF(Q65=0,0,SUMPRODUCT(OFFSET(M$18,MATCH(MIN(Q$18:Q$137),Q$18:Q$137,0),0,COUNT(M$18:M65)-MATCH(MIN(Q$18:Q$137),Q$18:Q$137,0),1),OFFSET(M$18,MATCH(MIN(Q$18:Q$137),Q$18:Q$137,0),1,COUNT(M$18:M65)-MATCH(MIN(Q$18:Q$137),Q$18:Q$137,0),1))*$T$6))</f>
        <v>147.90651400000002</v>
      </c>
      <c r="T65" s="22">
        <f t="shared" ca="1" si="29"/>
        <v>257.38476400000002</v>
      </c>
      <c r="V65" s="22">
        <f ca="1">IF(Q65="","",IF(Q65=0,0,SUMPRODUCT(OFFSET(M$18,MATCH(MIN(Q$18:Q$137),Q$18:Q$137,0),0,COUNT(M$18:M65)-MATCH(MIN(Q$18:Q$137),Q$18:Q$137,0),1),OFFSET(M$18,MATCH(MIN(Q$18:Q$137),Q$18:Q$137,0),2,COUNT(M$18:M65)-MATCH(MIN(Q$18:Q$137),Q$18:Q$137,0),1))*$T$6*$T$14))</f>
        <v>0</v>
      </c>
      <c r="W65" s="29"/>
      <c r="X65" s="23">
        <f t="shared" ca="1" si="30"/>
        <v>18.429333200815496</v>
      </c>
      <c r="Z65" s="15">
        <f t="shared" si="34"/>
        <v>10.25</v>
      </c>
      <c r="AA65" s="15">
        <f t="shared" si="35"/>
        <v>12</v>
      </c>
      <c r="AC65" s="15">
        <f t="shared" si="36"/>
        <v>45</v>
      </c>
      <c r="AD65" s="15">
        <f t="shared" si="37"/>
        <v>55</v>
      </c>
      <c r="AF65" s="15">
        <f t="shared" ca="1" si="38"/>
        <v>11</v>
      </c>
      <c r="AH65" s="15">
        <f t="shared" si="31"/>
        <v>2</v>
      </c>
      <c r="AI65" s="38">
        <f t="shared" ca="1" si="19"/>
        <v>16.715948481465304</v>
      </c>
      <c r="AJ65" s="29"/>
      <c r="AK65" s="29"/>
      <c r="AL65" s="29"/>
    </row>
    <row r="66" spans="1:38" x14ac:dyDescent="0.2">
      <c r="A66" s="15">
        <v>49</v>
      </c>
      <c r="B66" s="2">
        <f t="shared" si="20"/>
        <v>180.46</v>
      </c>
      <c r="C66" s="25">
        <v>10.8</v>
      </c>
      <c r="D66" s="25">
        <v>0.96</v>
      </c>
      <c r="E66" s="25">
        <v>23.04</v>
      </c>
      <c r="F66" s="3" t="str">
        <f t="shared" ca="1" si="21"/>
        <v>ИГЭ-2</v>
      </c>
      <c r="G66" s="30" t="str">
        <f t="shared" ca="1" si="22"/>
        <v>пыл.-глинист.</v>
      </c>
      <c r="I66" s="13">
        <f t="shared" ca="1" si="32"/>
        <v>1032</v>
      </c>
      <c r="J66" s="14">
        <f t="shared" ca="1" si="23"/>
        <v>0.89800000000000002</v>
      </c>
      <c r="L66" s="14">
        <f t="shared" ca="1" si="24"/>
        <v>0.96199999999999997</v>
      </c>
      <c r="M66" s="22">
        <f t="shared" ca="1" si="33"/>
        <v>4.5806700000000244</v>
      </c>
      <c r="N66" s="37">
        <f t="shared" ca="1" si="25"/>
        <v>1</v>
      </c>
      <c r="O66" s="37">
        <f t="shared" ca="1" si="26"/>
        <v>0</v>
      </c>
      <c r="Q66" s="22">
        <f t="shared" si="27"/>
        <v>7.8</v>
      </c>
      <c r="R66" s="22">
        <f t="shared" ca="1" si="28"/>
        <v>113.52515999999999</v>
      </c>
      <c r="S66" s="22">
        <f ca="1">IF(Q66="","",IF(Q66=0,0,SUMPRODUCT(OFFSET(M$18,MATCH(MIN(Q$18:Q$137),Q$18:Q$137,0),0,COUNT(M$18:M66)-MATCH(MIN(Q$18:Q$137),Q$18:Q$137,0),1),OFFSET(M$18,MATCH(MIN(Q$18:Q$137),Q$18:Q$137,0),1,COUNT(M$18:M66)-MATCH(MIN(Q$18:Q$137),Q$18:Q$137,0),1))*$T$6))</f>
        <v>154.31945200000004</v>
      </c>
      <c r="T66" s="22">
        <f t="shared" ca="1" si="29"/>
        <v>267.84461200000004</v>
      </c>
      <c r="V66" s="22">
        <f ca="1">IF(Q66="","",IF(Q66=0,0,SUMPRODUCT(OFFSET(M$18,MATCH(MIN(Q$18:Q$137),Q$18:Q$137,0),0,COUNT(M$18:M66)-MATCH(MIN(Q$18:Q$137),Q$18:Q$137,0),1),OFFSET(M$18,MATCH(MIN(Q$18:Q$137),Q$18:Q$137,0),2,COUNT(M$18:M66)-MATCH(MIN(Q$18:Q$137),Q$18:Q$137,0),1))*$T$6*$T$14))</f>
        <v>0</v>
      </c>
      <c r="W66" s="29"/>
      <c r="X66" s="23">
        <f t="shared" ca="1" si="30"/>
        <v>19.21495294087666</v>
      </c>
      <c r="Z66" s="15">
        <f t="shared" si="34"/>
        <v>10.450000000000001</v>
      </c>
      <c r="AA66" s="15">
        <f t="shared" si="35"/>
        <v>12.200000000000001</v>
      </c>
      <c r="AC66" s="15">
        <f t="shared" si="36"/>
        <v>47</v>
      </c>
      <c r="AD66" s="15">
        <f t="shared" si="37"/>
        <v>56</v>
      </c>
      <c r="AF66" s="15">
        <f t="shared" ca="1" si="38"/>
        <v>10</v>
      </c>
      <c r="AH66" s="15">
        <f t="shared" si="31"/>
        <v>2</v>
      </c>
      <c r="AI66" s="38">
        <f t="shared" ca="1" si="19"/>
        <v>17.42852874455933</v>
      </c>
      <c r="AJ66" s="29"/>
      <c r="AK66" s="29"/>
      <c r="AL66" s="29"/>
    </row>
    <row r="67" spans="1:38" x14ac:dyDescent="0.2">
      <c r="A67" s="15">
        <v>50</v>
      </c>
      <c r="B67" s="2">
        <f t="shared" si="20"/>
        <v>180.26</v>
      </c>
      <c r="C67" s="25">
        <v>11</v>
      </c>
      <c r="D67" s="25">
        <v>0.96</v>
      </c>
      <c r="E67" s="25">
        <v>23.04</v>
      </c>
      <c r="F67" s="3" t="str">
        <f t="shared" ca="1" si="21"/>
        <v>ИГЭ-2</v>
      </c>
      <c r="G67" s="30" t="str">
        <f t="shared" ca="1" si="22"/>
        <v>пыл.-глинист.</v>
      </c>
      <c r="I67" s="13">
        <f t="shared" ca="1" si="32"/>
        <v>1036</v>
      </c>
      <c r="J67" s="14">
        <f t="shared" ca="1" si="23"/>
        <v>0.89800000000000002</v>
      </c>
      <c r="L67" s="14">
        <f t="shared" ca="1" si="24"/>
        <v>0.96199999999999997</v>
      </c>
      <c r="M67" s="22">
        <f t="shared" ca="1" si="33"/>
        <v>4.4328959999999835</v>
      </c>
      <c r="N67" s="37">
        <f t="shared" ca="1" si="25"/>
        <v>1</v>
      </c>
      <c r="O67" s="37">
        <f t="shared" ca="1" si="26"/>
        <v>0</v>
      </c>
      <c r="Q67" s="22">
        <f t="shared" si="27"/>
        <v>8</v>
      </c>
      <c r="R67" s="22">
        <f t="shared" ca="1" si="28"/>
        <v>113.96517999999998</v>
      </c>
      <c r="S67" s="22">
        <f ca="1">IF(Q67="","",IF(Q67=0,0,SUMPRODUCT(OFFSET(M$18,MATCH(MIN(Q$18:Q$137),Q$18:Q$137,0),0,COUNT(M$18:M67)-MATCH(MIN(Q$18:Q$137),Q$18:Q$137,0),1),OFFSET(M$18,MATCH(MIN(Q$18:Q$137),Q$18:Q$137,0),1,COUNT(M$18:M67)-MATCH(MIN(Q$18:Q$137),Q$18:Q$137,0),1))*$T$6))</f>
        <v>160.52550640000001</v>
      </c>
      <c r="T67" s="22">
        <f t="shared" ca="1" si="29"/>
        <v>274.49068639999996</v>
      </c>
      <c r="V67" s="22">
        <f ca="1">IF(Q67="","",IF(Q67=0,0,SUMPRODUCT(OFFSET(M$18,MATCH(MIN(Q$18:Q$137),Q$18:Q$137,0),0,COUNT(M$18:M67)-MATCH(MIN(Q$18:Q$137),Q$18:Q$137,0),1),OFFSET(M$18,MATCH(MIN(Q$18:Q$137),Q$18:Q$137,0),2,COUNT(M$18:M67)-MATCH(MIN(Q$18:Q$137),Q$18:Q$137,0),1))*$T$6*$T$14))</f>
        <v>0</v>
      </c>
      <c r="W67" s="29"/>
      <c r="X67" s="23">
        <f t="shared" ca="1" si="30"/>
        <v>19.68956158205912</v>
      </c>
      <c r="Z67" s="15">
        <f t="shared" si="34"/>
        <v>10.65</v>
      </c>
      <c r="AA67" s="15">
        <f t="shared" si="35"/>
        <v>12.4</v>
      </c>
      <c r="AC67" s="15">
        <f t="shared" si="36"/>
        <v>47</v>
      </c>
      <c r="AD67" s="15">
        <f t="shared" si="37"/>
        <v>57</v>
      </c>
      <c r="AF67" s="15">
        <f t="shared" ca="1" si="38"/>
        <v>11</v>
      </c>
      <c r="AH67" s="15">
        <f t="shared" si="31"/>
        <v>2</v>
      </c>
      <c r="AI67" s="38">
        <f t="shared" ca="1" si="19"/>
        <v>17.859012772842743</v>
      </c>
      <c r="AJ67" s="29"/>
      <c r="AK67" s="29"/>
      <c r="AL67" s="29"/>
    </row>
    <row r="68" spans="1:38" x14ac:dyDescent="0.2">
      <c r="A68" s="15">
        <v>51</v>
      </c>
      <c r="B68" s="2">
        <f t="shared" si="20"/>
        <v>180.06</v>
      </c>
      <c r="C68" s="25">
        <v>11.2</v>
      </c>
      <c r="D68" s="25">
        <v>1.08</v>
      </c>
      <c r="E68" s="25">
        <v>36.86</v>
      </c>
      <c r="F68" s="3" t="str">
        <f t="shared" ca="1" si="21"/>
        <v>ИГЭ-2</v>
      </c>
      <c r="G68" s="30" t="str">
        <f t="shared" ca="1" si="22"/>
        <v>пыл.-глинист.</v>
      </c>
      <c r="I68" s="13">
        <f t="shared" ca="1" si="32"/>
        <v>1058</v>
      </c>
      <c r="J68" s="14">
        <f t="shared" ca="1" si="23"/>
        <v>0.89600000000000002</v>
      </c>
      <c r="L68" s="14">
        <f t="shared" ca="1" si="24"/>
        <v>0.78900000000000003</v>
      </c>
      <c r="M68" s="22">
        <f t="shared" ca="1" si="33"/>
        <v>5.1247019999999814</v>
      </c>
      <c r="N68" s="37">
        <f t="shared" ca="1" si="25"/>
        <v>1</v>
      </c>
      <c r="O68" s="37">
        <f t="shared" ca="1" si="26"/>
        <v>0</v>
      </c>
      <c r="Q68" s="22">
        <f t="shared" si="27"/>
        <v>8.1999999999999993</v>
      </c>
      <c r="R68" s="22">
        <f t="shared" ca="1" si="28"/>
        <v>116.12607999999999</v>
      </c>
      <c r="S68" s="22">
        <f ca="1">IF(Q68="","",IF(Q68=0,0,SUMPRODUCT(OFFSET(M$18,MATCH(MIN(Q$18:Q$137),Q$18:Q$137,0),0,COUNT(M$18:M68)-MATCH(MIN(Q$18:Q$137),Q$18:Q$137,0),1),OFFSET(M$18,MATCH(MIN(Q$18:Q$137),Q$18:Q$137,0),1,COUNT(M$18:M68)-MATCH(MIN(Q$18:Q$137),Q$18:Q$137,0),1))*$T$6))</f>
        <v>167.70008920000001</v>
      </c>
      <c r="T68" s="22">
        <f t="shared" ca="1" si="29"/>
        <v>283.82616919999998</v>
      </c>
      <c r="V68" s="22">
        <f ca="1">IF(Q68="","",IF(Q68=0,0,SUMPRODUCT(OFFSET(M$18,MATCH(MIN(Q$18:Q$137),Q$18:Q$137,0),0,COUNT(M$18:M68)-MATCH(MIN(Q$18:Q$137),Q$18:Q$137,0),1),OFFSET(M$18,MATCH(MIN(Q$18:Q$137),Q$18:Q$137,0),2,COUNT(M$18:M68)-MATCH(MIN(Q$18:Q$137),Q$18:Q$137,0),1))*$T$6*$T$14))</f>
        <v>0</v>
      </c>
      <c r="W68" s="29"/>
      <c r="X68" s="23">
        <f t="shared" ca="1" si="30"/>
        <v>20.383489970438326</v>
      </c>
      <c r="Z68" s="15">
        <f t="shared" si="34"/>
        <v>10.85</v>
      </c>
      <c r="AA68" s="15">
        <f t="shared" si="35"/>
        <v>12.6</v>
      </c>
      <c r="AC68" s="15">
        <f t="shared" si="36"/>
        <v>48</v>
      </c>
      <c r="AD68" s="15">
        <f t="shared" si="37"/>
        <v>58</v>
      </c>
      <c r="AF68" s="15">
        <f t="shared" ca="1" si="38"/>
        <v>11</v>
      </c>
      <c r="AH68" s="15">
        <f t="shared" si="31"/>
        <v>2</v>
      </c>
      <c r="AI68" s="38">
        <f t="shared" ca="1" si="19"/>
        <v>18.488426277041569</v>
      </c>
      <c r="AJ68" s="29"/>
      <c r="AK68" s="29"/>
      <c r="AL68" s="29"/>
    </row>
    <row r="69" spans="1:38" x14ac:dyDescent="0.2">
      <c r="A69" s="15">
        <v>52</v>
      </c>
      <c r="B69" s="2">
        <f t="shared" si="20"/>
        <v>179.86</v>
      </c>
      <c r="C69" s="25">
        <v>11.4</v>
      </c>
      <c r="D69" s="25">
        <v>1.08</v>
      </c>
      <c r="E69" s="25">
        <v>23.04</v>
      </c>
      <c r="F69" s="3" t="str">
        <f t="shared" ca="1" si="21"/>
        <v>ИГЭ-2</v>
      </c>
      <c r="G69" s="30" t="str">
        <f t="shared" ca="1" si="22"/>
        <v>пыл.-глинист.</v>
      </c>
      <c r="I69" s="13">
        <f t="shared" ca="1" si="32"/>
        <v>1080</v>
      </c>
      <c r="J69" s="14">
        <f t="shared" ca="1" si="23"/>
        <v>0.89500000000000002</v>
      </c>
      <c r="L69" s="14">
        <f t="shared" ca="1" si="24"/>
        <v>0.96199999999999997</v>
      </c>
      <c r="M69" s="22">
        <f t="shared" ca="1" si="33"/>
        <v>5.1247020000000276</v>
      </c>
      <c r="N69" s="37">
        <f t="shared" ca="1" si="25"/>
        <v>1</v>
      </c>
      <c r="O69" s="37">
        <f t="shared" ca="1" si="26"/>
        <v>0</v>
      </c>
      <c r="Q69" s="22">
        <f t="shared" si="27"/>
        <v>8.4</v>
      </c>
      <c r="R69" s="22">
        <f t="shared" ca="1" si="28"/>
        <v>118.40849999999999</v>
      </c>
      <c r="S69" s="22">
        <f ca="1">IF(Q69="","",IF(Q69=0,0,SUMPRODUCT(OFFSET(M$18,MATCH(MIN(Q$18:Q$137),Q$18:Q$137,0),0,COUNT(M$18:M69)-MATCH(MIN(Q$18:Q$137),Q$18:Q$137,0),1),OFFSET(M$18,MATCH(MIN(Q$18:Q$137),Q$18:Q$137,0),1,COUNT(M$18:M69)-MATCH(MIN(Q$18:Q$137),Q$18:Q$137,0),1))*$T$6))</f>
        <v>174.87467200000003</v>
      </c>
      <c r="T69" s="22">
        <f t="shared" ca="1" si="29"/>
        <v>293.28317200000004</v>
      </c>
      <c r="V69" s="22">
        <f ca="1">IF(Q69="","",IF(Q69=0,0,SUMPRODUCT(OFFSET(M$18,MATCH(MIN(Q$18:Q$137),Q$18:Q$137,0),0,COUNT(M$18:M69)-MATCH(MIN(Q$18:Q$137),Q$18:Q$137,0),1),OFFSET(M$18,MATCH(MIN(Q$18:Q$137),Q$18:Q$137,0),2,COUNT(M$18:M69)-MATCH(MIN(Q$18:Q$137),Q$18:Q$137,0),1))*$T$6*$T$14))</f>
        <v>0</v>
      </c>
      <c r="W69" s="29"/>
      <c r="X69" s="23">
        <f t="shared" ca="1" si="30"/>
        <v>21.087328246687054</v>
      </c>
      <c r="Z69" s="15">
        <f t="shared" si="34"/>
        <v>11.05</v>
      </c>
      <c r="AA69" s="15">
        <f t="shared" si="35"/>
        <v>12.8</v>
      </c>
      <c r="AC69" s="15">
        <f t="shared" si="36"/>
        <v>50</v>
      </c>
      <c r="AD69" s="15">
        <f t="shared" si="37"/>
        <v>59</v>
      </c>
      <c r="AF69" s="15">
        <f t="shared" ca="1" si="38"/>
        <v>10</v>
      </c>
      <c r="AH69" s="15">
        <f t="shared" si="31"/>
        <v>2</v>
      </c>
      <c r="AI69" s="38">
        <f t="shared" ca="1" si="19"/>
        <v>19.126828341666265</v>
      </c>
      <c r="AJ69" s="29"/>
      <c r="AK69" s="29"/>
      <c r="AL69" s="29"/>
    </row>
    <row r="70" spans="1:38" x14ac:dyDescent="0.2">
      <c r="A70" s="15">
        <v>53</v>
      </c>
      <c r="B70" s="2">
        <f t="shared" si="20"/>
        <v>179.66</v>
      </c>
      <c r="C70" s="25">
        <v>11.6</v>
      </c>
      <c r="D70" s="25">
        <v>1.08</v>
      </c>
      <c r="E70" s="25">
        <v>23.04</v>
      </c>
      <c r="F70" s="3" t="str">
        <f t="shared" ca="1" si="21"/>
        <v>ИГЭ-2</v>
      </c>
      <c r="G70" s="30" t="str">
        <f t="shared" ca="1" si="22"/>
        <v>пыл.-глинист.</v>
      </c>
      <c r="I70" s="13">
        <f t="shared" ca="1" si="32"/>
        <v>1080</v>
      </c>
      <c r="J70" s="14">
        <f t="shared" ca="1" si="23"/>
        <v>0.89500000000000002</v>
      </c>
      <c r="L70" s="14">
        <f t="shared" ca="1" si="24"/>
        <v>0.96199999999999997</v>
      </c>
      <c r="M70" s="22">
        <f t="shared" ca="1" si="33"/>
        <v>4.4328959999999835</v>
      </c>
      <c r="N70" s="37">
        <f t="shared" ca="1" si="25"/>
        <v>1</v>
      </c>
      <c r="O70" s="37">
        <f t="shared" ca="1" si="26"/>
        <v>0</v>
      </c>
      <c r="Q70" s="22">
        <f t="shared" si="27"/>
        <v>8.6</v>
      </c>
      <c r="R70" s="22">
        <f t="shared" ca="1" si="28"/>
        <v>118.40849999999999</v>
      </c>
      <c r="S70" s="22">
        <f ca="1">IF(Q70="","",IF(Q70=0,0,SUMPRODUCT(OFFSET(M$18,MATCH(MIN(Q$18:Q$137),Q$18:Q$137,0),0,COUNT(M$18:M70)-MATCH(MIN(Q$18:Q$137),Q$18:Q$137,0),1),OFFSET(M$18,MATCH(MIN(Q$18:Q$137),Q$18:Q$137,0),1,COUNT(M$18:M70)-MATCH(MIN(Q$18:Q$137),Q$18:Q$137,0),1))*$T$6))</f>
        <v>181.0807264</v>
      </c>
      <c r="T70" s="22">
        <f t="shared" ca="1" si="29"/>
        <v>299.48922640000001</v>
      </c>
      <c r="V70" s="22">
        <f ca="1">IF(Q70="","",IF(Q70=0,0,SUMPRODUCT(OFFSET(M$18,MATCH(MIN(Q$18:Q$137),Q$18:Q$137,0),0,COUNT(M$18:M70)-MATCH(MIN(Q$18:Q$137),Q$18:Q$137,0),1),OFFSET(M$18,MATCH(MIN(Q$18:Q$137),Q$18:Q$137,0),2,COUNT(M$18:M70)-MATCH(MIN(Q$18:Q$137),Q$18:Q$137,0),1))*$T$6*$T$14))</f>
        <v>0</v>
      </c>
      <c r="W70" s="29"/>
      <c r="X70" s="23">
        <f t="shared" ca="1" si="30"/>
        <v>21.526053503567788</v>
      </c>
      <c r="Z70" s="15">
        <f t="shared" si="34"/>
        <v>11.25</v>
      </c>
      <c r="AA70" s="15">
        <f t="shared" si="35"/>
        <v>13</v>
      </c>
      <c r="AC70" s="15">
        <f t="shared" si="36"/>
        <v>50</v>
      </c>
      <c r="AD70" s="15">
        <f t="shared" si="37"/>
        <v>60</v>
      </c>
      <c r="AF70" s="15">
        <f t="shared" ca="1" si="38"/>
        <v>11</v>
      </c>
      <c r="AH70" s="15">
        <f t="shared" si="31"/>
        <v>2</v>
      </c>
      <c r="AI70" s="38">
        <f t="shared" ca="1" si="19"/>
        <v>19.524765082601171</v>
      </c>
      <c r="AJ70" s="29"/>
      <c r="AK70" s="29"/>
      <c r="AL70" s="29"/>
    </row>
    <row r="71" spans="1:38" x14ac:dyDescent="0.2">
      <c r="A71" s="15">
        <v>54</v>
      </c>
      <c r="B71" s="2">
        <f t="shared" si="20"/>
        <v>179.46</v>
      </c>
      <c r="C71" s="25">
        <v>11.8</v>
      </c>
      <c r="D71" s="25">
        <v>1.08</v>
      </c>
      <c r="E71" s="25">
        <v>18.43</v>
      </c>
      <c r="F71" s="3" t="str">
        <f t="shared" ca="1" si="21"/>
        <v>ИГЭ-2</v>
      </c>
      <c r="G71" s="30" t="str">
        <f t="shared" ca="1" si="22"/>
        <v>пыл.-глинист.</v>
      </c>
      <c r="I71" s="13">
        <f t="shared" ca="1" si="32"/>
        <v>1092</v>
      </c>
      <c r="J71" s="14">
        <f t="shared" ca="1" si="23"/>
        <v>0.89400000000000002</v>
      </c>
      <c r="L71" s="14">
        <f t="shared" ca="1" si="24"/>
        <v>1</v>
      </c>
      <c r="M71" s="22">
        <f t="shared" ca="1" si="33"/>
        <v>4.059448000000021</v>
      </c>
      <c r="N71" s="37">
        <f t="shared" ca="1" si="25"/>
        <v>1</v>
      </c>
      <c r="O71" s="37">
        <f t="shared" ca="1" si="26"/>
        <v>0</v>
      </c>
      <c r="Q71" s="22">
        <f t="shared" si="27"/>
        <v>8.8000000000000007</v>
      </c>
      <c r="R71" s="22">
        <f t="shared" ca="1" si="28"/>
        <v>119.59038</v>
      </c>
      <c r="S71" s="22">
        <f ca="1">IF(Q71="","",IF(Q71=0,0,SUMPRODUCT(OFFSET(M$18,MATCH(MIN(Q$18:Q$137),Q$18:Q$137,0),0,COUNT(M$18:M71)-MATCH(MIN(Q$18:Q$137),Q$18:Q$137,0),1),OFFSET(M$18,MATCH(MIN(Q$18:Q$137),Q$18:Q$137,0),1,COUNT(M$18:M71)-MATCH(MIN(Q$18:Q$137),Q$18:Q$137,0),1))*$T$6))</f>
        <v>186.76395360000004</v>
      </c>
      <c r="T71" s="22">
        <f t="shared" ca="1" si="29"/>
        <v>306.35433360000002</v>
      </c>
      <c r="V71" s="22">
        <f ca="1">IF(Q71="","",IF(Q71=0,0,SUMPRODUCT(OFFSET(M$18,MATCH(MIN(Q$18:Q$137),Q$18:Q$137,0),0,COUNT(M$18:M71)-MATCH(MIN(Q$18:Q$137),Q$18:Q$137,0),1),OFFSET(M$18,MATCH(MIN(Q$18:Q$137),Q$18:Q$137,0),2,COUNT(M$18:M71)-MATCH(MIN(Q$18:Q$137),Q$18:Q$137,0),1))*$T$6*$T$14))</f>
        <v>0</v>
      </c>
      <c r="W71" s="29"/>
      <c r="X71" s="23">
        <f t="shared" ca="1" si="30"/>
        <v>22.018524146788987</v>
      </c>
      <c r="Z71" s="15">
        <f t="shared" si="34"/>
        <v>11.450000000000001</v>
      </c>
      <c r="AA71" s="15">
        <f t="shared" si="35"/>
        <v>13.200000000000001</v>
      </c>
      <c r="AC71" s="15">
        <f t="shared" si="36"/>
        <v>52</v>
      </c>
      <c r="AD71" s="15">
        <f t="shared" si="37"/>
        <v>61</v>
      </c>
      <c r="AF71" s="15">
        <f t="shared" ca="1" si="38"/>
        <v>10</v>
      </c>
      <c r="AH71" s="15">
        <f t="shared" si="31"/>
        <v>2</v>
      </c>
      <c r="AI71" s="38">
        <f t="shared" ca="1" si="19"/>
        <v>19.971450473277997</v>
      </c>
      <c r="AJ71" s="29"/>
      <c r="AK71" s="29"/>
      <c r="AL71" s="29"/>
    </row>
    <row r="72" spans="1:38" x14ac:dyDescent="0.2">
      <c r="A72" s="15">
        <v>55</v>
      </c>
      <c r="B72" s="2">
        <f t="shared" si="20"/>
        <v>179.26</v>
      </c>
      <c r="C72" s="25">
        <v>12</v>
      </c>
      <c r="D72" s="25">
        <v>1.08</v>
      </c>
      <c r="E72" s="25">
        <v>16.13</v>
      </c>
      <c r="F72" s="3" t="str">
        <f t="shared" ca="1" si="21"/>
        <v>ИГЭ-2</v>
      </c>
      <c r="G72" s="30" t="str">
        <f t="shared" ca="1" si="22"/>
        <v>пыл.-глинист.</v>
      </c>
      <c r="I72" s="13">
        <f t="shared" ca="1" si="32"/>
        <v>1069</v>
      </c>
      <c r="J72" s="14">
        <f t="shared" ca="1" si="23"/>
        <v>0.89500000000000002</v>
      </c>
      <c r="L72" s="14">
        <f t="shared" ca="1" si="24"/>
        <v>1</v>
      </c>
      <c r="M72" s="22">
        <f t="shared" ca="1" si="33"/>
        <v>3.455999999999988</v>
      </c>
      <c r="N72" s="37">
        <f t="shared" ca="1" si="25"/>
        <v>1</v>
      </c>
      <c r="O72" s="37">
        <f t="shared" ca="1" si="26"/>
        <v>0</v>
      </c>
      <c r="Q72" s="22">
        <f t="shared" si="27"/>
        <v>9</v>
      </c>
      <c r="R72" s="22">
        <f t="shared" ca="1" si="28"/>
        <v>117.20248749999999</v>
      </c>
      <c r="S72" s="22">
        <f ca="1">IF(Q72="","",IF(Q72=0,0,SUMPRODUCT(OFFSET(M$18,MATCH(MIN(Q$18:Q$137),Q$18:Q$137,0),0,COUNT(M$18:M72)-MATCH(MIN(Q$18:Q$137),Q$18:Q$137,0),1),OFFSET(M$18,MATCH(MIN(Q$18:Q$137),Q$18:Q$137,0),1,COUNT(M$18:M72)-MATCH(MIN(Q$18:Q$137),Q$18:Q$137,0),1))*$T$6))</f>
        <v>191.60235360000001</v>
      </c>
      <c r="T72" s="22">
        <f t="shared" ca="1" si="29"/>
        <v>308.80484109999998</v>
      </c>
      <c r="V72" s="22">
        <f ca="1">IF(Q72="","",IF(Q72=0,0,SUMPRODUCT(OFFSET(M$18,MATCH(MIN(Q$18:Q$137),Q$18:Q$137,0),0,COUNT(M$18:M72)-MATCH(MIN(Q$18:Q$137),Q$18:Q$137,0),1),OFFSET(M$18,MATCH(MIN(Q$18:Q$137),Q$18:Q$137,0),2,COUNT(M$18:M72)-MATCH(MIN(Q$18:Q$137),Q$18:Q$137,0),1))*$T$6*$T$14))</f>
        <v>0</v>
      </c>
      <c r="W72" s="29"/>
      <c r="X72" s="23">
        <f t="shared" ca="1" si="30"/>
        <v>22.150986659531089</v>
      </c>
      <c r="Z72" s="15">
        <f t="shared" si="34"/>
        <v>11.65</v>
      </c>
      <c r="AA72" s="15">
        <f t="shared" si="35"/>
        <v>13.4</v>
      </c>
      <c r="AC72" s="15">
        <f t="shared" si="36"/>
        <v>52</v>
      </c>
      <c r="AD72" s="15">
        <f t="shared" si="37"/>
        <v>62</v>
      </c>
      <c r="AF72" s="15">
        <f t="shared" ca="1" si="38"/>
        <v>11</v>
      </c>
      <c r="AH72" s="15">
        <f t="shared" si="31"/>
        <v>2</v>
      </c>
      <c r="AI72" s="38">
        <f t="shared" ca="1" si="19"/>
        <v>20.091597877125707</v>
      </c>
      <c r="AJ72" s="29"/>
      <c r="AK72" s="29"/>
      <c r="AL72" s="29"/>
    </row>
    <row r="73" spans="1:38" x14ac:dyDescent="0.2">
      <c r="A73" s="15">
        <v>56</v>
      </c>
      <c r="B73" s="2">
        <f t="shared" si="20"/>
        <v>179.06</v>
      </c>
      <c r="C73" s="25">
        <v>12.2</v>
      </c>
      <c r="D73" s="25">
        <v>1.08</v>
      </c>
      <c r="E73" s="25">
        <v>16.13</v>
      </c>
      <c r="F73" s="3" t="str">
        <f t="shared" ca="1" si="21"/>
        <v>ИГЭ-2</v>
      </c>
      <c r="G73" s="30" t="str">
        <f t="shared" ca="1" si="22"/>
        <v>пыл.-глинист.</v>
      </c>
      <c r="I73" s="13">
        <f t="shared" ca="1" si="32"/>
        <v>1047</v>
      </c>
      <c r="J73" s="14">
        <f t="shared" ca="1" si="23"/>
        <v>0.89700000000000002</v>
      </c>
      <c r="L73" s="14">
        <f t="shared" ca="1" si="24"/>
        <v>1</v>
      </c>
      <c r="M73" s="22">
        <f t="shared" ca="1" si="33"/>
        <v>3.2259999999999884</v>
      </c>
      <c r="N73" s="37">
        <f t="shared" ca="1" si="25"/>
        <v>1</v>
      </c>
      <c r="O73" s="37">
        <f t="shared" ca="1" si="26"/>
        <v>0</v>
      </c>
      <c r="Q73" s="22">
        <f t="shared" si="27"/>
        <v>9.1999999999999993</v>
      </c>
      <c r="R73" s="22">
        <f t="shared" ca="1" si="28"/>
        <v>115.04697749999998</v>
      </c>
      <c r="S73" s="22">
        <f ca="1">IF(Q73="","",IF(Q73=0,0,SUMPRODUCT(OFFSET(M$18,MATCH(MIN(Q$18:Q$137),Q$18:Q$137,0),0,COUNT(M$18:M73)-MATCH(MIN(Q$18:Q$137),Q$18:Q$137,0),1),OFFSET(M$18,MATCH(MIN(Q$18:Q$137),Q$18:Q$137,0),1,COUNT(M$18:M73)-MATCH(MIN(Q$18:Q$137),Q$18:Q$137,0),1))*$T$6))</f>
        <v>196.11875360000002</v>
      </c>
      <c r="T73" s="22">
        <f t="shared" ca="1" si="29"/>
        <v>311.16573110000002</v>
      </c>
      <c r="V73" s="22">
        <f ca="1">IF(Q73="","",IF(Q73=0,0,SUMPRODUCT(OFFSET(M$18,MATCH(MIN(Q$18:Q$137),Q$18:Q$137,0),0,COUNT(M$18:M73)-MATCH(MIN(Q$18:Q$137),Q$18:Q$137,0),1),OFFSET(M$18,MATCH(MIN(Q$18:Q$137),Q$18:Q$137,0),2,COUNT(M$18:M73)-MATCH(MIN(Q$18:Q$137),Q$18:Q$137,0),1))*$T$6*$T$14))</f>
        <v>0</v>
      </c>
      <c r="W73" s="29"/>
      <c r="X73" s="23">
        <f t="shared" ca="1" si="30"/>
        <v>22.276140915392453</v>
      </c>
      <c r="Z73" s="15">
        <f t="shared" si="34"/>
        <v>11.85</v>
      </c>
      <c r="AA73" s="15">
        <f t="shared" si="35"/>
        <v>13.6</v>
      </c>
      <c r="AC73" s="15">
        <f t="shared" si="36"/>
        <v>53</v>
      </c>
      <c r="AD73" s="15">
        <f t="shared" si="37"/>
        <v>63</v>
      </c>
      <c r="AF73" s="15">
        <f t="shared" ca="1" si="38"/>
        <v>11</v>
      </c>
      <c r="AH73" s="15">
        <f t="shared" si="31"/>
        <v>2</v>
      </c>
      <c r="AI73" s="38">
        <f t="shared" ca="1" si="19"/>
        <v>20.205116476546447</v>
      </c>
      <c r="AJ73" s="29"/>
      <c r="AK73" s="29"/>
      <c r="AL73" s="29"/>
    </row>
    <row r="74" spans="1:38" x14ac:dyDescent="0.2">
      <c r="A74" s="15">
        <v>57</v>
      </c>
      <c r="B74" s="2">
        <f t="shared" si="20"/>
        <v>178.86</v>
      </c>
      <c r="C74" s="25">
        <v>12.4</v>
      </c>
      <c r="D74" s="25">
        <v>1.08</v>
      </c>
      <c r="E74" s="25">
        <v>16.13</v>
      </c>
      <c r="F74" s="3" t="str">
        <f t="shared" ca="1" si="21"/>
        <v>ИГЭ-2</v>
      </c>
      <c r="G74" s="30" t="str">
        <f t="shared" ca="1" si="22"/>
        <v>пыл.-глинист.</v>
      </c>
      <c r="I74" s="13">
        <f t="shared" ca="1" si="32"/>
        <v>1044</v>
      </c>
      <c r="J74" s="14">
        <f t="shared" ca="1" si="23"/>
        <v>0.89700000000000002</v>
      </c>
      <c r="L74" s="14">
        <f t="shared" ca="1" si="24"/>
        <v>1</v>
      </c>
      <c r="M74" s="22">
        <f t="shared" ca="1" si="33"/>
        <v>3.2260000000000169</v>
      </c>
      <c r="N74" s="37">
        <f t="shared" ca="1" si="25"/>
        <v>1</v>
      </c>
      <c r="O74" s="37">
        <f t="shared" ca="1" si="26"/>
        <v>0</v>
      </c>
      <c r="Q74" s="22">
        <f t="shared" si="27"/>
        <v>9.4</v>
      </c>
      <c r="R74" s="22">
        <f t="shared" ca="1" si="28"/>
        <v>114.71732999999999</v>
      </c>
      <c r="S74" s="22">
        <f ca="1">IF(Q74="","",IF(Q74=0,0,SUMPRODUCT(OFFSET(M$18,MATCH(MIN(Q$18:Q$137),Q$18:Q$137,0),0,COUNT(M$18:M74)-MATCH(MIN(Q$18:Q$137),Q$18:Q$137,0),1),OFFSET(M$18,MATCH(MIN(Q$18:Q$137),Q$18:Q$137,0),1,COUNT(M$18:M74)-MATCH(MIN(Q$18:Q$137),Q$18:Q$137,0),1))*$T$6))</f>
        <v>200.63515360000005</v>
      </c>
      <c r="T74" s="22">
        <f t="shared" ca="1" si="29"/>
        <v>315.35248360000003</v>
      </c>
      <c r="V74" s="22">
        <f ca="1">IF(Q74="","",IF(Q74=0,0,SUMPRODUCT(OFFSET(M$18,MATCH(MIN(Q$18:Q$137),Q$18:Q$137,0),0,COUNT(M$18:M74)-MATCH(MIN(Q$18:Q$137),Q$18:Q$137,0),1),OFFSET(M$18,MATCH(MIN(Q$18:Q$137),Q$18:Q$137,0),2,COUNT(M$18:M74)-MATCH(MIN(Q$18:Q$137),Q$18:Q$137,0),1))*$T$6*$T$14))</f>
        <v>0</v>
      </c>
      <c r="W74" s="29"/>
      <c r="X74" s="23">
        <f t="shared" ca="1" si="30"/>
        <v>22.550193234454639</v>
      </c>
      <c r="Z74" s="15">
        <f t="shared" si="34"/>
        <v>12.05</v>
      </c>
      <c r="AA74" s="15">
        <f t="shared" si="35"/>
        <v>13.8</v>
      </c>
      <c r="AC74" s="15">
        <f t="shared" si="36"/>
        <v>55</v>
      </c>
      <c r="AD74" s="15">
        <f t="shared" si="37"/>
        <v>64</v>
      </c>
      <c r="AF74" s="15">
        <f t="shared" ca="1" si="38"/>
        <v>10</v>
      </c>
      <c r="AH74" s="15">
        <f t="shared" si="31"/>
        <v>2</v>
      </c>
      <c r="AI74" s="38">
        <f t="shared" ca="1" si="19"/>
        <v>20.453690008575638</v>
      </c>
      <c r="AJ74" s="29"/>
      <c r="AK74" s="29"/>
      <c r="AL74" s="29"/>
    </row>
    <row r="75" spans="1:38" x14ac:dyDescent="0.2">
      <c r="A75" s="15">
        <v>58</v>
      </c>
      <c r="B75" s="2">
        <f t="shared" si="20"/>
        <v>178.66</v>
      </c>
      <c r="C75" s="25">
        <v>12.6</v>
      </c>
      <c r="D75" s="25">
        <v>1.2</v>
      </c>
      <c r="E75" s="25">
        <v>18.43</v>
      </c>
      <c r="F75" s="3" t="str">
        <f t="shared" ca="1" si="21"/>
        <v>ИГЭ-2</v>
      </c>
      <c r="G75" s="30" t="str">
        <f t="shared" ca="1" si="22"/>
        <v>пыл.-глинист.</v>
      </c>
      <c r="I75" s="13">
        <f t="shared" ca="1" si="32"/>
        <v>1058</v>
      </c>
      <c r="J75" s="14">
        <f t="shared" ca="1" si="23"/>
        <v>0.89600000000000002</v>
      </c>
      <c r="L75" s="14">
        <f t="shared" ca="1" si="24"/>
        <v>1</v>
      </c>
      <c r="M75" s="22">
        <f t="shared" ca="1" si="33"/>
        <v>3.455999999999988</v>
      </c>
      <c r="N75" s="37">
        <f t="shared" ca="1" si="25"/>
        <v>1</v>
      </c>
      <c r="O75" s="37">
        <f t="shared" ca="1" si="26"/>
        <v>0</v>
      </c>
      <c r="Q75" s="22">
        <f t="shared" si="27"/>
        <v>9.6</v>
      </c>
      <c r="R75" s="22">
        <f t="shared" ca="1" si="28"/>
        <v>116.12607999999999</v>
      </c>
      <c r="S75" s="22">
        <f ca="1">IF(Q75="","",IF(Q75=0,0,SUMPRODUCT(OFFSET(M$18,MATCH(MIN(Q$18:Q$137),Q$18:Q$137,0),0,COUNT(M$18:M75)-MATCH(MIN(Q$18:Q$137),Q$18:Q$137,0),1),OFFSET(M$18,MATCH(MIN(Q$18:Q$137),Q$18:Q$137,0),1,COUNT(M$18:M75)-MATCH(MIN(Q$18:Q$137),Q$18:Q$137,0),1))*$T$6))</f>
        <v>205.47355360000006</v>
      </c>
      <c r="T75" s="22">
        <f t="shared" ca="1" si="29"/>
        <v>321.59963360000006</v>
      </c>
      <c r="V75" s="22">
        <f ca="1">IF(Q75="","",IF(Q75=0,0,SUMPRODUCT(OFFSET(M$18,MATCH(MIN(Q$18:Q$137),Q$18:Q$137,0),0,COUNT(M$18:M75)-MATCH(MIN(Q$18:Q$137),Q$18:Q$137,0),1),OFFSET(M$18,MATCH(MIN(Q$18:Q$137),Q$18:Q$137,0),2,COUNT(M$18:M75)-MATCH(MIN(Q$18:Q$137),Q$18:Q$137,0),1))*$T$6*$T$14))</f>
        <v>0</v>
      </c>
      <c r="W75" s="29"/>
      <c r="X75" s="23">
        <f t="shared" ca="1" si="30"/>
        <v>22.99226981447503</v>
      </c>
      <c r="Z75" s="15">
        <f t="shared" si="34"/>
        <v>12.25</v>
      </c>
      <c r="AA75" s="15">
        <f t="shared" si="35"/>
        <v>14</v>
      </c>
      <c r="AC75" s="15">
        <f t="shared" si="36"/>
        <v>55</v>
      </c>
      <c r="AD75" s="15">
        <f t="shared" si="37"/>
        <v>65</v>
      </c>
      <c r="AF75" s="15">
        <f t="shared" ca="1" si="38"/>
        <v>11</v>
      </c>
      <c r="AH75" s="15">
        <f t="shared" si="31"/>
        <v>2</v>
      </c>
      <c r="AI75" s="38">
        <f t="shared" ca="1" si="19"/>
        <v>20.854666498390053</v>
      </c>
      <c r="AJ75" s="29"/>
      <c r="AK75" s="29"/>
      <c r="AL75" s="29"/>
    </row>
    <row r="76" spans="1:38" x14ac:dyDescent="0.2">
      <c r="A76" s="15">
        <v>59</v>
      </c>
      <c r="B76" s="2">
        <f t="shared" si="20"/>
        <v>178.46</v>
      </c>
      <c r="C76" s="25">
        <v>12.8</v>
      </c>
      <c r="D76" s="25">
        <v>1.08</v>
      </c>
      <c r="E76" s="25">
        <v>18.43</v>
      </c>
      <c r="F76" s="3" t="str">
        <f t="shared" ca="1" si="21"/>
        <v>ИГЭ-2</v>
      </c>
      <c r="G76" s="30" t="str">
        <f t="shared" ca="1" si="22"/>
        <v>пыл.-глинист.</v>
      </c>
      <c r="I76" s="13">
        <f t="shared" ca="1" si="32"/>
        <v>1068</v>
      </c>
      <c r="J76" s="14">
        <f t="shared" ca="1" si="23"/>
        <v>0.89500000000000002</v>
      </c>
      <c r="L76" s="14">
        <f t="shared" ca="1" si="24"/>
        <v>1</v>
      </c>
      <c r="M76" s="22">
        <f t="shared" ca="1" si="33"/>
        <v>3.6860000000000195</v>
      </c>
      <c r="N76" s="37">
        <f t="shared" ca="1" si="25"/>
        <v>1</v>
      </c>
      <c r="O76" s="37">
        <f t="shared" ca="1" si="26"/>
        <v>0</v>
      </c>
      <c r="Q76" s="22">
        <f t="shared" si="27"/>
        <v>9.8000000000000007</v>
      </c>
      <c r="R76" s="22">
        <f t="shared" ca="1" si="28"/>
        <v>117.09284999999998</v>
      </c>
      <c r="S76" s="22">
        <f ca="1">IF(Q76="","",IF(Q76=0,0,SUMPRODUCT(OFFSET(M$18,MATCH(MIN(Q$18:Q$137),Q$18:Q$137,0),0,COUNT(M$18:M76)-MATCH(MIN(Q$18:Q$137),Q$18:Q$137,0),1),OFFSET(M$18,MATCH(MIN(Q$18:Q$137),Q$18:Q$137,0),1,COUNT(M$18:M76)-MATCH(MIN(Q$18:Q$137),Q$18:Q$137,0),1))*$T$6))</f>
        <v>210.63395360000007</v>
      </c>
      <c r="T76" s="22">
        <f t="shared" ca="1" si="29"/>
        <v>327.72680360000004</v>
      </c>
      <c r="V76" s="22">
        <f ca="1">IF(Q76="","",IF(Q76=0,0,SUMPRODUCT(OFFSET(M$18,MATCH(MIN(Q$18:Q$137),Q$18:Q$137,0),0,COUNT(M$18:M76)-MATCH(MIN(Q$18:Q$137),Q$18:Q$137,0),1),OFFSET(M$18,MATCH(MIN(Q$18:Q$137),Q$18:Q$137,0),2,COUNT(M$18:M76)-MATCH(MIN(Q$18:Q$137),Q$18:Q$137,0),1))*$T$6*$T$14))</f>
        <v>0</v>
      </c>
      <c r="W76" s="29"/>
      <c r="X76" s="23">
        <f t="shared" ca="1" si="30"/>
        <v>23.424562092762489</v>
      </c>
      <c r="Z76" s="15">
        <f t="shared" si="34"/>
        <v>12.450000000000001</v>
      </c>
      <c r="AA76" s="15">
        <f t="shared" si="35"/>
        <v>14.200000000000001</v>
      </c>
      <c r="AC76" s="15">
        <f t="shared" si="36"/>
        <v>57</v>
      </c>
      <c r="AD76" s="15">
        <f t="shared" si="37"/>
        <v>66</v>
      </c>
      <c r="AF76" s="15">
        <f t="shared" ca="1" si="38"/>
        <v>10</v>
      </c>
      <c r="AH76" s="15">
        <f t="shared" si="31"/>
        <v>2</v>
      </c>
      <c r="AI76" s="38">
        <f t="shared" ca="1" si="19"/>
        <v>21.24676833810657</v>
      </c>
      <c r="AJ76" s="29"/>
      <c r="AK76" s="29"/>
      <c r="AL76" s="29"/>
    </row>
    <row r="77" spans="1:38" x14ac:dyDescent="0.2">
      <c r="A77" s="15">
        <v>60</v>
      </c>
      <c r="B77" s="2">
        <f t="shared" si="20"/>
        <v>178.26</v>
      </c>
      <c r="C77" s="25">
        <v>13</v>
      </c>
      <c r="D77" s="25">
        <v>1.08</v>
      </c>
      <c r="E77" s="25">
        <v>16.13</v>
      </c>
      <c r="F77" s="3" t="str">
        <f t="shared" ca="1" si="21"/>
        <v>ИГЭ-2</v>
      </c>
      <c r="G77" s="30" t="str">
        <f t="shared" ca="1" si="22"/>
        <v>пыл.-глинист.</v>
      </c>
      <c r="I77" s="13">
        <f t="shared" ca="1" si="32"/>
        <v>1113</v>
      </c>
      <c r="J77" s="14">
        <f t="shared" ca="1" si="23"/>
        <v>0.89200000000000002</v>
      </c>
      <c r="L77" s="14">
        <f t="shared" ca="1" si="24"/>
        <v>1</v>
      </c>
      <c r="M77" s="22">
        <f t="shared" ca="1" si="33"/>
        <v>3.455999999999988</v>
      </c>
      <c r="N77" s="37">
        <f t="shared" ca="1" si="25"/>
        <v>1</v>
      </c>
      <c r="O77" s="37">
        <f t="shared" ca="1" si="26"/>
        <v>0</v>
      </c>
      <c r="Q77" s="22">
        <f t="shared" si="27"/>
        <v>10</v>
      </c>
      <c r="R77" s="22">
        <f t="shared" ca="1" si="28"/>
        <v>121.61751</v>
      </c>
      <c r="S77" s="22">
        <f ca="1">IF(Q77="","",IF(Q77=0,0,SUMPRODUCT(OFFSET(M$18,MATCH(MIN(Q$18:Q$137),Q$18:Q$137,0),0,COUNT(M$18:M77)-MATCH(MIN(Q$18:Q$137),Q$18:Q$137,0),1),OFFSET(M$18,MATCH(MIN(Q$18:Q$137),Q$18:Q$137,0),1,COUNT(M$18:M77)-MATCH(MIN(Q$18:Q$137),Q$18:Q$137,0),1))*$T$6))</f>
        <v>215.47235360000005</v>
      </c>
      <c r="T77" s="22">
        <f t="shared" ca="1" si="29"/>
        <v>337.08986360000006</v>
      </c>
      <c r="V77" s="22">
        <f ca="1">IF(Q77="","",IF(Q77=0,0,SUMPRODUCT(OFFSET(M$18,MATCH(MIN(Q$18:Q$137),Q$18:Q$137,0),0,COUNT(M$18:M77)-MATCH(MIN(Q$18:Q$137),Q$18:Q$137,0),1),OFFSET(M$18,MATCH(MIN(Q$18:Q$137),Q$18:Q$137,0),2,COUNT(M$18:M77)-MATCH(MIN(Q$18:Q$137),Q$18:Q$137,0),1))*$T$6*$T$14))</f>
        <v>0</v>
      </c>
      <c r="W77" s="29"/>
      <c r="X77" s="23">
        <f t="shared" ca="1" si="30"/>
        <v>24.120739386340471</v>
      </c>
      <c r="Z77" s="15">
        <f t="shared" si="34"/>
        <v>12.65</v>
      </c>
      <c r="AA77" s="15">
        <f t="shared" si="35"/>
        <v>14.4</v>
      </c>
      <c r="AC77" s="15">
        <f t="shared" si="36"/>
        <v>57</v>
      </c>
      <c r="AD77" s="15">
        <f t="shared" si="37"/>
        <v>67</v>
      </c>
      <c r="AF77" s="15">
        <f t="shared" ca="1" si="38"/>
        <v>11</v>
      </c>
      <c r="AH77" s="15">
        <f t="shared" si="31"/>
        <v>2</v>
      </c>
      <c r="AI77" s="38">
        <f t="shared" ca="1" si="19"/>
        <v>21.878221665614944</v>
      </c>
      <c r="AJ77" s="29"/>
      <c r="AK77" s="29"/>
      <c r="AL77" s="29"/>
    </row>
    <row r="78" spans="1:38" x14ac:dyDescent="0.2">
      <c r="A78" s="15">
        <v>61</v>
      </c>
      <c r="B78" s="2">
        <f t="shared" si="20"/>
        <v>178.06</v>
      </c>
      <c r="C78" s="25">
        <v>13.2</v>
      </c>
      <c r="D78" s="25">
        <v>1.08</v>
      </c>
      <c r="E78" s="25">
        <v>34.56</v>
      </c>
      <c r="F78" s="3" t="str">
        <f t="shared" ca="1" si="21"/>
        <v>ИГЭ-2</v>
      </c>
      <c r="G78" s="30" t="str">
        <f t="shared" ca="1" si="22"/>
        <v>пыл.-глинист.</v>
      </c>
      <c r="I78" s="13">
        <f t="shared" ca="1" si="32"/>
        <v>1167</v>
      </c>
      <c r="J78" s="14">
        <f t="shared" ca="1" si="23"/>
        <v>0.88900000000000001</v>
      </c>
      <c r="L78" s="14">
        <f t="shared" ca="1" si="24"/>
        <v>0.81799999999999995</v>
      </c>
      <c r="M78" s="22">
        <f t="shared" ca="1" si="33"/>
        <v>4.4400079999999846</v>
      </c>
      <c r="N78" s="37">
        <f t="shared" ca="1" si="25"/>
        <v>1</v>
      </c>
      <c r="O78" s="37">
        <f t="shared" ca="1" si="26"/>
        <v>0</v>
      </c>
      <c r="Q78" s="22">
        <f t="shared" si="27"/>
        <v>10.199999999999999</v>
      </c>
      <c r="R78" s="22">
        <f t="shared" ca="1" si="28"/>
        <v>127.08921749999998</v>
      </c>
      <c r="S78" s="22">
        <f ca="1">IF(Q78="","",IF(Q78=0,0,SUMPRODUCT(OFFSET(M$18,MATCH(MIN(Q$18:Q$137),Q$18:Q$137,0),0,COUNT(M$18:M78)-MATCH(MIN(Q$18:Q$137),Q$18:Q$137,0),1),OFFSET(M$18,MATCH(MIN(Q$18:Q$137),Q$18:Q$137,0),1,COUNT(M$18:M78)-MATCH(MIN(Q$18:Q$137),Q$18:Q$137,0),1))*$T$6))</f>
        <v>221.68836480000002</v>
      </c>
      <c r="T78" s="22">
        <f t="shared" ca="1" si="29"/>
        <v>348.77758230000001</v>
      </c>
      <c r="V78" s="22">
        <f ca="1">IF(Q78="","",IF(Q78=0,0,SUMPRODUCT(OFFSET(M$18,MATCH(MIN(Q$18:Q$137),Q$18:Q$137,0),0,COUNT(M$18:M78)-MATCH(MIN(Q$18:Q$137),Q$18:Q$137,0),1),OFFSET(M$18,MATCH(MIN(Q$18:Q$137),Q$18:Q$137,0),2,COUNT(M$18:M78)-MATCH(MIN(Q$18:Q$137),Q$18:Q$137,0),1))*$T$6*$T$14))</f>
        <v>0</v>
      </c>
      <c r="W78" s="29"/>
      <c r="X78" s="23">
        <f t="shared" ca="1" si="30"/>
        <v>25.006491293577977</v>
      </c>
      <c r="Z78" s="15">
        <f t="shared" si="34"/>
        <v>12.85</v>
      </c>
      <c r="AA78" s="15">
        <f t="shared" si="35"/>
        <v>14.6</v>
      </c>
      <c r="AC78" s="15">
        <f t="shared" si="36"/>
        <v>58</v>
      </c>
      <c r="AD78" s="15">
        <f t="shared" si="37"/>
        <v>68</v>
      </c>
      <c r="AF78" s="15">
        <f t="shared" ca="1" si="38"/>
        <v>11</v>
      </c>
      <c r="AH78" s="15">
        <f t="shared" si="31"/>
        <v>2</v>
      </c>
      <c r="AI78" s="38">
        <f t="shared" ca="1" si="19"/>
        <v>22.681624756079799</v>
      </c>
      <c r="AJ78" s="29"/>
      <c r="AK78" s="29"/>
      <c r="AL78" s="29"/>
    </row>
    <row r="79" spans="1:38" x14ac:dyDescent="0.2">
      <c r="A79" s="15">
        <v>62</v>
      </c>
      <c r="B79" s="2">
        <f t="shared" si="20"/>
        <v>177.86</v>
      </c>
      <c r="C79" s="25">
        <v>13.4</v>
      </c>
      <c r="D79" s="25">
        <v>0.84</v>
      </c>
      <c r="E79" s="25">
        <v>13.82</v>
      </c>
      <c r="F79" s="3" t="str">
        <f t="shared" ca="1" si="21"/>
        <v>ИГЭ-2</v>
      </c>
      <c r="G79" s="30" t="str">
        <f t="shared" ca="1" si="22"/>
        <v>пыл.-глинист.</v>
      </c>
      <c r="I79" s="13">
        <f t="shared" ca="1" si="32"/>
        <v>1224</v>
      </c>
      <c r="J79" s="14">
        <f t="shared" ca="1" si="23"/>
        <v>0.88500000000000001</v>
      </c>
      <c r="L79" s="14">
        <f t="shared" ca="1" si="24"/>
        <v>1</v>
      </c>
      <c r="M79" s="22">
        <f t="shared" ca="1" si="33"/>
        <v>4.2090080000000221</v>
      </c>
      <c r="N79" s="37">
        <f t="shared" ca="1" si="25"/>
        <v>1</v>
      </c>
      <c r="O79" s="37">
        <f t="shared" ca="1" si="26"/>
        <v>0</v>
      </c>
      <c r="Q79" s="22">
        <f t="shared" si="27"/>
        <v>10.4</v>
      </c>
      <c r="R79" s="22">
        <f t="shared" ca="1" si="28"/>
        <v>132.69689999999997</v>
      </c>
      <c r="S79" s="22">
        <f ca="1">IF(Q79="","",IF(Q79=0,0,SUMPRODUCT(OFFSET(M$18,MATCH(MIN(Q$18:Q$137),Q$18:Q$137,0),0,COUNT(M$18:M79)-MATCH(MIN(Q$18:Q$137),Q$18:Q$137,0),1),OFFSET(M$18,MATCH(MIN(Q$18:Q$137),Q$18:Q$137,0),1,COUNT(M$18:M79)-MATCH(MIN(Q$18:Q$137),Q$18:Q$137,0),1))*$T$6))</f>
        <v>227.58097600000002</v>
      </c>
      <c r="T79" s="22">
        <f t="shared" ca="1" si="29"/>
        <v>360.27787599999999</v>
      </c>
      <c r="V79" s="22">
        <f ca="1">IF(Q79="","",IF(Q79=0,0,SUMPRODUCT(OFFSET(M$18,MATCH(MIN(Q$18:Q$137),Q$18:Q$137,0),0,COUNT(M$18:M79)-MATCH(MIN(Q$18:Q$137),Q$18:Q$137,0),1),OFFSET(M$18,MATCH(MIN(Q$18:Q$137),Q$18:Q$137,0),2,COUNT(M$18:M79)-MATCH(MIN(Q$18:Q$137),Q$18:Q$137,0),1))*$T$6*$T$14))</f>
        <v>0</v>
      </c>
      <c r="W79" s="29"/>
      <c r="X79" s="23">
        <f t="shared" ca="1" si="30"/>
        <v>25.876958797145765</v>
      </c>
      <c r="Z79" s="15">
        <f t="shared" si="34"/>
        <v>13.05</v>
      </c>
      <c r="AA79" s="15">
        <f t="shared" si="35"/>
        <v>14.8</v>
      </c>
      <c r="AC79" s="15">
        <f t="shared" si="36"/>
        <v>60</v>
      </c>
      <c r="AD79" s="15">
        <f t="shared" si="37"/>
        <v>69</v>
      </c>
      <c r="AF79" s="15">
        <f t="shared" ca="1" si="38"/>
        <v>10</v>
      </c>
      <c r="AH79" s="15">
        <f t="shared" si="31"/>
        <v>2</v>
      </c>
      <c r="AI79" s="38">
        <f t="shared" ca="1" si="19"/>
        <v>23.471164441855571</v>
      </c>
      <c r="AJ79" s="29"/>
      <c r="AK79" s="29"/>
      <c r="AL79" s="29"/>
    </row>
    <row r="80" spans="1:38" x14ac:dyDescent="0.2">
      <c r="A80" s="15">
        <v>63</v>
      </c>
      <c r="B80" s="2">
        <f t="shared" si="20"/>
        <v>177.66</v>
      </c>
      <c r="C80" s="25">
        <v>13.6</v>
      </c>
      <c r="D80" s="25">
        <v>0.84</v>
      </c>
      <c r="E80" s="25">
        <v>9.2200000000000006</v>
      </c>
      <c r="F80" s="3" t="str">
        <f t="shared" ca="1" si="21"/>
        <v>ИГЭ-2</v>
      </c>
      <c r="G80" s="30" t="str">
        <f t="shared" ca="1" si="22"/>
        <v>пыл.-глинист.</v>
      </c>
      <c r="I80" s="13">
        <f t="shared" ca="1" si="32"/>
        <v>1276</v>
      </c>
      <c r="J80" s="14">
        <f t="shared" ca="1" si="23"/>
        <v>0.88200000000000001</v>
      </c>
      <c r="L80" s="14">
        <f t="shared" ca="1" si="24"/>
        <v>1</v>
      </c>
      <c r="M80" s="22">
        <f t="shared" ca="1" si="33"/>
        <v>2.3039999999999918</v>
      </c>
      <c r="N80" s="37">
        <f t="shared" ca="1" si="25"/>
        <v>1</v>
      </c>
      <c r="O80" s="37">
        <f t="shared" ca="1" si="26"/>
        <v>0</v>
      </c>
      <c r="Q80" s="22">
        <f t="shared" si="27"/>
        <v>10.6</v>
      </c>
      <c r="R80" s="22">
        <f t="shared" ca="1" si="28"/>
        <v>137.86541999999997</v>
      </c>
      <c r="S80" s="22">
        <f ca="1">IF(Q80="","",IF(Q80=0,0,SUMPRODUCT(OFFSET(M$18,MATCH(MIN(Q$18:Q$137),Q$18:Q$137,0),0,COUNT(M$18:M80)-MATCH(MIN(Q$18:Q$137),Q$18:Q$137,0),1),OFFSET(M$18,MATCH(MIN(Q$18:Q$137),Q$18:Q$137,0),1,COUNT(M$18:M80)-MATCH(MIN(Q$18:Q$137),Q$18:Q$137,0),1))*$T$6))</f>
        <v>230.80657600000004</v>
      </c>
      <c r="T80" s="22">
        <f t="shared" ca="1" si="29"/>
        <v>368.67199600000004</v>
      </c>
      <c r="V80" s="22">
        <f ca="1">IF(Q80="","",IF(Q80=0,0,SUMPRODUCT(OFFSET(M$18,MATCH(MIN(Q$18:Q$137),Q$18:Q$137,0),0,COUNT(M$18:M80)-MATCH(MIN(Q$18:Q$137),Q$18:Q$137,0),1),OFFSET(M$18,MATCH(MIN(Q$18:Q$137),Q$18:Q$137,0),2,COUNT(M$18:M80)-MATCH(MIN(Q$18:Q$137),Q$18:Q$137,0),1))*$T$6*$T$14))</f>
        <v>0</v>
      </c>
      <c r="W80" s="29"/>
      <c r="X80" s="23">
        <f t="shared" ca="1" si="30"/>
        <v>26.494119576962287</v>
      </c>
      <c r="Z80" s="15">
        <f t="shared" si="34"/>
        <v>13.25</v>
      </c>
      <c r="AA80" s="15">
        <f t="shared" si="35"/>
        <v>15</v>
      </c>
      <c r="AC80" s="15">
        <f t="shared" si="36"/>
        <v>60</v>
      </c>
      <c r="AD80" s="15">
        <f t="shared" si="37"/>
        <v>70</v>
      </c>
      <c r="AF80" s="15">
        <f t="shared" ca="1" si="38"/>
        <v>11</v>
      </c>
      <c r="AH80" s="15">
        <f t="shared" si="31"/>
        <v>2</v>
      </c>
      <c r="AI80" s="38">
        <f t="shared" ca="1" si="19"/>
        <v>24.030947462097316</v>
      </c>
      <c r="AJ80" s="29"/>
      <c r="AK80" s="29"/>
      <c r="AL80" s="29"/>
    </row>
    <row r="81" spans="1:38" x14ac:dyDescent="0.2">
      <c r="A81" s="15">
        <v>64</v>
      </c>
      <c r="B81" s="2">
        <f t="shared" si="20"/>
        <v>177.46</v>
      </c>
      <c r="C81" s="25">
        <v>13.8</v>
      </c>
      <c r="D81" s="25">
        <v>1.08</v>
      </c>
      <c r="E81" s="25">
        <v>9.2200000000000006</v>
      </c>
      <c r="F81" s="3" t="str">
        <f t="shared" ca="1" si="21"/>
        <v>ИГЭ-3</v>
      </c>
      <c r="G81" s="30" t="str">
        <f t="shared" ca="1" si="22"/>
        <v>пыл.-глинист.</v>
      </c>
      <c r="I81" s="13">
        <f t="shared" ca="1" si="32"/>
        <v>1368</v>
      </c>
      <c r="J81" s="14">
        <f t="shared" ca="1" si="23"/>
        <v>0.875</v>
      </c>
      <c r="L81" s="14">
        <f t="shared" ca="1" si="24"/>
        <v>1</v>
      </c>
      <c r="M81" s="22">
        <f t="shared" ca="1" si="33"/>
        <v>1.8440000000000099</v>
      </c>
      <c r="N81" s="37">
        <f t="shared" ca="1" si="25"/>
        <v>1</v>
      </c>
      <c r="O81" s="37">
        <f t="shared" ca="1" si="26"/>
        <v>0</v>
      </c>
      <c r="Q81" s="22">
        <f t="shared" si="27"/>
        <v>10.8</v>
      </c>
      <c r="R81" s="22">
        <f t="shared" ca="1" si="28"/>
        <v>146.63249999999999</v>
      </c>
      <c r="S81" s="22">
        <f ca="1">IF(Q81="","",IF(Q81=0,0,SUMPRODUCT(OFFSET(M$18,MATCH(MIN(Q$18:Q$137),Q$18:Q$137,0),0,COUNT(M$18:M81)-MATCH(MIN(Q$18:Q$137),Q$18:Q$137,0),1),OFFSET(M$18,MATCH(MIN(Q$18:Q$137),Q$18:Q$137,0),1,COUNT(M$18:M81)-MATCH(MIN(Q$18:Q$137),Q$18:Q$137,0),1))*$T$6))</f>
        <v>233.38817600000004</v>
      </c>
      <c r="T81" s="22">
        <f t="shared" ca="1" si="29"/>
        <v>380.02067600000004</v>
      </c>
      <c r="V81" s="22">
        <f ca="1">IF(Q81="","",IF(Q81=0,0,SUMPRODUCT(OFFSET(M$18,MATCH(MIN(Q$18:Q$137),Q$18:Q$137,0),0,COUNT(M$18:M81)-MATCH(MIN(Q$18:Q$137),Q$18:Q$137,0),1),OFFSET(M$18,MATCH(MIN(Q$18:Q$137),Q$18:Q$137,0),2,COUNT(M$18:M81)-MATCH(MIN(Q$18:Q$137),Q$18:Q$137,0),1))*$T$6*$T$14))</f>
        <v>0</v>
      </c>
      <c r="W81" s="29"/>
      <c r="X81" s="23">
        <f t="shared" ca="1" si="30"/>
        <v>27.352223068297658</v>
      </c>
      <c r="Z81" s="15">
        <f t="shared" si="34"/>
        <v>13.450000000000001</v>
      </c>
      <c r="AA81" s="15">
        <f t="shared" si="35"/>
        <v>15.200000000000001</v>
      </c>
      <c r="AC81" s="15">
        <f t="shared" si="36"/>
        <v>62</v>
      </c>
      <c r="AD81" s="15">
        <f t="shared" si="37"/>
        <v>71</v>
      </c>
      <c r="AF81" s="15">
        <f t="shared" ca="1" si="38"/>
        <v>10</v>
      </c>
      <c r="AH81" s="15">
        <f t="shared" si="31"/>
        <v>3</v>
      </c>
      <c r="AI81" s="38">
        <f t="shared" ca="1" si="19"/>
        <v>24.809272624306271</v>
      </c>
      <c r="AJ81" s="29"/>
      <c r="AK81" s="29"/>
      <c r="AL81" s="29"/>
    </row>
    <row r="82" spans="1:38" x14ac:dyDescent="0.2">
      <c r="A82" s="15">
        <v>65</v>
      </c>
      <c r="B82" s="2">
        <f t="shared" ref="B82:B113" si="39">IF(C82="","",ROUND($D$6-C82,2))</f>
        <v>177.26</v>
      </c>
      <c r="C82" s="25">
        <v>14</v>
      </c>
      <c r="D82" s="25">
        <v>1.2</v>
      </c>
      <c r="E82" s="25">
        <v>9.2200000000000006</v>
      </c>
      <c r="F82" s="3" t="str">
        <f t="shared" ref="F82:F113" ca="1" si="40">IF(C82="","",OFFSET($C$5,MATCH(B82,D$6:D$15,-1),0,1,1))</f>
        <v>ИГЭ-3</v>
      </c>
      <c r="G82" s="30" t="str">
        <f t="shared" ref="G82:G113" ca="1" si="41">IF(C82="","",OFFSET($E$5,MATCH(B82,D$6:D$15,-1),0,1,1))</f>
        <v>пыл.-глинист.</v>
      </c>
      <c r="I82" s="13">
        <f t="shared" ca="1" si="32"/>
        <v>1407</v>
      </c>
      <c r="J82" s="14">
        <f t="shared" ref="J82:J113" ca="1" si="42">IF(I82="","",IF(I82&lt;=1000,0.9,IF(I82&lt;=2500,ROUND(0.967-0.000067*I82,3),IF(I82&lt;=5000,ROUND(0.95-0.00006*I82,3),IF(I82&lt;=7500,ROUND(0.85-0.00004*I82,3),IF(I82&lt;=10000,ROUND(0.85-0.00004*I82,3),IF(I82&lt;=15000,ROUND(0.65-0.00002*I82,3),IF(I82&lt;=30000,0.5-0.00001*I82,0.2))))))))</f>
        <v>0.873</v>
      </c>
      <c r="L82" s="14">
        <f t="shared" ref="L82:L113" ca="1" si="43">IF(G82="","",IF(G82="песчаный",IF(E82&lt;=20,0.75,IF(E82&lt;=40,ROUND(0.9-0.0075*E82,3),IF(E82&lt;=120,ROUND(0.7-0.0025*E82,3),0.4))),IF(E82&lt;=20,1,IF(E82&lt;=40,ROUND(1.25-0.0125*E82,3),IF(E82&lt;=80,ROUND(1.05-0.0075*E82,3),IF(E82&lt;=100,ROUND(0.65-0.0025*E82,3),IF(E82&lt;=120,ROUND(0.9-0.005*E82,3),0.3)))))))</f>
        <v>1</v>
      </c>
      <c r="M82" s="22">
        <f t="shared" ca="1" si="33"/>
        <v>1.8439999999999936</v>
      </c>
      <c r="N82" s="37">
        <f t="shared" ref="N82:N113" ca="1" si="44">IF(C82="","",IF(OFFSET($C$5,MATCH(B82,D$6:D$15,-1),4,1,1)="",1,0))</f>
        <v>1</v>
      </c>
      <c r="O82" s="37">
        <f t="shared" ref="O82:O113" ca="1" si="45">IF(C82="","",IF(OFFSET($C$5,MATCH(B82,D$6:D$15,-1),4,1,1)="тип II",1,0))</f>
        <v>0</v>
      </c>
      <c r="Q82" s="22">
        <f t="shared" ref="Q82:Q113" si="46">IF(C82="","",IF(ROUND(($D$6-FLOOR($D$6-$T$8,$C$19-$C$18))-B82,2)&lt;0,"",ROUND(($D$6-FLOOR($D$6-$T$8,$C$19-$C$18))-B82,2)))</f>
        <v>11</v>
      </c>
      <c r="R82" s="22">
        <f t="shared" ref="R82:R113" ca="1" si="47">IF(Q82="","",J82*I82*$T$7)</f>
        <v>150.46809749999997</v>
      </c>
      <c r="S82" s="22">
        <f ca="1">IF(Q82="","",IF(Q82=0,0,SUMPRODUCT(OFFSET(M$18,MATCH(MIN(Q$18:Q$137),Q$18:Q$137,0),0,COUNT(M$18:M82)-MATCH(MIN(Q$18:Q$137),Q$18:Q$137,0),1),OFFSET(M$18,MATCH(MIN(Q$18:Q$137),Q$18:Q$137,0),1,COUNT(M$18:M82)-MATCH(MIN(Q$18:Q$137),Q$18:Q$137,0),1))*$T$6))</f>
        <v>235.96977600000005</v>
      </c>
      <c r="T82" s="22">
        <f t="shared" ref="T82:T113" ca="1" si="48">IF(Q82="","",R82+S82)</f>
        <v>386.43787350000002</v>
      </c>
      <c r="V82" s="22">
        <f ca="1">IF(Q82="","",IF(Q82=0,0,SUMPRODUCT(OFFSET(M$18,MATCH(MIN(Q$18:Q$137),Q$18:Q$137,0),0,COUNT(M$18:M82)-MATCH(MIN(Q$18:Q$137),Q$18:Q$137,0),1),OFFSET(M$18,MATCH(MIN(Q$18:Q$137),Q$18:Q$137,0),2,COUNT(M$18:M82)-MATCH(MIN(Q$18:Q$137),Q$18:Q$137,0),1))*$T$6*$T$14))</f>
        <v>0</v>
      </c>
      <c r="W82" s="29"/>
      <c r="X82" s="23">
        <f t="shared" ref="X82:X113" ca="1" si="49">IF(Q82="","",MAX(0,(T82/1.25-V82)/9.81-2.5*1.1*$T$7*Q82))</f>
        <v>27.808166926605505</v>
      </c>
      <c r="Z82" s="15">
        <f t="shared" si="34"/>
        <v>13.65</v>
      </c>
      <c r="AA82" s="15">
        <f t="shared" si="35"/>
        <v>15.4</v>
      </c>
      <c r="AC82" s="15">
        <f t="shared" si="36"/>
        <v>62</v>
      </c>
      <c r="AD82" s="15">
        <f t="shared" si="37"/>
        <v>72</v>
      </c>
      <c r="AF82" s="15">
        <f t="shared" ca="1" si="38"/>
        <v>11</v>
      </c>
      <c r="AH82" s="15">
        <f t="shared" ref="AH82:AH113" si="50">MATCH(B82,D$6:D$15,-1)</f>
        <v>3</v>
      </c>
      <c r="AI82" s="38">
        <f t="shared" ca="1" si="19"/>
        <v>25.222827144313385</v>
      </c>
      <c r="AJ82" s="29"/>
      <c r="AK82" s="29"/>
      <c r="AL82" s="29"/>
    </row>
    <row r="83" spans="1:38" x14ac:dyDescent="0.2">
      <c r="A83" s="15">
        <v>66</v>
      </c>
      <c r="B83" s="2">
        <f t="shared" si="39"/>
        <v>177.06</v>
      </c>
      <c r="C83" s="25">
        <v>14.2</v>
      </c>
      <c r="D83" s="25">
        <v>1.2</v>
      </c>
      <c r="E83" s="25">
        <v>11.52</v>
      </c>
      <c r="F83" s="3" t="str">
        <f t="shared" ca="1" si="40"/>
        <v>ИГЭ-3</v>
      </c>
      <c r="G83" s="30" t="str">
        <f t="shared" ca="1" si="41"/>
        <v>пыл.-глинист.</v>
      </c>
      <c r="I83" s="13">
        <f t="shared" ref="I83:I114" ca="1" si="51">IF(D83="","",ROUND(AVERAGE(OFFSET($D$17,MATCH(MAX(FLOOR(C83-$T$5,(C83-C82)),C$18),C$18:C$137),0,MATCH(MIN(CEILING(C83+4*$T$5,(C83-C82)),C$137),C$18:C$137)-MATCH(MAX(FLOOR(C83-$T$5,(C83-C82)),C$18),C$18:C$137)+1,1))*1000,0))</f>
        <v>1505</v>
      </c>
      <c r="J83" s="14">
        <f t="shared" ca="1" si="42"/>
        <v>0.86599999999999999</v>
      </c>
      <c r="L83" s="14">
        <f t="shared" ca="1" si="43"/>
        <v>1</v>
      </c>
      <c r="M83" s="22">
        <f t="shared" ref="M83:M114" ca="1" si="52">IF(L83="","",(C83-C82)*SUMPRODUCT(E82:E83,L82:L83)/2)</f>
        <v>2.0739999999999927</v>
      </c>
      <c r="N83" s="37">
        <f t="shared" ca="1" si="44"/>
        <v>1</v>
      </c>
      <c r="O83" s="37">
        <f t="shared" ca="1" si="45"/>
        <v>0</v>
      </c>
      <c r="Q83" s="22">
        <f t="shared" si="46"/>
        <v>11.2</v>
      </c>
      <c r="R83" s="22">
        <f t="shared" ca="1" si="47"/>
        <v>159.65792499999998</v>
      </c>
      <c r="S83" s="22">
        <f ca="1">IF(Q83="","",IF(Q83=0,0,SUMPRODUCT(OFFSET(M$18,MATCH(MIN(Q$18:Q$137),Q$18:Q$137,0),0,COUNT(M$18:M83)-MATCH(MIN(Q$18:Q$137),Q$18:Q$137,0),1),OFFSET(M$18,MATCH(MIN(Q$18:Q$137),Q$18:Q$137,0),1,COUNT(M$18:M83)-MATCH(MIN(Q$18:Q$137),Q$18:Q$137,0),1))*$T$6))</f>
        <v>238.87337600000004</v>
      </c>
      <c r="T83" s="22">
        <f t="shared" ca="1" si="48"/>
        <v>398.53130099999998</v>
      </c>
      <c r="V83" s="22">
        <f ca="1">IF(Q83="","",IF(Q83=0,0,SUMPRODUCT(OFFSET(M$18,MATCH(MIN(Q$18:Q$137),Q$18:Q$137,0),0,COUNT(M$18:M83)-MATCH(MIN(Q$18:Q$137),Q$18:Q$137,0),1),OFFSET(M$18,MATCH(MIN(Q$18:Q$137),Q$18:Q$137,0),2,COUNT(M$18:M83)-MATCH(MIN(Q$18:Q$137),Q$18:Q$137,0),1))*$T$6*$T$14))</f>
        <v>0</v>
      </c>
      <c r="W83" s="29"/>
      <c r="X83" s="23">
        <f t="shared" ca="1" si="49"/>
        <v>28.727004159021408</v>
      </c>
      <c r="Z83" s="15">
        <f t="shared" ref="Z83:Z114" si="53">C83-T$5</f>
        <v>13.85</v>
      </c>
      <c r="AA83" s="15">
        <f t="shared" ref="AA83:AA114" si="54">C83+4*T$5</f>
        <v>15.6</v>
      </c>
      <c r="AC83" s="15">
        <f t="shared" ref="AC83:AC114" si="55">MATCH(MAX(FLOOR(C83-$T$5,(C83-C82)),C$18),C$18:C$137)</f>
        <v>63</v>
      </c>
      <c r="AD83" s="15">
        <f t="shared" ref="AD83:AD114" si="56">MATCH(MIN(CEILING(C83+4*$T$5,(C83-C82)),C$137),C$18:C$137)</f>
        <v>73</v>
      </c>
      <c r="AF83" s="15">
        <f t="shared" ref="AF83:AF114" ca="1" si="57">COUNT(OFFSET($D$17,AC83,0,AD83-AC83+1,1))</f>
        <v>11</v>
      </c>
      <c r="AH83" s="15">
        <f t="shared" si="50"/>
        <v>3</v>
      </c>
      <c r="AI83" s="38">
        <f t="shared" ca="1" si="19"/>
        <v>26.056239600019424</v>
      </c>
      <c r="AJ83" s="29"/>
      <c r="AK83" s="29"/>
      <c r="AL83" s="29"/>
    </row>
    <row r="84" spans="1:38" x14ac:dyDescent="0.2">
      <c r="A84" s="15">
        <v>67</v>
      </c>
      <c r="B84" s="2">
        <f t="shared" si="39"/>
        <v>176.86</v>
      </c>
      <c r="C84" s="25">
        <v>14.4</v>
      </c>
      <c r="D84" s="25">
        <v>1.56</v>
      </c>
      <c r="E84" s="25">
        <v>13.82</v>
      </c>
      <c r="F84" s="3" t="str">
        <f t="shared" ca="1" si="40"/>
        <v>ИГЭ-3</v>
      </c>
      <c r="G84" s="30" t="str">
        <f t="shared" ca="1" si="41"/>
        <v>пыл.-глинист.</v>
      </c>
      <c r="I84" s="13">
        <f t="shared" ca="1" si="51"/>
        <v>1680</v>
      </c>
      <c r="J84" s="14">
        <f t="shared" ca="1" si="42"/>
        <v>0.85399999999999998</v>
      </c>
      <c r="L84" s="14">
        <f t="shared" ca="1" si="43"/>
        <v>1</v>
      </c>
      <c r="M84" s="22">
        <f t="shared" ca="1" si="52"/>
        <v>2.5340000000000136</v>
      </c>
      <c r="N84" s="37">
        <f t="shared" ca="1" si="44"/>
        <v>1</v>
      </c>
      <c r="O84" s="37">
        <f t="shared" ca="1" si="45"/>
        <v>0</v>
      </c>
      <c r="Q84" s="22">
        <f t="shared" si="46"/>
        <v>11.4</v>
      </c>
      <c r="R84" s="22">
        <f t="shared" ca="1" si="47"/>
        <v>175.75319999999999</v>
      </c>
      <c r="S84" s="22">
        <f ca="1">IF(Q84="","",IF(Q84=0,0,SUMPRODUCT(OFFSET(M$18,MATCH(MIN(Q$18:Q$137),Q$18:Q$137,0),0,COUNT(M$18:M84)-MATCH(MIN(Q$18:Q$137),Q$18:Q$137,0),1),OFFSET(M$18,MATCH(MIN(Q$18:Q$137),Q$18:Q$137,0),1,COUNT(M$18:M84)-MATCH(MIN(Q$18:Q$137),Q$18:Q$137,0),1))*$T$6))</f>
        <v>242.42097600000005</v>
      </c>
      <c r="T84" s="22">
        <f t="shared" ca="1" si="48"/>
        <v>418.17417600000005</v>
      </c>
      <c r="V84" s="22">
        <f ca="1">IF(Q84="","",IF(Q84=0,0,SUMPRODUCT(OFFSET(M$18,MATCH(MIN(Q$18:Q$137),Q$18:Q$137,0),0,COUNT(M$18:M84)-MATCH(MIN(Q$18:Q$137),Q$18:Q$137,0),1),OFFSET(M$18,MATCH(MIN(Q$18:Q$137),Q$18:Q$137,0),2,COUNT(M$18:M84)-MATCH(MIN(Q$18:Q$137),Q$18:Q$137,0),1))*$T$6*$T$14))</f>
        <v>0</v>
      </c>
      <c r="W84" s="29"/>
      <c r="X84" s="23">
        <f t="shared" ca="1" si="49"/>
        <v>30.261494602446483</v>
      </c>
      <c r="Z84" s="15">
        <f t="shared" si="53"/>
        <v>14.05</v>
      </c>
      <c r="AA84" s="15">
        <f t="shared" si="54"/>
        <v>15.8</v>
      </c>
      <c r="AC84" s="15">
        <f t="shared" si="55"/>
        <v>65</v>
      </c>
      <c r="AD84" s="15">
        <f t="shared" si="56"/>
        <v>74</v>
      </c>
      <c r="AF84" s="15">
        <f t="shared" ca="1" si="57"/>
        <v>10</v>
      </c>
      <c r="AH84" s="15">
        <f t="shared" si="50"/>
        <v>3</v>
      </c>
      <c r="AI84" s="38">
        <f t="shared" ref="AI84:AI137" ca="1" si="58">X84/T$5/T$5/9</f>
        <v>27.44806766661813</v>
      </c>
      <c r="AJ84" s="29"/>
      <c r="AK84" s="29"/>
      <c r="AL84" s="29"/>
    </row>
    <row r="85" spans="1:38" x14ac:dyDescent="0.2">
      <c r="A85" s="15">
        <v>68</v>
      </c>
      <c r="B85" s="2">
        <f t="shared" si="39"/>
        <v>176.66</v>
      </c>
      <c r="C85" s="25">
        <v>14.6</v>
      </c>
      <c r="D85" s="25">
        <v>1.68</v>
      </c>
      <c r="E85" s="25">
        <v>23.04</v>
      </c>
      <c r="F85" s="3" t="str">
        <f t="shared" ca="1" si="40"/>
        <v>ИГЭ-3</v>
      </c>
      <c r="G85" s="30" t="str">
        <f t="shared" ca="1" si="41"/>
        <v>пыл.-глинист.</v>
      </c>
      <c r="I85" s="13">
        <f t="shared" ca="1" si="51"/>
        <v>1724</v>
      </c>
      <c r="J85" s="14">
        <f t="shared" ca="1" si="42"/>
        <v>0.85099999999999998</v>
      </c>
      <c r="L85" s="14">
        <f t="shared" ca="1" si="43"/>
        <v>0.96199999999999997</v>
      </c>
      <c r="M85" s="22">
        <f t="shared" ca="1" si="52"/>
        <v>3.598447999999987</v>
      </c>
      <c r="N85" s="37">
        <f t="shared" ca="1" si="44"/>
        <v>1</v>
      </c>
      <c r="O85" s="37">
        <f t="shared" ca="1" si="45"/>
        <v>0</v>
      </c>
      <c r="Q85" s="22">
        <f t="shared" si="46"/>
        <v>11.6</v>
      </c>
      <c r="R85" s="22">
        <f t="shared" ca="1" si="47"/>
        <v>179.72268999999997</v>
      </c>
      <c r="S85" s="22">
        <f ca="1">IF(Q85="","",IF(Q85=0,0,SUMPRODUCT(OFFSET(M$18,MATCH(MIN(Q$18:Q$137),Q$18:Q$137,0),0,COUNT(M$18:M85)-MATCH(MIN(Q$18:Q$137),Q$18:Q$137,0),1),OFFSET(M$18,MATCH(MIN(Q$18:Q$137),Q$18:Q$137,0),1,COUNT(M$18:M85)-MATCH(MIN(Q$18:Q$137),Q$18:Q$137,0),1))*$T$6))</f>
        <v>247.45880320000003</v>
      </c>
      <c r="T85" s="22">
        <f t="shared" ca="1" si="48"/>
        <v>427.18149319999998</v>
      </c>
      <c r="V85" s="22">
        <f ca="1">IF(Q85="","",IF(Q85=0,0,SUMPRODUCT(OFFSET(M$18,MATCH(MIN(Q$18:Q$137),Q$18:Q$137,0),0,COUNT(M$18:M85)-MATCH(MIN(Q$18:Q$137),Q$18:Q$137,0),1),OFFSET(M$18,MATCH(MIN(Q$18:Q$137),Q$18:Q$137,0),2,COUNT(M$18:M85)-MATCH(MIN(Q$18:Q$137),Q$18:Q$137,0),1))*$T$6*$T$14))</f>
        <v>0</v>
      </c>
      <c r="W85" s="29"/>
      <c r="X85" s="23">
        <f t="shared" ca="1" si="49"/>
        <v>30.928661270132508</v>
      </c>
      <c r="Z85" s="15">
        <f t="shared" si="53"/>
        <v>14.25</v>
      </c>
      <c r="AA85" s="15">
        <f t="shared" si="54"/>
        <v>16</v>
      </c>
      <c r="AC85" s="15">
        <f t="shared" si="55"/>
        <v>65</v>
      </c>
      <c r="AD85" s="15">
        <f t="shared" si="56"/>
        <v>75</v>
      </c>
      <c r="AF85" s="15">
        <f t="shared" ca="1" si="57"/>
        <v>11</v>
      </c>
      <c r="AH85" s="15">
        <f t="shared" si="50"/>
        <v>3</v>
      </c>
      <c r="AI85" s="38">
        <f t="shared" ca="1" si="58"/>
        <v>28.053207501253983</v>
      </c>
      <c r="AJ85" s="29"/>
      <c r="AK85" s="29"/>
      <c r="AL85" s="29"/>
    </row>
    <row r="86" spans="1:38" x14ac:dyDescent="0.2">
      <c r="A86" s="15">
        <v>69</v>
      </c>
      <c r="B86" s="2">
        <f t="shared" si="39"/>
        <v>176.46</v>
      </c>
      <c r="C86" s="25">
        <v>14.8</v>
      </c>
      <c r="D86" s="25">
        <v>1.68</v>
      </c>
      <c r="E86" s="25">
        <v>27.65</v>
      </c>
      <c r="F86" s="3" t="str">
        <f t="shared" ca="1" si="40"/>
        <v>ИГЭ-3</v>
      </c>
      <c r="G86" s="30" t="str">
        <f t="shared" ca="1" si="41"/>
        <v>пыл.-глинист.</v>
      </c>
      <c r="I86" s="13">
        <f t="shared" ca="1" si="51"/>
        <v>1872</v>
      </c>
      <c r="J86" s="14">
        <f t="shared" ca="1" si="42"/>
        <v>0.84199999999999997</v>
      </c>
      <c r="L86" s="14">
        <f t="shared" ca="1" si="43"/>
        <v>0.90400000000000003</v>
      </c>
      <c r="M86" s="22">
        <f t="shared" ca="1" si="52"/>
        <v>4.7160080000000244</v>
      </c>
      <c r="N86" s="37">
        <f t="shared" ca="1" si="44"/>
        <v>1</v>
      </c>
      <c r="O86" s="37">
        <f t="shared" ca="1" si="45"/>
        <v>0</v>
      </c>
      <c r="Q86" s="22">
        <f t="shared" si="46"/>
        <v>11.8</v>
      </c>
      <c r="R86" s="22">
        <f t="shared" ca="1" si="47"/>
        <v>193.08743999999996</v>
      </c>
      <c r="S86" s="22">
        <f ca="1">IF(Q86="","",IF(Q86=0,0,SUMPRODUCT(OFFSET(M$18,MATCH(MIN(Q$18:Q$137),Q$18:Q$137,0),0,COUNT(M$18:M86)-MATCH(MIN(Q$18:Q$137),Q$18:Q$137,0),1),OFFSET(M$18,MATCH(MIN(Q$18:Q$137),Q$18:Q$137,0),1,COUNT(M$18:M86)-MATCH(MIN(Q$18:Q$137),Q$18:Q$137,0),1))*$T$6))</f>
        <v>254.06121440000007</v>
      </c>
      <c r="T86" s="22">
        <f t="shared" ca="1" si="48"/>
        <v>447.14865440000005</v>
      </c>
      <c r="V86" s="22">
        <f ca="1">IF(Q86="","",IF(Q86=0,0,SUMPRODUCT(OFFSET(M$18,MATCH(MIN(Q$18:Q$137),Q$18:Q$137,0),0,COUNT(M$18:M86)-MATCH(MIN(Q$18:Q$137),Q$18:Q$137,0),1),OFFSET(M$18,MATCH(MIN(Q$18:Q$137),Q$18:Q$137,0),2,COUNT(M$18:M86)-MATCH(MIN(Q$18:Q$137),Q$18:Q$137,0),1))*$T$6*$T$14))</f>
        <v>0</v>
      </c>
      <c r="W86" s="29"/>
      <c r="X86" s="23">
        <f t="shared" ca="1" si="49"/>
        <v>32.48959707135576</v>
      </c>
      <c r="Z86" s="15">
        <f t="shared" si="53"/>
        <v>14.450000000000001</v>
      </c>
      <c r="AA86" s="15">
        <f t="shared" si="54"/>
        <v>16.2</v>
      </c>
      <c r="AC86" s="15">
        <f t="shared" si="55"/>
        <v>67</v>
      </c>
      <c r="AD86" s="15">
        <f t="shared" si="56"/>
        <v>76</v>
      </c>
      <c r="AF86" s="15">
        <f t="shared" ca="1" si="57"/>
        <v>10</v>
      </c>
      <c r="AH86" s="15">
        <f t="shared" si="50"/>
        <v>3</v>
      </c>
      <c r="AI86" s="38">
        <f t="shared" ca="1" si="58"/>
        <v>29.469022286944</v>
      </c>
      <c r="AJ86" s="29"/>
      <c r="AK86" s="29"/>
      <c r="AL86" s="29"/>
    </row>
    <row r="87" spans="1:38" x14ac:dyDescent="0.2">
      <c r="A87" s="15">
        <v>70</v>
      </c>
      <c r="B87" s="2">
        <f t="shared" si="39"/>
        <v>176.26</v>
      </c>
      <c r="C87" s="25">
        <v>15</v>
      </c>
      <c r="D87" s="25">
        <v>1.8</v>
      </c>
      <c r="E87" s="25">
        <v>27.65</v>
      </c>
      <c r="F87" s="3" t="str">
        <f t="shared" ca="1" si="40"/>
        <v>ИГЭ-3</v>
      </c>
      <c r="G87" s="30" t="str">
        <f t="shared" ca="1" si="41"/>
        <v>пыл.-глинист.</v>
      </c>
      <c r="I87" s="13">
        <f t="shared" ca="1" si="51"/>
        <v>1887</v>
      </c>
      <c r="J87" s="14">
        <f t="shared" ca="1" si="42"/>
        <v>0.84099999999999997</v>
      </c>
      <c r="L87" s="14">
        <f t="shared" ca="1" si="43"/>
        <v>0.90400000000000003</v>
      </c>
      <c r="M87" s="22">
        <f t="shared" ca="1" si="52"/>
        <v>4.9991199999999818</v>
      </c>
      <c r="N87" s="37">
        <f t="shared" ca="1" si="44"/>
        <v>1</v>
      </c>
      <c r="O87" s="37">
        <f t="shared" ca="1" si="45"/>
        <v>0</v>
      </c>
      <c r="Q87" s="22">
        <f t="shared" si="46"/>
        <v>12</v>
      </c>
      <c r="R87" s="22">
        <f t="shared" ca="1" si="47"/>
        <v>194.40345749999994</v>
      </c>
      <c r="S87" s="22">
        <f ca="1">IF(Q87="","",IF(Q87=0,0,SUMPRODUCT(OFFSET(M$18,MATCH(MIN(Q$18:Q$137),Q$18:Q$137,0),0,COUNT(M$18:M87)-MATCH(MIN(Q$18:Q$137),Q$18:Q$137,0),1),OFFSET(M$18,MATCH(MIN(Q$18:Q$137),Q$18:Q$137,0),1,COUNT(M$18:M87)-MATCH(MIN(Q$18:Q$137),Q$18:Q$137,0),1))*$T$6))</f>
        <v>261.05998240000002</v>
      </c>
      <c r="T87" s="22">
        <f t="shared" ca="1" si="48"/>
        <v>455.46343989999997</v>
      </c>
      <c r="V87" s="22">
        <f ca="1">IF(Q87="","",IF(Q87=0,0,SUMPRODUCT(OFFSET(M$18,MATCH(MIN(Q$18:Q$137),Q$18:Q$137,0),0,COUNT(M$18:M87)-MATCH(MIN(Q$18:Q$137),Q$18:Q$137,0),1),OFFSET(M$18,MATCH(MIN(Q$18:Q$137),Q$18:Q$137,0),2,COUNT(M$18:M87)-MATCH(MIN(Q$18:Q$137),Q$18:Q$137,0),1))*$T$6*$T$14))</f>
        <v>0</v>
      </c>
      <c r="W87" s="29"/>
      <c r="X87" s="23">
        <f t="shared" ca="1" si="49"/>
        <v>33.100288167176352</v>
      </c>
      <c r="Z87" s="15">
        <f t="shared" si="53"/>
        <v>14.65</v>
      </c>
      <c r="AA87" s="15">
        <f t="shared" si="54"/>
        <v>16.399999999999999</v>
      </c>
      <c r="AC87" s="15">
        <f t="shared" si="55"/>
        <v>67</v>
      </c>
      <c r="AD87" s="15">
        <f t="shared" si="56"/>
        <v>77</v>
      </c>
      <c r="AF87" s="15">
        <f t="shared" ca="1" si="57"/>
        <v>11</v>
      </c>
      <c r="AH87" s="15">
        <f t="shared" si="50"/>
        <v>3</v>
      </c>
      <c r="AI87" s="38">
        <f t="shared" ca="1" si="58"/>
        <v>30.022937113085131</v>
      </c>
      <c r="AJ87" s="29"/>
      <c r="AK87" s="29"/>
      <c r="AL87" s="29"/>
    </row>
    <row r="88" spans="1:38" x14ac:dyDescent="0.2">
      <c r="A88" s="15">
        <v>71</v>
      </c>
      <c r="B88" s="2">
        <f t="shared" si="39"/>
        <v>176.06</v>
      </c>
      <c r="C88" s="25">
        <v>15.2</v>
      </c>
      <c r="D88" s="25">
        <v>1.8</v>
      </c>
      <c r="E88" s="25">
        <v>46.08</v>
      </c>
      <c r="F88" s="3" t="str">
        <f t="shared" ca="1" si="40"/>
        <v>ИГЭ-3</v>
      </c>
      <c r="G88" s="30" t="str">
        <f t="shared" ca="1" si="41"/>
        <v>пыл.-глинист.</v>
      </c>
      <c r="I88" s="13">
        <f t="shared" ca="1" si="51"/>
        <v>1920</v>
      </c>
      <c r="J88" s="14">
        <f t="shared" ca="1" si="42"/>
        <v>0.83799999999999997</v>
      </c>
      <c r="L88" s="14">
        <f t="shared" ca="1" si="43"/>
        <v>0.70399999999999996</v>
      </c>
      <c r="M88" s="22">
        <f t="shared" ca="1" si="52"/>
        <v>5.7435919999999792</v>
      </c>
      <c r="N88" s="37">
        <f t="shared" ca="1" si="44"/>
        <v>1</v>
      </c>
      <c r="O88" s="37">
        <f t="shared" ca="1" si="45"/>
        <v>0</v>
      </c>
      <c r="Q88" s="22">
        <f t="shared" si="46"/>
        <v>12.2</v>
      </c>
      <c r="R88" s="22">
        <f t="shared" ca="1" si="47"/>
        <v>197.09759999999997</v>
      </c>
      <c r="S88" s="22">
        <f ca="1">IF(Q88="","",IF(Q88=0,0,SUMPRODUCT(OFFSET(M$18,MATCH(MIN(Q$18:Q$137),Q$18:Q$137,0),0,COUNT(M$18:M88)-MATCH(MIN(Q$18:Q$137),Q$18:Q$137,0),1),OFFSET(M$18,MATCH(MIN(Q$18:Q$137),Q$18:Q$137,0),1,COUNT(M$18:M88)-MATCH(MIN(Q$18:Q$137),Q$18:Q$137,0),1))*$T$6))</f>
        <v>269.10101120000002</v>
      </c>
      <c r="T88" s="22">
        <f t="shared" ca="1" si="48"/>
        <v>466.19861119999996</v>
      </c>
      <c r="V88" s="22">
        <f ca="1">IF(Q88="","",IF(Q88=0,0,SUMPRODUCT(OFFSET(M$18,MATCH(MIN(Q$18:Q$137),Q$18:Q$137,0),0,COUNT(M$18:M88)-MATCH(MIN(Q$18:Q$137),Q$18:Q$137,0),1),OFFSET(M$18,MATCH(MIN(Q$18:Q$137),Q$18:Q$137,0),2,COUNT(M$18:M88)-MATCH(MIN(Q$18:Q$137),Q$18:Q$137,0),1))*$T$6*$T$14))</f>
        <v>0</v>
      </c>
      <c r="W88" s="29"/>
      <c r="X88" s="23">
        <f t="shared" ca="1" si="49"/>
        <v>33.90836036799184</v>
      </c>
      <c r="Z88" s="15">
        <f t="shared" si="53"/>
        <v>14.85</v>
      </c>
      <c r="AA88" s="15">
        <f t="shared" si="54"/>
        <v>16.599999999999998</v>
      </c>
      <c r="AC88" s="15">
        <f t="shared" si="55"/>
        <v>68</v>
      </c>
      <c r="AD88" s="15">
        <f t="shared" si="56"/>
        <v>78</v>
      </c>
      <c r="AF88" s="15">
        <f t="shared" ca="1" si="57"/>
        <v>11</v>
      </c>
      <c r="AH88" s="15">
        <f t="shared" si="50"/>
        <v>3</v>
      </c>
      <c r="AI88" s="38">
        <f t="shared" ca="1" si="58"/>
        <v>30.755882419947252</v>
      </c>
      <c r="AJ88" s="29"/>
      <c r="AK88" s="29"/>
      <c r="AL88" s="29"/>
    </row>
    <row r="89" spans="1:38" x14ac:dyDescent="0.2">
      <c r="A89" s="15">
        <v>72</v>
      </c>
      <c r="B89" s="2">
        <f t="shared" si="39"/>
        <v>175.86</v>
      </c>
      <c r="C89" s="25">
        <v>15.4</v>
      </c>
      <c r="D89" s="25">
        <v>1.8</v>
      </c>
      <c r="E89" s="25">
        <v>39.17</v>
      </c>
      <c r="F89" s="3" t="str">
        <f t="shared" ca="1" si="40"/>
        <v>ИГЭ-3</v>
      </c>
      <c r="G89" s="30" t="str">
        <f t="shared" ca="1" si="41"/>
        <v>пыл.-глинист.</v>
      </c>
      <c r="I89" s="13">
        <f t="shared" ca="1" si="51"/>
        <v>1968</v>
      </c>
      <c r="J89" s="14">
        <f t="shared" ca="1" si="42"/>
        <v>0.83499999999999996</v>
      </c>
      <c r="L89" s="14">
        <f t="shared" ca="1" si="43"/>
        <v>0.76</v>
      </c>
      <c r="M89" s="22">
        <f t="shared" ca="1" si="52"/>
        <v>6.2209520000000333</v>
      </c>
      <c r="N89" s="37">
        <f t="shared" ca="1" si="44"/>
        <v>1</v>
      </c>
      <c r="O89" s="37">
        <f t="shared" ca="1" si="45"/>
        <v>0</v>
      </c>
      <c r="Q89" s="22">
        <f t="shared" si="46"/>
        <v>12.4</v>
      </c>
      <c r="R89" s="22">
        <f t="shared" ca="1" si="47"/>
        <v>201.30179999999996</v>
      </c>
      <c r="S89" s="22">
        <f ca="1">IF(Q89="","",IF(Q89=0,0,SUMPRODUCT(OFFSET(M$18,MATCH(MIN(Q$18:Q$137),Q$18:Q$137,0),0,COUNT(M$18:M89)-MATCH(MIN(Q$18:Q$137),Q$18:Q$137,0),1),OFFSET(M$18,MATCH(MIN(Q$18:Q$137),Q$18:Q$137,0),1,COUNT(M$18:M89)-MATCH(MIN(Q$18:Q$137),Q$18:Q$137,0),1))*$T$6))</f>
        <v>277.81034400000004</v>
      </c>
      <c r="T89" s="22">
        <f t="shared" ca="1" si="48"/>
        <v>479.112144</v>
      </c>
      <c r="V89" s="22">
        <f ca="1">IF(Q89="","",IF(Q89=0,0,SUMPRODUCT(OFFSET(M$18,MATCH(MIN(Q$18:Q$137),Q$18:Q$137,0),0,COUNT(M$18:M89)-MATCH(MIN(Q$18:Q$137),Q$18:Q$137,0),1),OFFSET(M$18,MATCH(MIN(Q$18:Q$137),Q$18:Q$137,0),2,COUNT(M$18:M89)-MATCH(MIN(Q$18:Q$137),Q$18:Q$137,0),1))*$T$6*$T$14))</f>
        <v>0</v>
      </c>
      <c r="W89" s="29"/>
      <c r="X89" s="23">
        <f t="shared" ca="1" si="49"/>
        <v>34.89407672782874</v>
      </c>
      <c r="Z89" s="15">
        <f t="shared" si="53"/>
        <v>15.05</v>
      </c>
      <c r="AA89" s="15">
        <f t="shared" si="54"/>
        <v>16.8</v>
      </c>
      <c r="AC89" s="15">
        <f t="shared" si="55"/>
        <v>70</v>
      </c>
      <c r="AD89" s="15">
        <f t="shared" si="56"/>
        <v>79</v>
      </c>
      <c r="AF89" s="15">
        <f t="shared" ca="1" si="57"/>
        <v>10</v>
      </c>
      <c r="AH89" s="15">
        <f t="shared" si="50"/>
        <v>3</v>
      </c>
      <c r="AI89" s="38">
        <f t="shared" ca="1" si="58"/>
        <v>31.649956215717687</v>
      </c>
      <c r="AJ89" s="29"/>
      <c r="AK89" s="29"/>
      <c r="AL89" s="29"/>
    </row>
    <row r="90" spans="1:38" x14ac:dyDescent="0.2">
      <c r="A90" s="15">
        <v>73</v>
      </c>
      <c r="B90" s="2">
        <f t="shared" si="39"/>
        <v>175.66</v>
      </c>
      <c r="C90" s="25">
        <v>15.6</v>
      </c>
      <c r="D90" s="25">
        <v>1.92</v>
      </c>
      <c r="E90" s="25">
        <v>41.47</v>
      </c>
      <c r="F90" s="3" t="str">
        <f t="shared" ca="1" si="40"/>
        <v>ИГЭ-3</v>
      </c>
      <c r="G90" s="30" t="str">
        <f t="shared" ca="1" si="41"/>
        <v>пыл.-глинист.</v>
      </c>
      <c r="I90" s="13">
        <f t="shared" ca="1" si="51"/>
        <v>1964</v>
      </c>
      <c r="J90" s="14">
        <f t="shared" ca="1" si="42"/>
        <v>0.83499999999999996</v>
      </c>
      <c r="L90" s="14">
        <f t="shared" ca="1" si="43"/>
        <v>0.73899999999999999</v>
      </c>
      <c r="M90" s="22">
        <f t="shared" ca="1" si="52"/>
        <v>6.0415529999999791</v>
      </c>
      <c r="N90" s="37">
        <f t="shared" ca="1" si="44"/>
        <v>1</v>
      </c>
      <c r="O90" s="37">
        <f t="shared" ca="1" si="45"/>
        <v>0</v>
      </c>
      <c r="Q90" s="22">
        <f t="shared" si="46"/>
        <v>12.6</v>
      </c>
      <c r="R90" s="22">
        <f t="shared" ca="1" si="47"/>
        <v>200.89264999999995</v>
      </c>
      <c r="S90" s="22">
        <f ca="1">IF(Q90="","",IF(Q90=0,0,SUMPRODUCT(OFFSET(M$18,MATCH(MIN(Q$18:Q$137),Q$18:Q$137,0),0,COUNT(M$18:M90)-MATCH(MIN(Q$18:Q$137),Q$18:Q$137,0),1),OFFSET(M$18,MATCH(MIN(Q$18:Q$137),Q$18:Q$137,0),1,COUNT(M$18:M90)-MATCH(MIN(Q$18:Q$137),Q$18:Q$137,0),1))*$T$6))</f>
        <v>286.26851820000002</v>
      </c>
      <c r="T90" s="22">
        <f t="shared" ca="1" si="48"/>
        <v>487.16116819999996</v>
      </c>
      <c r="V90" s="22">
        <f ca="1">IF(Q90="","",IF(Q90=0,0,SUMPRODUCT(OFFSET(M$18,MATCH(MIN(Q$18:Q$137),Q$18:Q$137,0),0,COUNT(M$18:M90)-MATCH(MIN(Q$18:Q$137),Q$18:Q$137,0),1),OFFSET(M$18,MATCH(MIN(Q$18:Q$137),Q$18:Q$137,0),2,COUNT(M$18:M90)-MATCH(MIN(Q$18:Q$137),Q$18:Q$137,0),1))*$T$6*$T$14))</f>
        <v>0</v>
      </c>
      <c r="W90" s="29"/>
      <c r="X90" s="23">
        <f t="shared" ca="1" si="49"/>
        <v>35.483095138634042</v>
      </c>
      <c r="Z90" s="15">
        <f t="shared" si="53"/>
        <v>15.25</v>
      </c>
      <c r="AA90" s="15">
        <f t="shared" si="54"/>
        <v>17</v>
      </c>
      <c r="AC90" s="15">
        <f t="shared" si="55"/>
        <v>70</v>
      </c>
      <c r="AD90" s="15">
        <f t="shared" si="56"/>
        <v>80</v>
      </c>
      <c r="AF90" s="15">
        <f t="shared" ca="1" si="57"/>
        <v>11</v>
      </c>
      <c r="AH90" s="15">
        <f t="shared" si="50"/>
        <v>3</v>
      </c>
      <c r="AI90" s="38">
        <f t="shared" ca="1" si="58"/>
        <v>32.184213277672605</v>
      </c>
      <c r="AJ90" s="29"/>
      <c r="AK90" s="29"/>
      <c r="AL90" s="29"/>
    </row>
    <row r="91" spans="1:38" x14ac:dyDescent="0.2">
      <c r="A91" s="15">
        <v>74</v>
      </c>
      <c r="B91" s="2">
        <f t="shared" si="39"/>
        <v>175.46</v>
      </c>
      <c r="C91" s="25">
        <v>15.8</v>
      </c>
      <c r="D91" s="25">
        <v>2.16</v>
      </c>
      <c r="E91" s="25">
        <v>41.47</v>
      </c>
      <c r="F91" s="3" t="str">
        <f t="shared" ca="1" si="40"/>
        <v>ИГЭ-3</v>
      </c>
      <c r="G91" s="30" t="str">
        <f t="shared" ca="1" si="41"/>
        <v>пыл.-глинист.</v>
      </c>
      <c r="I91" s="13">
        <f t="shared" ca="1" si="51"/>
        <v>1992</v>
      </c>
      <c r="J91" s="14">
        <f t="shared" ca="1" si="42"/>
        <v>0.83399999999999996</v>
      </c>
      <c r="L91" s="14">
        <f t="shared" ca="1" si="43"/>
        <v>0.73899999999999999</v>
      </c>
      <c r="M91" s="22">
        <f t="shared" ca="1" si="52"/>
        <v>6.1292660000000323</v>
      </c>
      <c r="N91" s="37">
        <f t="shared" ca="1" si="44"/>
        <v>1</v>
      </c>
      <c r="O91" s="37">
        <f t="shared" ca="1" si="45"/>
        <v>0</v>
      </c>
      <c r="Q91" s="22">
        <f t="shared" si="46"/>
        <v>12.8</v>
      </c>
      <c r="R91" s="22">
        <f t="shared" ca="1" si="47"/>
        <v>203.51267999999996</v>
      </c>
      <c r="S91" s="22">
        <f ca="1">IF(Q91="","",IF(Q91=0,0,SUMPRODUCT(OFFSET(M$18,MATCH(MIN(Q$18:Q$137),Q$18:Q$137,0),0,COUNT(M$18:M91)-MATCH(MIN(Q$18:Q$137),Q$18:Q$137,0),1),OFFSET(M$18,MATCH(MIN(Q$18:Q$137),Q$18:Q$137,0),1,COUNT(M$18:M91)-MATCH(MIN(Q$18:Q$137),Q$18:Q$137,0),1))*$T$6))</f>
        <v>294.84949060000008</v>
      </c>
      <c r="T91" s="22">
        <f t="shared" ca="1" si="48"/>
        <v>498.36217060000001</v>
      </c>
      <c r="V91" s="22">
        <f ca="1">IF(Q91="","",IF(Q91=0,0,SUMPRODUCT(OFFSET(M$18,MATCH(MIN(Q$18:Q$137),Q$18:Q$137,0),0,COUNT(M$18:M91)-MATCH(MIN(Q$18:Q$137),Q$18:Q$137,0),1),OFFSET(M$18,MATCH(MIN(Q$18:Q$137),Q$18:Q$137,0),2,COUNT(M$18:M91)-MATCH(MIN(Q$18:Q$137),Q$18:Q$137,0),1))*$T$6*$T$14))</f>
        <v>0</v>
      </c>
      <c r="W91" s="29"/>
      <c r="X91" s="23">
        <f t="shared" ca="1" si="49"/>
        <v>36.329155604485223</v>
      </c>
      <c r="Z91" s="15">
        <f t="shared" si="53"/>
        <v>15.450000000000001</v>
      </c>
      <c r="AA91" s="15">
        <f t="shared" si="54"/>
        <v>17.2</v>
      </c>
      <c r="AC91" s="15">
        <f t="shared" si="55"/>
        <v>72</v>
      </c>
      <c r="AD91" s="15">
        <f t="shared" si="56"/>
        <v>81</v>
      </c>
      <c r="AF91" s="15">
        <f t="shared" ca="1" si="57"/>
        <v>10</v>
      </c>
      <c r="AH91" s="15">
        <f t="shared" si="50"/>
        <v>3</v>
      </c>
      <c r="AI91" s="38">
        <f t="shared" ca="1" si="58"/>
        <v>32.951615060757575</v>
      </c>
      <c r="AJ91" s="29"/>
      <c r="AK91" s="29"/>
      <c r="AL91" s="29"/>
    </row>
    <row r="92" spans="1:38" x14ac:dyDescent="0.2">
      <c r="A92" s="15">
        <v>75</v>
      </c>
      <c r="B92" s="2">
        <f t="shared" si="39"/>
        <v>175.26</v>
      </c>
      <c r="C92" s="25">
        <v>16</v>
      </c>
      <c r="D92" s="25">
        <v>2.16</v>
      </c>
      <c r="E92" s="25">
        <v>36.86</v>
      </c>
      <c r="F92" s="3" t="str">
        <f t="shared" ca="1" si="40"/>
        <v>ИГЭ-3</v>
      </c>
      <c r="G92" s="30" t="str">
        <f t="shared" ca="1" si="41"/>
        <v>пыл.-глинист.</v>
      </c>
      <c r="I92" s="13">
        <f t="shared" ca="1" si="51"/>
        <v>2007</v>
      </c>
      <c r="J92" s="14">
        <f t="shared" ca="1" si="42"/>
        <v>0.83299999999999996</v>
      </c>
      <c r="L92" s="14">
        <f t="shared" ca="1" si="43"/>
        <v>0.78900000000000003</v>
      </c>
      <c r="M92" s="22">
        <f t="shared" ca="1" si="52"/>
        <v>5.9728869999999787</v>
      </c>
      <c r="N92" s="37">
        <f t="shared" ca="1" si="44"/>
        <v>1</v>
      </c>
      <c r="O92" s="37">
        <f t="shared" ca="1" si="45"/>
        <v>0</v>
      </c>
      <c r="Q92" s="22">
        <f t="shared" si="46"/>
        <v>13</v>
      </c>
      <c r="R92" s="22">
        <f t="shared" ca="1" si="47"/>
        <v>204.79929749999997</v>
      </c>
      <c r="S92" s="22">
        <f ca="1">IF(Q92="","",IF(Q92=0,0,SUMPRODUCT(OFFSET(M$18,MATCH(MIN(Q$18:Q$137),Q$18:Q$137,0),0,COUNT(M$18:M92)-MATCH(MIN(Q$18:Q$137),Q$18:Q$137,0),1),OFFSET(M$18,MATCH(MIN(Q$18:Q$137),Q$18:Q$137,0),1,COUNT(M$18:M92)-MATCH(MIN(Q$18:Q$137),Q$18:Q$137,0),1))*$T$6))</f>
        <v>303.21153240000007</v>
      </c>
      <c r="T92" s="22">
        <f t="shared" ca="1" si="48"/>
        <v>508.01082990000003</v>
      </c>
      <c r="V92" s="22">
        <f ca="1">IF(Q92="","",IF(Q92=0,0,SUMPRODUCT(OFFSET(M$18,MATCH(MIN(Q$18:Q$137),Q$18:Q$137,0),0,COUNT(M$18:M92)-MATCH(MIN(Q$18:Q$137),Q$18:Q$137,0),1),OFFSET(M$18,MATCH(MIN(Q$18:Q$137),Q$18:Q$137,0),2,COUNT(M$18:M92)-MATCH(MIN(Q$18:Q$137),Q$18:Q$137,0),1))*$T$6*$T$14))</f>
        <v>0</v>
      </c>
      <c r="W92" s="29"/>
      <c r="X92" s="23">
        <f t="shared" ca="1" si="49"/>
        <v>37.048623360856269</v>
      </c>
      <c r="Z92" s="15">
        <f t="shared" si="53"/>
        <v>15.65</v>
      </c>
      <c r="AA92" s="15">
        <f t="shared" si="54"/>
        <v>17.399999999999999</v>
      </c>
      <c r="AC92" s="15">
        <f t="shared" si="55"/>
        <v>72</v>
      </c>
      <c r="AD92" s="15">
        <f t="shared" si="56"/>
        <v>82</v>
      </c>
      <c r="AF92" s="15">
        <f t="shared" ca="1" si="57"/>
        <v>11</v>
      </c>
      <c r="AH92" s="15">
        <f t="shared" si="50"/>
        <v>3</v>
      </c>
      <c r="AI92" s="38">
        <f t="shared" ca="1" si="58"/>
        <v>33.604193524586186</v>
      </c>
      <c r="AJ92" s="29"/>
      <c r="AK92" s="29"/>
      <c r="AL92" s="29"/>
    </row>
    <row r="93" spans="1:38" x14ac:dyDescent="0.2">
      <c r="A93" s="15">
        <v>76</v>
      </c>
      <c r="B93" s="2">
        <f t="shared" si="39"/>
        <v>175.06</v>
      </c>
      <c r="C93" s="25">
        <v>16.2</v>
      </c>
      <c r="D93" s="25">
        <v>2.16</v>
      </c>
      <c r="E93" s="25">
        <v>36.86</v>
      </c>
      <c r="F93" s="3" t="str">
        <f t="shared" ca="1" si="40"/>
        <v>ИГЭ-3</v>
      </c>
      <c r="G93" s="30" t="str">
        <f t="shared" ca="1" si="41"/>
        <v>пыл.-глинист.</v>
      </c>
      <c r="I93" s="13">
        <f t="shared" ca="1" si="51"/>
        <v>2040</v>
      </c>
      <c r="J93" s="14">
        <f t="shared" ca="1" si="42"/>
        <v>0.83</v>
      </c>
      <c r="L93" s="14">
        <f t="shared" ca="1" si="43"/>
        <v>0.78900000000000003</v>
      </c>
      <c r="M93" s="22">
        <f t="shared" ca="1" si="52"/>
        <v>5.8165079999999794</v>
      </c>
      <c r="N93" s="37">
        <f t="shared" ca="1" si="44"/>
        <v>1</v>
      </c>
      <c r="O93" s="37">
        <f t="shared" ca="1" si="45"/>
        <v>0</v>
      </c>
      <c r="Q93" s="22">
        <f t="shared" si="46"/>
        <v>13.2</v>
      </c>
      <c r="R93" s="22">
        <f t="shared" ca="1" si="47"/>
        <v>207.41699999999994</v>
      </c>
      <c r="S93" s="22">
        <f ca="1">IF(Q93="","",IF(Q93=0,0,SUMPRODUCT(OFFSET(M$18,MATCH(MIN(Q$18:Q$137),Q$18:Q$137,0),0,COUNT(M$18:M93)-MATCH(MIN(Q$18:Q$137),Q$18:Q$137,0),1),OFFSET(M$18,MATCH(MIN(Q$18:Q$137),Q$18:Q$137,0),1,COUNT(M$18:M93)-MATCH(MIN(Q$18:Q$137),Q$18:Q$137,0),1))*$T$6))</f>
        <v>311.35464360000003</v>
      </c>
      <c r="T93" s="22">
        <f t="shared" ca="1" si="48"/>
        <v>518.77164359999995</v>
      </c>
      <c r="V93" s="22">
        <f ca="1">IF(Q93="","",IF(Q93=0,0,SUMPRODUCT(OFFSET(M$18,MATCH(MIN(Q$18:Q$137),Q$18:Q$137,0),0,COUNT(M$18:M93)-MATCH(MIN(Q$18:Q$137),Q$18:Q$137,0),1),OFFSET(M$18,MATCH(MIN(Q$18:Q$137),Q$18:Q$137,0),2,COUNT(M$18:M93)-MATCH(MIN(Q$18:Q$137),Q$18:Q$137,0),1))*$T$6*$T$14))</f>
        <v>0</v>
      </c>
      <c r="W93" s="29"/>
      <c r="X93" s="23">
        <f t="shared" ca="1" si="49"/>
        <v>37.858786685015282</v>
      </c>
      <c r="Z93" s="15">
        <f t="shared" si="53"/>
        <v>15.85</v>
      </c>
      <c r="AA93" s="15">
        <f t="shared" si="54"/>
        <v>17.599999999999998</v>
      </c>
      <c r="AC93" s="15">
        <f t="shared" si="55"/>
        <v>73</v>
      </c>
      <c r="AD93" s="15">
        <f t="shared" si="56"/>
        <v>83</v>
      </c>
      <c r="AF93" s="15">
        <f t="shared" ca="1" si="57"/>
        <v>11</v>
      </c>
      <c r="AH93" s="15">
        <f t="shared" si="50"/>
        <v>3</v>
      </c>
      <c r="AI93" s="38">
        <f t="shared" ca="1" si="58"/>
        <v>34.339035541963973</v>
      </c>
      <c r="AJ93" s="29"/>
      <c r="AK93" s="29"/>
      <c r="AL93" s="29"/>
    </row>
    <row r="94" spans="1:38" x14ac:dyDescent="0.2">
      <c r="A94" s="15">
        <v>77</v>
      </c>
      <c r="B94" s="2">
        <f t="shared" si="39"/>
        <v>174.86</v>
      </c>
      <c r="C94" s="25">
        <v>16.399999999999999</v>
      </c>
      <c r="D94" s="25">
        <v>2.04</v>
      </c>
      <c r="E94" s="25">
        <v>41.47</v>
      </c>
      <c r="F94" s="3" t="str">
        <f t="shared" ca="1" si="40"/>
        <v>ИГЭ-3</v>
      </c>
      <c r="G94" s="30" t="str">
        <f t="shared" ca="1" si="41"/>
        <v>пыл.-глинист.</v>
      </c>
      <c r="I94" s="13">
        <f t="shared" ca="1" si="51"/>
        <v>2051</v>
      </c>
      <c r="J94" s="14">
        <f t="shared" ca="1" si="42"/>
        <v>0.83</v>
      </c>
      <c r="L94" s="14">
        <f t="shared" ca="1" si="43"/>
        <v>0.73899999999999999</v>
      </c>
      <c r="M94" s="22">
        <f t="shared" ca="1" si="52"/>
        <v>5.9728869999999787</v>
      </c>
      <c r="N94" s="37">
        <f t="shared" ca="1" si="44"/>
        <v>1</v>
      </c>
      <c r="O94" s="37">
        <f t="shared" ca="1" si="45"/>
        <v>0</v>
      </c>
      <c r="Q94" s="22">
        <f t="shared" si="46"/>
        <v>13.4</v>
      </c>
      <c r="R94" s="22">
        <f t="shared" ca="1" si="47"/>
        <v>208.53542499999998</v>
      </c>
      <c r="S94" s="22">
        <f ca="1">IF(Q94="","",IF(Q94=0,0,SUMPRODUCT(OFFSET(M$18,MATCH(MIN(Q$18:Q$137),Q$18:Q$137,0),0,COUNT(M$18:M94)-MATCH(MIN(Q$18:Q$137),Q$18:Q$137,0),1),OFFSET(M$18,MATCH(MIN(Q$18:Q$137),Q$18:Q$137,0),1,COUNT(M$18:M94)-MATCH(MIN(Q$18:Q$137),Q$18:Q$137,0),1))*$T$6))</f>
        <v>319.71668540000002</v>
      </c>
      <c r="T94" s="22">
        <f t="shared" ca="1" si="48"/>
        <v>528.25211039999999</v>
      </c>
      <c r="V94" s="22">
        <f ca="1">IF(Q94="","",IF(Q94=0,0,SUMPRODUCT(OFFSET(M$18,MATCH(MIN(Q$18:Q$137),Q$18:Q$137,0),0,COUNT(M$18:M94)-MATCH(MIN(Q$18:Q$137),Q$18:Q$137,0),1),OFFSET(M$18,MATCH(MIN(Q$18:Q$137),Q$18:Q$137,0),2,COUNT(M$18:M94)-MATCH(MIN(Q$18:Q$137),Q$18:Q$137,0),1))*$T$6*$T$14))</f>
        <v>0</v>
      </c>
      <c r="W94" s="29"/>
      <c r="X94" s="23">
        <f t="shared" ca="1" si="49"/>
        <v>38.564538437308869</v>
      </c>
      <c r="Z94" s="15">
        <f t="shared" si="53"/>
        <v>16.049999999999997</v>
      </c>
      <c r="AA94" s="15">
        <f t="shared" si="54"/>
        <v>17.799999999999997</v>
      </c>
      <c r="AC94" s="15">
        <f t="shared" si="55"/>
        <v>74</v>
      </c>
      <c r="AD94" s="15">
        <f t="shared" si="56"/>
        <v>84</v>
      </c>
      <c r="AF94" s="15">
        <f t="shared" ca="1" si="57"/>
        <v>11</v>
      </c>
      <c r="AH94" s="15">
        <f t="shared" si="50"/>
        <v>3</v>
      </c>
      <c r="AI94" s="38">
        <f t="shared" ca="1" si="58"/>
        <v>34.979173185767685</v>
      </c>
      <c r="AJ94" s="29"/>
      <c r="AK94" s="29"/>
      <c r="AL94" s="29"/>
    </row>
    <row r="95" spans="1:38" x14ac:dyDescent="0.2">
      <c r="A95" s="15">
        <v>78</v>
      </c>
      <c r="B95" s="2">
        <f t="shared" si="39"/>
        <v>174.66</v>
      </c>
      <c r="C95" s="25">
        <v>16.600000000000001</v>
      </c>
      <c r="D95" s="25">
        <v>1.92</v>
      </c>
      <c r="E95" s="25">
        <v>43.77</v>
      </c>
      <c r="F95" s="3" t="str">
        <f t="shared" ca="1" si="40"/>
        <v>ИГЭ-3</v>
      </c>
      <c r="G95" s="30" t="str">
        <f t="shared" ca="1" si="41"/>
        <v>пыл.-глинист.</v>
      </c>
      <c r="I95" s="13">
        <f t="shared" ca="1" si="51"/>
        <v>2028</v>
      </c>
      <c r="J95" s="14">
        <f t="shared" ca="1" si="42"/>
        <v>0.83099999999999996</v>
      </c>
      <c r="L95" s="14">
        <f t="shared" ca="1" si="43"/>
        <v>0.72199999999999998</v>
      </c>
      <c r="M95" s="22">
        <f t="shared" ca="1" si="52"/>
        <v>6.2248270000000891</v>
      </c>
      <c r="N95" s="37">
        <f t="shared" ca="1" si="44"/>
        <v>1</v>
      </c>
      <c r="O95" s="37">
        <f t="shared" ca="1" si="45"/>
        <v>0</v>
      </c>
      <c r="Q95" s="22">
        <f t="shared" si="46"/>
        <v>13.6</v>
      </c>
      <c r="R95" s="22">
        <f t="shared" ca="1" si="47"/>
        <v>206.44532999999998</v>
      </c>
      <c r="S95" s="22">
        <f ca="1">IF(Q95="","",IF(Q95=0,0,SUMPRODUCT(OFFSET(M$18,MATCH(MIN(Q$18:Q$137),Q$18:Q$137,0),0,COUNT(M$18:M95)-MATCH(MIN(Q$18:Q$137),Q$18:Q$137,0),1),OFFSET(M$18,MATCH(MIN(Q$18:Q$137),Q$18:Q$137,0),1,COUNT(M$18:M95)-MATCH(MIN(Q$18:Q$137),Q$18:Q$137,0),1))*$T$6))</f>
        <v>328.4314432000001</v>
      </c>
      <c r="T95" s="22">
        <f t="shared" ca="1" si="48"/>
        <v>534.87677320000012</v>
      </c>
      <c r="V95" s="22">
        <f ca="1">IF(Q95="","",IF(Q95=0,0,SUMPRODUCT(OFFSET(M$18,MATCH(MIN(Q$18:Q$137),Q$18:Q$137,0),0,COUNT(M$18:M95)-MATCH(MIN(Q$18:Q$137),Q$18:Q$137,0),1),OFFSET(M$18,MATCH(MIN(Q$18:Q$137),Q$18:Q$137,0),2,COUNT(M$18:M95)-MATCH(MIN(Q$18:Q$137),Q$18:Q$137,0),1))*$T$6*$T$14))</f>
        <v>0</v>
      </c>
      <c r="W95" s="29"/>
      <c r="X95" s="23">
        <f t="shared" ca="1" si="49"/>
        <v>39.037400974515805</v>
      </c>
      <c r="Z95" s="15">
        <f t="shared" si="53"/>
        <v>16.25</v>
      </c>
      <c r="AA95" s="15">
        <f t="shared" si="54"/>
        <v>18</v>
      </c>
      <c r="AC95" s="15">
        <f t="shared" si="55"/>
        <v>76</v>
      </c>
      <c r="AD95" s="15">
        <f t="shared" si="56"/>
        <v>85</v>
      </c>
      <c r="AF95" s="15">
        <f t="shared" ca="1" si="57"/>
        <v>10</v>
      </c>
      <c r="AH95" s="15">
        <f t="shared" si="50"/>
        <v>3</v>
      </c>
      <c r="AI95" s="38">
        <f t="shared" ca="1" si="58"/>
        <v>35.408073446272837</v>
      </c>
      <c r="AJ95" s="29"/>
      <c r="AK95" s="29"/>
      <c r="AL95" s="29"/>
    </row>
    <row r="96" spans="1:38" x14ac:dyDescent="0.2">
      <c r="A96" s="15">
        <v>79</v>
      </c>
      <c r="B96" s="2">
        <f t="shared" si="39"/>
        <v>174.46</v>
      </c>
      <c r="C96" s="25">
        <v>16.8</v>
      </c>
      <c r="D96" s="25">
        <v>1.92</v>
      </c>
      <c r="E96" s="25">
        <v>29.95</v>
      </c>
      <c r="F96" s="3" t="str">
        <f t="shared" ca="1" si="40"/>
        <v>ИГЭ-3</v>
      </c>
      <c r="G96" s="30" t="str">
        <f t="shared" ca="1" si="41"/>
        <v>пыл.-глинист.</v>
      </c>
      <c r="I96" s="13">
        <f t="shared" ca="1" si="51"/>
        <v>2062</v>
      </c>
      <c r="J96" s="14">
        <f t="shared" ca="1" si="42"/>
        <v>0.82899999999999996</v>
      </c>
      <c r="L96" s="14">
        <f t="shared" ca="1" si="43"/>
        <v>0.876</v>
      </c>
      <c r="M96" s="22">
        <f t="shared" ca="1" si="52"/>
        <v>5.78381399999998</v>
      </c>
      <c r="N96" s="37">
        <f t="shared" ca="1" si="44"/>
        <v>1</v>
      </c>
      <c r="O96" s="37">
        <f t="shared" ca="1" si="45"/>
        <v>0</v>
      </c>
      <c r="Q96" s="22">
        <f t="shared" si="46"/>
        <v>13.8</v>
      </c>
      <c r="R96" s="22">
        <f t="shared" ca="1" si="47"/>
        <v>209.40125499999996</v>
      </c>
      <c r="S96" s="22">
        <f ca="1">IF(Q96="","",IF(Q96=0,0,SUMPRODUCT(OFFSET(M$18,MATCH(MIN(Q$18:Q$137),Q$18:Q$137,0),0,COUNT(M$18:M96)-MATCH(MIN(Q$18:Q$137),Q$18:Q$137,0),1),OFFSET(M$18,MATCH(MIN(Q$18:Q$137),Q$18:Q$137,0),1,COUNT(M$18:M96)-MATCH(MIN(Q$18:Q$137),Q$18:Q$137,0),1))*$T$6))</f>
        <v>336.5287828000001</v>
      </c>
      <c r="T96" s="22">
        <f t="shared" ca="1" si="48"/>
        <v>545.93003780000004</v>
      </c>
      <c r="V96" s="22">
        <f ca="1">IF(Q96="","",IF(Q96=0,0,SUMPRODUCT(OFFSET(M$18,MATCH(MIN(Q$18:Q$137),Q$18:Q$137,0),0,COUNT(M$18:M96)-MATCH(MIN(Q$18:Q$137),Q$18:Q$137,0),1),OFFSET(M$18,MATCH(MIN(Q$18:Q$137),Q$18:Q$137,0),2,COUNT(M$18:M96)-MATCH(MIN(Q$18:Q$137),Q$18:Q$137,0),1))*$T$6*$T$14))</f>
        <v>0</v>
      </c>
      <c r="W96" s="29"/>
      <c r="X96" s="23">
        <f t="shared" ca="1" si="49"/>
        <v>39.871413505606526</v>
      </c>
      <c r="Z96" s="15">
        <f t="shared" si="53"/>
        <v>16.45</v>
      </c>
      <c r="AA96" s="15">
        <f t="shared" si="54"/>
        <v>18.2</v>
      </c>
      <c r="AC96" s="15">
        <f t="shared" si="55"/>
        <v>76</v>
      </c>
      <c r="AD96" s="15">
        <f t="shared" si="56"/>
        <v>86</v>
      </c>
      <c r="AF96" s="15">
        <f t="shared" ca="1" si="57"/>
        <v>11</v>
      </c>
      <c r="AH96" s="15">
        <f t="shared" si="50"/>
        <v>3</v>
      </c>
      <c r="AI96" s="38">
        <f t="shared" ca="1" si="58"/>
        <v>36.164547397375536</v>
      </c>
      <c r="AJ96" s="29"/>
      <c r="AK96" s="29"/>
      <c r="AL96" s="29"/>
    </row>
    <row r="97" spans="1:38" x14ac:dyDescent="0.2">
      <c r="A97" s="15">
        <v>80</v>
      </c>
      <c r="B97" s="2">
        <f t="shared" si="39"/>
        <v>174.26</v>
      </c>
      <c r="C97" s="25">
        <v>17</v>
      </c>
      <c r="D97" s="25">
        <v>1.92</v>
      </c>
      <c r="E97" s="25">
        <v>25.34</v>
      </c>
      <c r="F97" s="3" t="str">
        <f t="shared" ca="1" si="40"/>
        <v>ИГЭ-3</v>
      </c>
      <c r="G97" s="30" t="str">
        <f t="shared" ca="1" si="41"/>
        <v>пыл.-глинист.</v>
      </c>
      <c r="I97" s="13">
        <f t="shared" ca="1" si="51"/>
        <v>2062</v>
      </c>
      <c r="J97" s="14">
        <f t="shared" ca="1" si="42"/>
        <v>0.82899999999999996</v>
      </c>
      <c r="L97" s="14">
        <f t="shared" ca="1" si="43"/>
        <v>0.93300000000000005</v>
      </c>
      <c r="M97" s="22">
        <f t="shared" ca="1" si="52"/>
        <v>4.9878419999999828</v>
      </c>
      <c r="N97" s="37">
        <f t="shared" ca="1" si="44"/>
        <v>1</v>
      </c>
      <c r="O97" s="37">
        <f t="shared" ca="1" si="45"/>
        <v>0</v>
      </c>
      <c r="Q97" s="22">
        <f t="shared" si="46"/>
        <v>14</v>
      </c>
      <c r="R97" s="22">
        <f t="shared" ca="1" si="47"/>
        <v>209.40125499999996</v>
      </c>
      <c r="S97" s="22">
        <f ca="1">IF(Q97="","",IF(Q97=0,0,SUMPRODUCT(OFFSET(M$18,MATCH(MIN(Q$18:Q$137),Q$18:Q$137,0),0,COUNT(M$18:M97)-MATCH(MIN(Q$18:Q$137),Q$18:Q$137,0),1),OFFSET(M$18,MATCH(MIN(Q$18:Q$137),Q$18:Q$137,0),1,COUNT(M$18:M97)-MATCH(MIN(Q$18:Q$137),Q$18:Q$137,0),1))*$T$6))</f>
        <v>343.51176160000006</v>
      </c>
      <c r="T97" s="22">
        <f t="shared" ca="1" si="48"/>
        <v>552.91301659999999</v>
      </c>
      <c r="V97" s="22">
        <f ca="1">IF(Q97="","",IF(Q97=0,0,SUMPRODUCT(OFFSET(M$18,MATCH(MIN(Q$18:Q$137),Q$18:Q$137,0),0,COUNT(M$18:M97)-MATCH(MIN(Q$18:Q$137),Q$18:Q$137,0),1),OFFSET(M$18,MATCH(MIN(Q$18:Q$137),Q$18:Q$137,0),2,COUNT(M$18:M97)-MATCH(MIN(Q$18:Q$137),Q$18:Q$137,0),1))*$T$6*$T$14))</f>
        <v>0</v>
      </c>
      <c r="W97" s="29"/>
      <c r="X97" s="23">
        <f t="shared" ca="1" si="49"/>
        <v>40.373496511722728</v>
      </c>
      <c r="Z97" s="15">
        <f t="shared" si="53"/>
        <v>16.649999999999999</v>
      </c>
      <c r="AA97" s="15">
        <f t="shared" si="54"/>
        <v>18.399999999999999</v>
      </c>
      <c r="AC97" s="15">
        <f t="shared" si="55"/>
        <v>77</v>
      </c>
      <c r="AD97" s="15">
        <f t="shared" si="56"/>
        <v>87</v>
      </c>
      <c r="AF97" s="15">
        <f t="shared" ca="1" si="57"/>
        <v>11</v>
      </c>
      <c r="AH97" s="15">
        <f t="shared" si="50"/>
        <v>3</v>
      </c>
      <c r="AI97" s="38">
        <f t="shared" ca="1" si="58"/>
        <v>36.61995148455577</v>
      </c>
      <c r="AJ97" s="29"/>
      <c r="AK97" s="29"/>
      <c r="AL97" s="29"/>
    </row>
    <row r="98" spans="1:38" x14ac:dyDescent="0.2">
      <c r="A98" s="15">
        <v>81</v>
      </c>
      <c r="B98" s="2">
        <f t="shared" si="39"/>
        <v>174.06</v>
      </c>
      <c r="C98" s="25">
        <v>17.2</v>
      </c>
      <c r="D98" s="25">
        <v>1.92</v>
      </c>
      <c r="E98" s="25">
        <v>43.77</v>
      </c>
      <c r="F98" s="3" t="str">
        <f t="shared" ca="1" si="40"/>
        <v>ИГЭ-3</v>
      </c>
      <c r="G98" s="30" t="str">
        <f t="shared" ca="1" si="41"/>
        <v>пыл.-глинист.</v>
      </c>
      <c r="I98" s="13">
        <f t="shared" ca="1" si="51"/>
        <v>2051</v>
      </c>
      <c r="J98" s="14">
        <f t="shared" ca="1" si="42"/>
        <v>0.83</v>
      </c>
      <c r="L98" s="14">
        <f t="shared" ca="1" si="43"/>
        <v>0.72199999999999998</v>
      </c>
      <c r="M98" s="22">
        <f t="shared" ca="1" si="52"/>
        <v>5.5244159999999809</v>
      </c>
      <c r="N98" s="37">
        <f t="shared" ca="1" si="44"/>
        <v>1</v>
      </c>
      <c r="O98" s="37">
        <f t="shared" ca="1" si="45"/>
        <v>0</v>
      </c>
      <c r="Q98" s="22">
        <f t="shared" si="46"/>
        <v>14.2</v>
      </c>
      <c r="R98" s="22">
        <f t="shared" ca="1" si="47"/>
        <v>208.53542499999998</v>
      </c>
      <c r="S98" s="22">
        <f ca="1">IF(Q98="","",IF(Q98=0,0,SUMPRODUCT(OFFSET(M$18,MATCH(MIN(Q$18:Q$137),Q$18:Q$137,0),0,COUNT(M$18:M98)-MATCH(MIN(Q$18:Q$137),Q$18:Q$137,0),1),OFFSET(M$18,MATCH(MIN(Q$18:Q$137),Q$18:Q$137,0),1,COUNT(M$18:M98)-MATCH(MIN(Q$18:Q$137),Q$18:Q$137,0),1))*$T$6))</f>
        <v>351.24594400000001</v>
      </c>
      <c r="T98" s="22">
        <f t="shared" ca="1" si="48"/>
        <v>559.78136900000004</v>
      </c>
      <c r="V98" s="22">
        <f ca="1">IF(Q98="","",IF(Q98=0,0,SUMPRODUCT(OFFSET(M$18,MATCH(MIN(Q$18:Q$137),Q$18:Q$137,0),0,COUNT(M$18:M98)-MATCH(MIN(Q$18:Q$137),Q$18:Q$137,0),1),OFFSET(M$18,MATCH(MIN(Q$18:Q$137),Q$18:Q$137,0),2,COUNT(M$18:M98)-MATCH(MIN(Q$18:Q$137),Q$18:Q$137,0),1))*$T$6*$T$14))</f>
        <v>0</v>
      </c>
      <c r="W98" s="29"/>
      <c r="X98" s="23">
        <f t="shared" ca="1" si="49"/>
        <v>40.866231799184504</v>
      </c>
      <c r="Z98" s="15">
        <f t="shared" si="53"/>
        <v>16.849999999999998</v>
      </c>
      <c r="AA98" s="15">
        <f t="shared" si="54"/>
        <v>18.599999999999998</v>
      </c>
      <c r="AC98" s="15">
        <f t="shared" si="55"/>
        <v>78</v>
      </c>
      <c r="AD98" s="15">
        <f t="shared" si="56"/>
        <v>88</v>
      </c>
      <c r="AF98" s="15">
        <f t="shared" ca="1" si="57"/>
        <v>11</v>
      </c>
      <c r="AH98" s="15">
        <f t="shared" si="50"/>
        <v>3</v>
      </c>
      <c r="AI98" s="38">
        <f t="shared" ca="1" si="58"/>
        <v>37.066876915360098</v>
      </c>
      <c r="AJ98" s="29"/>
      <c r="AK98" s="29"/>
      <c r="AL98" s="29"/>
    </row>
    <row r="99" spans="1:38" x14ac:dyDescent="0.2">
      <c r="A99" s="15">
        <v>82</v>
      </c>
      <c r="B99" s="2">
        <f t="shared" si="39"/>
        <v>173.86</v>
      </c>
      <c r="C99" s="25">
        <v>17.399999999999999</v>
      </c>
      <c r="D99" s="25">
        <v>2.16</v>
      </c>
      <c r="E99" s="25">
        <v>23.04</v>
      </c>
      <c r="F99" s="3" t="str">
        <f t="shared" ca="1" si="40"/>
        <v>ИГЭ-3</v>
      </c>
      <c r="G99" s="30" t="str">
        <f t="shared" ca="1" si="41"/>
        <v>пыл.-глинист.</v>
      </c>
      <c r="I99" s="13">
        <f t="shared" ca="1" si="51"/>
        <v>2073</v>
      </c>
      <c r="J99" s="14">
        <f t="shared" ca="1" si="42"/>
        <v>0.82799999999999996</v>
      </c>
      <c r="L99" s="14">
        <f t="shared" ca="1" si="43"/>
        <v>0.96199999999999997</v>
      </c>
      <c r="M99" s="22">
        <f t="shared" ca="1" si="52"/>
        <v>5.3766419999999808</v>
      </c>
      <c r="N99" s="37">
        <f t="shared" ca="1" si="44"/>
        <v>1</v>
      </c>
      <c r="O99" s="37">
        <f t="shared" ca="1" si="45"/>
        <v>0</v>
      </c>
      <c r="Q99" s="22">
        <f t="shared" si="46"/>
        <v>14.4</v>
      </c>
      <c r="R99" s="22">
        <f t="shared" ca="1" si="47"/>
        <v>210.26438999999996</v>
      </c>
      <c r="S99" s="22">
        <f ca="1">IF(Q99="","",IF(Q99=0,0,SUMPRODUCT(OFFSET(M$18,MATCH(MIN(Q$18:Q$137),Q$18:Q$137,0),0,COUNT(M$18:M99)-MATCH(MIN(Q$18:Q$137),Q$18:Q$137,0),1),OFFSET(M$18,MATCH(MIN(Q$18:Q$137),Q$18:Q$137,0),1,COUNT(M$18:M99)-MATCH(MIN(Q$18:Q$137),Q$18:Q$137,0),1))*$T$6))</f>
        <v>358.77324280000005</v>
      </c>
      <c r="T99" s="22">
        <f t="shared" ca="1" si="48"/>
        <v>569.03763279999998</v>
      </c>
      <c r="V99" s="22">
        <f ca="1">IF(Q99="","",IF(Q99=0,0,SUMPRODUCT(OFFSET(M$18,MATCH(MIN(Q$18:Q$137),Q$18:Q$137,0),0,COUNT(M$18:M99)-MATCH(MIN(Q$18:Q$137),Q$18:Q$137,0),1),OFFSET(M$18,MATCH(MIN(Q$18:Q$137),Q$18:Q$137,0),2,COUNT(M$18:M99)-MATCH(MIN(Q$18:Q$137),Q$18:Q$137,0),1))*$T$6*$T$14))</f>
        <v>0</v>
      </c>
      <c r="W99" s="29"/>
      <c r="X99" s="23">
        <f t="shared" ca="1" si="49"/>
        <v>41.553699922528033</v>
      </c>
      <c r="Z99" s="15">
        <f t="shared" si="53"/>
        <v>17.049999999999997</v>
      </c>
      <c r="AA99" s="15">
        <f t="shared" si="54"/>
        <v>18.799999999999997</v>
      </c>
      <c r="AC99" s="15">
        <f t="shared" si="55"/>
        <v>79</v>
      </c>
      <c r="AD99" s="15">
        <f t="shared" si="56"/>
        <v>89</v>
      </c>
      <c r="AF99" s="15">
        <f t="shared" ca="1" si="57"/>
        <v>11</v>
      </c>
      <c r="AH99" s="15">
        <f t="shared" si="50"/>
        <v>3</v>
      </c>
      <c r="AI99" s="38">
        <f t="shared" ca="1" si="58"/>
        <v>37.690430768732909</v>
      </c>
      <c r="AJ99" s="29"/>
      <c r="AK99" s="29"/>
      <c r="AL99" s="29"/>
    </row>
    <row r="100" spans="1:38" x14ac:dyDescent="0.2">
      <c r="A100" s="15">
        <v>83</v>
      </c>
      <c r="B100" s="2">
        <f t="shared" si="39"/>
        <v>173.66</v>
      </c>
      <c r="C100" s="25">
        <v>17.600000000000001</v>
      </c>
      <c r="D100" s="25">
        <v>2.16</v>
      </c>
      <c r="E100" s="25">
        <v>25.34</v>
      </c>
      <c r="F100" s="3" t="str">
        <f t="shared" ca="1" si="40"/>
        <v>ИГЭ-3</v>
      </c>
      <c r="G100" s="30" t="str">
        <f t="shared" ca="1" si="41"/>
        <v>пыл.-глинист.</v>
      </c>
      <c r="I100" s="13">
        <f t="shared" ca="1" si="51"/>
        <v>2136</v>
      </c>
      <c r="J100" s="14">
        <f t="shared" ca="1" si="42"/>
        <v>0.82399999999999995</v>
      </c>
      <c r="L100" s="14">
        <f t="shared" ca="1" si="43"/>
        <v>0.93300000000000005</v>
      </c>
      <c r="M100" s="22">
        <f t="shared" ca="1" si="52"/>
        <v>4.5806700000000653</v>
      </c>
      <c r="N100" s="37">
        <f t="shared" ca="1" si="44"/>
        <v>1</v>
      </c>
      <c r="O100" s="37">
        <f t="shared" ca="1" si="45"/>
        <v>0</v>
      </c>
      <c r="Q100" s="22">
        <f t="shared" si="46"/>
        <v>14.6</v>
      </c>
      <c r="R100" s="22">
        <f t="shared" ca="1" si="47"/>
        <v>215.60783999999995</v>
      </c>
      <c r="S100" s="22">
        <f ca="1">IF(Q100="","",IF(Q100=0,0,SUMPRODUCT(OFFSET(M$18,MATCH(MIN(Q$18:Q$137),Q$18:Q$137,0),0,COUNT(M$18:M100)-MATCH(MIN(Q$18:Q$137),Q$18:Q$137,0),1),OFFSET(M$18,MATCH(MIN(Q$18:Q$137),Q$18:Q$137,0),1,COUNT(M$18:M100)-MATCH(MIN(Q$18:Q$137),Q$18:Q$137,0),1))*$T$6))</f>
        <v>365.1861808000001</v>
      </c>
      <c r="T100" s="22">
        <f t="shared" ca="1" si="48"/>
        <v>580.7940208</v>
      </c>
      <c r="V100" s="22">
        <f ca="1">IF(Q100="","",IF(Q100=0,0,SUMPRODUCT(OFFSET(M$18,MATCH(MIN(Q$18:Q$137),Q$18:Q$137,0),0,COUNT(M$18:M100)-MATCH(MIN(Q$18:Q$137),Q$18:Q$137,0),1),OFFSET(M$18,MATCH(MIN(Q$18:Q$137),Q$18:Q$137,0),2,COUNT(M$18:M100)-MATCH(MIN(Q$18:Q$137),Q$18:Q$137,0),1))*$T$6*$T$14))</f>
        <v>0</v>
      </c>
      <c r="W100" s="29"/>
      <c r="X100" s="23">
        <f t="shared" ca="1" si="49"/>
        <v>42.445051772680941</v>
      </c>
      <c r="Z100" s="15">
        <f t="shared" si="53"/>
        <v>17.25</v>
      </c>
      <c r="AA100" s="15">
        <f t="shared" si="54"/>
        <v>19</v>
      </c>
      <c r="AC100" s="15">
        <f t="shared" si="55"/>
        <v>81</v>
      </c>
      <c r="AD100" s="15">
        <f t="shared" si="56"/>
        <v>90</v>
      </c>
      <c r="AF100" s="15">
        <f t="shared" ca="1" si="57"/>
        <v>10</v>
      </c>
      <c r="AH100" s="15">
        <f t="shared" si="50"/>
        <v>3</v>
      </c>
      <c r="AI100" s="38">
        <f t="shared" ca="1" si="58"/>
        <v>38.498913172499726</v>
      </c>
      <c r="AJ100" s="29"/>
      <c r="AK100" s="29"/>
      <c r="AL100" s="29"/>
    </row>
    <row r="101" spans="1:38" x14ac:dyDescent="0.2">
      <c r="A101" s="15">
        <v>84</v>
      </c>
      <c r="B101" s="2">
        <f t="shared" si="39"/>
        <v>173.46</v>
      </c>
      <c r="C101" s="25">
        <v>17.8</v>
      </c>
      <c r="D101" s="25">
        <v>2.04</v>
      </c>
      <c r="E101" s="25">
        <v>25.34</v>
      </c>
      <c r="F101" s="3" t="str">
        <f t="shared" ca="1" si="40"/>
        <v>ИГЭ-3</v>
      </c>
      <c r="G101" s="30" t="str">
        <f t="shared" ca="1" si="41"/>
        <v>пыл.-глинист.</v>
      </c>
      <c r="I101" s="13">
        <f t="shared" ca="1" si="51"/>
        <v>2160</v>
      </c>
      <c r="J101" s="14">
        <f t="shared" ca="1" si="42"/>
        <v>0.82199999999999995</v>
      </c>
      <c r="L101" s="14">
        <f t="shared" ca="1" si="43"/>
        <v>0.93300000000000005</v>
      </c>
      <c r="M101" s="22">
        <f t="shared" ca="1" si="52"/>
        <v>4.7284439999999837</v>
      </c>
      <c r="N101" s="37">
        <f t="shared" ca="1" si="44"/>
        <v>1</v>
      </c>
      <c r="O101" s="37">
        <f t="shared" ca="1" si="45"/>
        <v>0</v>
      </c>
      <c r="Q101" s="22">
        <f t="shared" si="46"/>
        <v>14.8</v>
      </c>
      <c r="R101" s="22">
        <f t="shared" ca="1" si="47"/>
        <v>217.50119999999998</v>
      </c>
      <c r="S101" s="22">
        <f ca="1">IF(Q101="","",IF(Q101=0,0,SUMPRODUCT(OFFSET(M$18,MATCH(MIN(Q$18:Q$137),Q$18:Q$137,0),0,COUNT(M$18:M101)-MATCH(MIN(Q$18:Q$137),Q$18:Q$137,0),1),OFFSET(M$18,MATCH(MIN(Q$18:Q$137),Q$18:Q$137,0),1,COUNT(M$18:M101)-MATCH(MIN(Q$18:Q$137),Q$18:Q$137,0),1))*$T$6))</f>
        <v>371.80600240000007</v>
      </c>
      <c r="T101" s="22">
        <f t="shared" ca="1" si="48"/>
        <v>589.30720240000005</v>
      </c>
      <c r="V101" s="22">
        <f ca="1">IF(Q101="","",IF(Q101=0,0,SUMPRODUCT(OFFSET(M$18,MATCH(MIN(Q$18:Q$137),Q$18:Q$137,0),0,COUNT(M$18:M101)-MATCH(MIN(Q$18:Q$137),Q$18:Q$137,0),1),OFFSET(M$18,MATCH(MIN(Q$18:Q$137),Q$18:Q$137,0),2,COUNT(M$18:M101)-MATCH(MIN(Q$18:Q$137),Q$18:Q$137,0),1))*$T$6*$T$14))</f>
        <v>0</v>
      </c>
      <c r="W101" s="29"/>
      <c r="X101" s="23">
        <f t="shared" ca="1" si="49"/>
        <v>43.071921959225278</v>
      </c>
      <c r="Z101" s="15">
        <f t="shared" si="53"/>
        <v>17.45</v>
      </c>
      <c r="AA101" s="15">
        <f t="shared" si="54"/>
        <v>19.2</v>
      </c>
      <c r="AC101" s="15">
        <f t="shared" si="55"/>
        <v>81</v>
      </c>
      <c r="AD101" s="15">
        <f t="shared" si="56"/>
        <v>91</v>
      </c>
      <c r="AF101" s="15">
        <f t="shared" ca="1" si="57"/>
        <v>11</v>
      </c>
      <c r="AH101" s="15">
        <f t="shared" si="50"/>
        <v>3</v>
      </c>
      <c r="AI101" s="38">
        <f t="shared" ca="1" si="58"/>
        <v>39.067502910861933</v>
      </c>
      <c r="AJ101" s="29"/>
      <c r="AK101" s="29"/>
      <c r="AL101" s="29"/>
    </row>
    <row r="102" spans="1:38" x14ac:dyDescent="0.2">
      <c r="A102" s="15">
        <v>85</v>
      </c>
      <c r="B102" s="2">
        <f t="shared" si="39"/>
        <v>173.26</v>
      </c>
      <c r="C102" s="25">
        <v>18</v>
      </c>
      <c r="D102" s="25">
        <v>2.04</v>
      </c>
      <c r="E102" s="25">
        <v>23.04</v>
      </c>
      <c r="F102" s="3" t="str">
        <f t="shared" ca="1" si="40"/>
        <v>ИГЭ-3</v>
      </c>
      <c r="G102" s="30" t="str">
        <f t="shared" ca="1" si="41"/>
        <v>пыл.-глинист.</v>
      </c>
      <c r="I102" s="13">
        <f t="shared" ca="1" si="51"/>
        <v>2204</v>
      </c>
      <c r="J102" s="14">
        <f t="shared" ca="1" si="42"/>
        <v>0.81899999999999995</v>
      </c>
      <c r="L102" s="14">
        <f t="shared" ca="1" si="43"/>
        <v>0.96199999999999997</v>
      </c>
      <c r="M102" s="22">
        <f t="shared" ca="1" si="52"/>
        <v>4.5806699999999836</v>
      </c>
      <c r="N102" s="37">
        <f t="shared" ca="1" si="44"/>
        <v>1</v>
      </c>
      <c r="O102" s="37">
        <f t="shared" ca="1" si="45"/>
        <v>0</v>
      </c>
      <c r="Q102" s="22">
        <f t="shared" si="46"/>
        <v>15</v>
      </c>
      <c r="R102" s="22">
        <f t="shared" ca="1" si="47"/>
        <v>221.12180999999995</v>
      </c>
      <c r="S102" s="22">
        <f ca="1">IF(Q102="","",IF(Q102=0,0,SUMPRODUCT(OFFSET(M$18,MATCH(MIN(Q$18:Q$137),Q$18:Q$137,0),0,COUNT(M$18:M102)-MATCH(MIN(Q$18:Q$137),Q$18:Q$137,0),1),OFFSET(M$18,MATCH(MIN(Q$18:Q$137),Q$18:Q$137,0),1,COUNT(M$18:M102)-MATCH(MIN(Q$18:Q$137),Q$18:Q$137,0),1))*$T$6))</f>
        <v>378.21894040000006</v>
      </c>
      <c r="T102" s="22">
        <f t="shared" ca="1" si="48"/>
        <v>599.34075040000005</v>
      </c>
      <c r="V102" s="22">
        <f ca="1">IF(Q102="","",IF(Q102=0,0,SUMPRODUCT(OFFSET(M$18,MATCH(MIN(Q$18:Q$137),Q$18:Q$137,0),0,COUNT(M$18:M102)-MATCH(MIN(Q$18:Q$137),Q$18:Q$137,0),1),OFFSET(M$18,MATCH(MIN(Q$18:Q$137),Q$18:Q$137,0),2,COUNT(M$18:M102)-MATCH(MIN(Q$18:Q$137),Q$18:Q$137,0),1))*$T$6*$T$14))</f>
        <v>0</v>
      </c>
      <c r="W102" s="29"/>
      <c r="X102" s="23">
        <f t="shared" ca="1" si="49"/>
        <v>43.822777173292558</v>
      </c>
      <c r="Z102" s="15">
        <f t="shared" si="53"/>
        <v>17.649999999999999</v>
      </c>
      <c r="AA102" s="15">
        <f t="shared" si="54"/>
        <v>19.399999999999999</v>
      </c>
      <c r="AC102" s="15">
        <f t="shared" si="55"/>
        <v>82</v>
      </c>
      <c r="AD102" s="15">
        <f t="shared" si="56"/>
        <v>92</v>
      </c>
      <c r="AF102" s="15">
        <f t="shared" ca="1" si="57"/>
        <v>11</v>
      </c>
      <c r="AH102" s="15">
        <f t="shared" si="50"/>
        <v>3</v>
      </c>
      <c r="AI102" s="38">
        <f t="shared" ca="1" si="58"/>
        <v>39.748550724074882</v>
      </c>
      <c r="AJ102" s="29"/>
      <c r="AK102" s="29"/>
      <c r="AL102" s="29"/>
    </row>
    <row r="103" spans="1:38" x14ac:dyDescent="0.2">
      <c r="A103" s="15">
        <v>86</v>
      </c>
      <c r="B103" s="2">
        <f t="shared" si="39"/>
        <v>173.06</v>
      </c>
      <c r="C103" s="25">
        <v>18.2</v>
      </c>
      <c r="D103" s="25">
        <v>2.4</v>
      </c>
      <c r="E103" s="25">
        <v>25.34</v>
      </c>
      <c r="F103" s="3" t="str">
        <f t="shared" ca="1" si="40"/>
        <v>ИГЭ-3</v>
      </c>
      <c r="G103" s="30" t="str">
        <f t="shared" ca="1" si="41"/>
        <v>пыл.-глинист.</v>
      </c>
      <c r="I103" s="13">
        <f t="shared" ca="1" si="51"/>
        <v>2215</v>
      </c>
      <c r="J103" s="14">
        <f t="shared" ca="1" si="42"/>
        <v>0.81899999999999995</v>
      </c>
      <c r="L103" s="14">
        <f t="shared" ca="1" si="43"/>
        <v>0.93300000000000005</v>
      </c>
      <c r="M103" s="22">
        <f t="shared" ca="1" si="52"/>
        <v>4.5806699999999836</v>
      </c>
      <c r="N103" s="37">
        <f t="shared" ca="1" si="44"/>
        <v>1</v>
      </c>
      <c r="O103" s="37">
        <f t="shared" ca="1" si="45"/>
        <v>0</v>
      </c>
      <c r="Q103" s="22">
        <f t="shared" si="46"/>
        <v>15.2</v>
      </c>
      <c r="R103" s="22">
        <f t="shared" ca="1" si="47"/>
        <v>222.22541249999995</v>
      </c>
      <c r="S103" s="22">
        <f ca="1">IF(Q103="","",IF(Q103=0,0,SUMPRODUCT(OFFSET(M$18,MATCH(MIN(Q$18:Q$137),Q$18:Q$137,0),0,COUNT(M$18:M103)-MATCH(MIN(Q$18:Q$137),Q$18:Q$137,0),1),OFFSET(M$18,MATCH(MIN(Q$18:Q$137),Q$18:Q$137,0),1,COUNT(M$18:M103)-MATCH(MIN(Q$18:Q$137),Q$18:Q$137,0),1))*$T$6))</f>
        <v>384.63187840000006</v>
      </c>
      <c r="T103" s="22">
        <f t="shared" ca="1" si="48"/>
        <v>606.85729089999995</v>
      </c>
      <c r="V103" s="22">
        <f ca="1">IF(Q103="","",IF(Q103=0,0,SUMPRODUCT(OFFSET(M$18,MATCH(MIN(Q$18:Q$137),Q$18:Q$137,0),0,COUNT(M$18:M103)-MATCH(MIN(Q$18:Q$137),Q$18:Q$137,0),1),OFFSET(M$18,MATCH(MIN(Q$18:Q$137),Q$18:Q$137,0),2,COUNT(M$18:M103)-MATCH(MIN(Q$18:Q$137),Q$18:Q$137,0),1))*$T$6*$T$14))</f>
        <v>0</v>
      </c>
      <c r="W103" s="29"/>
      <c r="X103" s="23">
        <f t="shared" ca="1" si="49"/>
        <v>44.368371836901112</v>
      </c>
      <c r="Z103" s="15">
        <f t="shared" si="53"/>
        <v>17.849999999999998</v>
      </c>
      <c r="AA103" s="15">
        <f t="shared" si="54"/>
        <v>19.599999999999998</v>
      </c>
      <c r="AC103" s="15">
        <f t="shared" si="55"/>
        <v>83</v>
      </c>
      <c r="AD103" s="15">
        <f t="shared" si="56"/>
        <v>93</v>
      </c>
      <c r="AF103" s="15">
        <f t="shared" ca="1" si="57"/>
        <v>11</v>
      </c>
      <c r="AH103" s="15">
        <f t="shared" si="50"/>
        <v>3</v>
      </c>
      <c r="AI103" s="38">
        <f t="shared" ca="1" si="58"/>
        <v>40.243421167257253</v>
      </c>
      <c r="AJ103" s="29"/>
      <c r="AK103" s="29"/>
      <c r="AL103" s="29"/>
    </row>
    <row r="104" spans="1:38" x14ac:dyDescent="0.2">
      <c r="A104" s="15">
        <v>87</v>
      </c>
      <c r="B104" s="2">
        <f t="shared" si="39"/>
        <v>172.86</v>
      </c>
      <c r="C104" s="25">
        <v>18.399999999999999</v>
      </c>
      <c r="D104" s="25">
        <v>2.16</v>
      </c>
      <c r="E104" s="25">
        <v>32.25</v>
      </c>
      <c r="F104" s="3" t="str">
        <f t="shared" ca="1" si="40"/>
        <v>ИГЭ-3</v>
      </c>
      <c r="G104" s="30" t="str">
        <f t="shared" ca="1" si="41"/>
        <v>пыл.-глинист.</v>
      </c>
      <c r="I104" s="13">
        <f t="shared" ca="1" si="51"/>
        <v>2215</v>
      </c>
      <c r="J104" s="14">
        <f t="shared" ca="1" si="42"/>
        <v>0.81899999999999995</v>
      </c>
      <c r="L104" s="14">
        <f t="shared" ca="1" si="43"/>
        <v>0.84699999999999998</v>
      </c>
      <c r="M104" s="22">
        <f t="shared" ca="1" si="52"/>
        <v>5.0957969999999824</v>
      </c>
      <c r="N104" s="37">
        <f t="shared" ca="1" si="44"/>
        <v>1</v>
      </c>
      <c r="O104" s="37">
        <f t="shared" ca="1" si="45"/>
        <v>0</v>
      </c>
      <c r="Q104" s="22">
        <f t="shared" si="46"/>
        <v>15.4</v>
      </c>
      <c r="R104" s="22">
        <f t="shared" ca="1" si="47"/>
        <v>222.22541249999995</v>
      </c>
      <c r="S104" s="22">
        <f ca="1">IF(Q104="","",IF(Q104=0,0,SUMPRODUCT(OFFSET(M$18,MATCH(MIN(Q$18:Q$137),Q$18:Q$137,0),0,COUNT(M$18:M104)-MATCH(MIN(Q$18:Q$137),Q$18:Q$137,0),1),OFFSET(M$18,MATCH(MIN(Q$18:Q$137),Q$18:Q$137,0),1,COUNT(M$18:M104)-MATCH(MIN(Q$18:Q$137),Q$18:Q$137,0),1))*$T$6))</f>
        <v>391.76599420000008</v>
      </c>
      <c r="T104" s="22">
        <f t="shared" ca="1" si="48"/>
        <v>613.99140669999997</v>
      </c>
      <c r="V104" s="22">
        <f ca="1">IF(Q104="","",IF(Q104=0,0,SUMPRODUCT(OFFSET(M$18,MATCH(MIN(Q$18:Q$137),Q$18:Q$137,0),0,COUNT(M$18:M104)-MATCH(MIN(Q$18:Q$137),Q$18:Q$137,0),1),OFFSET(M$18,MATCH(MIN(Q$18:Q$137),Q$18:Q$137,0),2,COUNT(M$18:M104)-MATCH(MIN(Q$18:Q$137),Q$18:Q$137,0),1))*$T$6*$T$14))</f>
        <v>0</v>
      </c>
      <c r="W104" s="29"/>
      <c r="X104" s="23">
        <f t="shared" ca="1" si="49"/>
        <v>44.882779980632002</v>
      </c>
      <c r="Z104" s="15">
        <f t="shared" si="53"/>
        <v>18.049999999999997</v>
      </c>
      <c r="AA104" s="15">
        <f t="shared" si="54"/>
        <v>19.799999999999997</v>
      </c>
      <c r="AC104" s="15">
        <f t="shared" si="55"/>
        <v>84</v>
      </c>
      <c r="AD104" s="15">
        <f t="shared" si="56"/>
        <v>94</v>
      </c>
      <c r="AF104" s="15">
        <f t="shared" ca="1" si="57"/>
        <v>11</v>
      </c>
      <c r="AH104" s="15">
        <f t="shared" si="50"/>
        <v>3</v>
      </c>
      <c r="AI104" s="38">
        <f t="shared" ca="1" si="58"/>
        <v>40.71000451758006</v>
      </c>
      <c r="AJ104" s="29"/>
      <c r="AK104" s="29"/>
      <c r="AL104" s="29"/>
    </row>
    <row r="105" spans="1:38" x14ac:dyDescent="0.2">
      <c r="A105" s="15">
        <v>88</v>
      </c>
      <c r="B105" s="2">
        <f t="shared" si="39"/>
        <v>172.66</v>
      </c>
      <c r="C105" s="25">
        <v>18.600000000000001</v>
      </c>
      <c r="D105" s="25">
        <v>1.92</v>
      </c>
      <c r="E105" s="25">
        <v>20.73</v>
      </c>
      <c r="F105" s="3" t="str">
        <f t="shared" ca="1" si="40"/>
        <v>ИГЭ-3</v>
      </c>
      <c r="G105" s="30" t="str">
        <f t="shared" ca="1" si="41"/>
        <v>пыл.-глинист.</v>
      </c>
      <c r="I105" s="13">
        <f t="shared" ca="1" si="51"/>
        <v>2268</v>
      </c>
      <c r="J105" s="14">
        <f t="shared" ca="1" si="42"/>
        <v>0.81499999999999995</v>
      </c>
      <c r="L105" s="14">
        <f t="shared" ca="1" si="43"/>
        <v>0.99099999999999999</v>
      </c>
      <c r="M105" s="22">
        <f t="shared" ca="1" si="52"/>
        <v>4.7859180000000672</v>
      </c>
      <c r="N105" s="37">
        <f t="shared" ca="1" si="44"/>
        <v>1</v>
      </c>
      <c r="O105" s="37">
        <f t="shared" ca="1" si="45"/>
        <v>0</v>
      </c>
      <c r="Q105" s="22">
        <f t="shared" si="46"/>
        <v>15.6</v>
      </c>
      <c r="R105" s="22">
        <f t="shared" ca="1" si="47"/>
        <v>226.43144999999996</v>
      </c>
      <c r="S105" s="22">
        <f ca="1">IF(Q105="","",IF(Q105=0,0,SUMPRODUCT(OFFSET(M$18,MATCH(MIN(Q$18:Q$137),Q$18:Q$137,0),0,COUNT(M$18:M105)-MATCH(MIN(Q$18:Q$137),Q$18:Q$137,0),1),OFFSET(M$18,MATCH(MIN(Q$18:Q$137),Q$18:Q$137,0),1,COUNT(M$18:M105)-MATCH(MIN(Q$18:Q$137),Q$18:Q$137,0),1))*$T$6))</f>
        <v>398.46627940000019</v>
      </c>
      <c r="T105" s="22">
        <f t="shared" ca="1" si="48"/>
        <v>624.89772940000012</v>
      </c>
      <c r="V105" s="22">
        <f ca="1">IF(Q105="","",IF(Q105=0,0,SUMPRODUCT(OFFSET(M$18,MATCH(MIN(Q$18:Q$137),Q$18:Q$137,0),0,COUNT(M$18:M105)-MATCH(MIN(Q$18:Q$137),Q$18:Q$137,0),1),OFFSET(M$18,MATCH(MIN(Q$18:Q$137),Q$18:Q$137,0),2,COUNT(M$18:M105)-MATCH(MIN(Q$18:Q$137),Q$18:Q$137,0),1))*$T$6*$T$14))</f>
        <v>0</v>
      </c>
      <c r="W105" s="29"/>
      <c r="X105" s="23">
        <f t="shared" ca="1" si="49"/>
        <v>45.704809482161068</v>
      </c>
      <c r="Z105" s="15">
        <f t="shared" si="53"/>
        <v>18.25</v>
      </c>
      <c r="AA105" s="15">
        <f t="shared" si="54"/>
        <v>20</v>
      </c>
      <c r="AC105" s="15">
        <f t="shared" si="55"/>
        <v>86</v>
      </c>
      <c r="AD105" s="15">
        <f t="shared" si="56"/>
        <v>95</v>
      </c>
      <c r="AF105" s="15">
        <f t="shared" ca="1" si="57"/>
        <v>10</v>
      </c>
      <c r="AH105" s="15">
        <f t="shared" si="50"/>
        <v>3</v>
      </c>
      <c r="AI105" s="38">
        <f t="shared" ca="1" si="58"/>
        <v>41.455609507629092</v>
      </c>
      <c r="AJ105" s="29"/>
      <c r="AK105" s="29"/>
      <c r="AL105" s="29"/>
    </row>
    <row r="106" spans="1:38" x14ac:dyDescent="0.2">
      <c r="A106" s="15">
        <v>89</v>
      </c>
      <c r="B106" s="2">
        <f t="shared" si="39"/>
        <v>172.46</v>
      </c>
      <c r="C106" s="25">
        <v>18.8</v>
      </c>
      <c r="D106" s="25">
        <v>2.16</v>
      </c>
      <c r="E106" s="25">
        <v>18.43</v>
      </c>
      <c r="F106" s="3" t="str">
        <f t="shared" ca="1" si="40"/>
        <v>ИГЭ-3</v>
      </c>
      <c r="G106" s="30" t="str">
        <f t="shared" ca="1" si="41"/>
        <v>пыл.-глинист.</v>
      </c>
      <c r="I106" s="13">
        <f t="shared" ca="1" si="51"/>
        <v>2268</v>
      </c>
      <c r="J106" s="14">
        <f t="shared" ca="1" si="42"/>
        <v>0.81499999999999995</v>
      </c>
      <c r="L106" s="14">
        <f t="shared" ca="1" si="43"/>
        <v>1</v>
      </c>
      <c r="M106" s="22">
        <f t="shared" ca="1" si="52"/>
        <v>3.897342999999986</v>
      </c>
      <c r="N106" s="37">
        <f t="shared" ca="1" si="44"/>
        <v>1</v>
      </c>
      <c r="O106" s="37">
        <f t="shared" ca="1" si="45"/>
        <v>0</v>
      </c>
      <c r="Q106" s="22">
        <f t="shared" si="46"/>
        <v>15.8</v>
      </c>
      <c r="R106" s="22">
        <f t="shared" ca="1" si="47"/>
        <v>226.43144999999996</v>
      </c>
      <c r="S106" s="22">
        <f ca="1">IF(Q106="","",IF(Q106=0,0,SUMPRODUCT(OFFSET(M$18,MATCH(MIN(Q$18:Q$137),Q$18:Q$137,0),0,COUNT(M$18:M106)-MATCH(MIN(Q$18:Q$137),Q$18:Q$137,0),1),OFFSET(M$18,MATCH(MIN(Q$18:Q$137),Q$18:Q$137,0),1,COUNT(M$18:M106)-MATCH(MIN(Q$18:Q$137),Q$18:Q$137,0),1))*$T$6))</f>
        <v>403.92255960000017</v>
      </c>
      <c r="T106" s="22">
        <f t="shared" ca="1" si="48"/>
        <v>630.35400960000015</v>
      </c>
      <c r="V106" s="22">
        <f ca="1">IF(Q106="","",IF(Q106=0,0,SUMPRODUCT(OFFSET(M$18,MATCH(MIN(Q$18:Q$137),Q$18:Q$137,0),0,COUNT(M$18:M106)-MATCH(MIN(Q$18:Q$137),Q$18:Q$137,0),1),OFFSET(M$18,MATCH(MIN(Q$18:Q$137),Q$18:Q$137,0),2,COUNT(M$18:M106)-MATCH(MIN(Q$18:Q$137),Q$18:Q$137,0),1))*$T$6*$T$14))</f>
        <v>0</v>
      </c>
      <c r="W106" s="29"/>
      <c r="X106" s="23">
        <f t="shared" ca="1" si="49"/>
        <v>46.082391073394504</v>
      </c>
      <c r="Z106" s="15">
        <f t="shared" si="53"/>
        <v>18.45</v>
      </c>
      <c r="AA106" s="15">
        <f t="shared" si="54"/>
        <v>20.2</v>
      </c>
      <c r="AC106" s="15">
        <f t="shared" si="55"/>
        <v>86</v>
      </c>
      <c r="AD106" s="15">
        <f t="shared" si="56"/>
        <v>95</v>
      </c>
      <c r="AF106" s="15">
        <f t="shared" ca="1" si="57"/>
        <v>10</v>
      </c>
      <c r="AH106" s="15">
        <f t="shared" si="50"/>
        <v>3</v>
      </c>
      <c r="AI106" s="38">
        <f t="shared" ca="1" si="58"/>
        <v>41.798087141400913</v>
      </c>
    </row>
    <row r="107" spans="1:38" x14ac:dyDescent="0.2">
      <c r="A107" s="15">
        <v>90</v>
      </c>
      <c r="B107" s="2">
        <f t="shared" si="39"/>
        <v>172.26</v>
      </c>
      <c r="C107" s="25">
        <v>19</v>
      </c>
      <c r="D107" s="25">
        <v>2.4</v>
      </c>
      <c r="E107" s="25">
        <v>18.43</v>
      </c>
      <c r="F107" s="3" t="str">
        <f t="shared" ca="1" si="40"/>
        <v>ИГЭ-3</v>
      </c>
      <c r="G107" s="30" t="str">
        <f t="shared" ca="1" si="41"/>
        <v>пыл.-глинист.</v>
      </c>
      <c r="I107" s="13">
        <f t="shared" ca="1" si="51"/>
        <v>2280</v>
      </c>
      <c r="J107" s="14">
        <f t="shared" ca="1" si="42"/>
        <v>0.81399999999999995</v>
      </c>
      <c r="L107" s="14">
        <f t="shared" ca="1" si="43"/>
        <v>1</v>
      </c>
      <c r="M107" s="22">
        <f t="shared" ca="1" si="52"/>
        <v>3.6859999999999871</v>
      </c>
      <c r="N107" s="37">
        <f t="shared" ca="1" si="44"/>
        <v>1</v>
      </c>
      <c r="O107" s="37">
        <f t="shared" ca="1" si="45"/>
        <v>0</v>
      </c>
      <c r="Q107" s="22">
        <f t="shared" si="46"/>
        <v>16</v>
      </c>
      <c r="R107" s="22">
        <f t="shared" ca="1" si="47"/>
        <v>227.35019999999994</v>
      </c>
      <c r="S107" s="22">
        <f ca="1">IF(Q107="","",IF(Q107=0,0,SUMPRODUCT(OFFSET(M$18,MATCH(MIN(Q$18:Q$137),Q$18:Q$137,0),0,COUNT(M$18:M107)-MATCH(MIN(Q$18:Q$137),Q$18:Q$137,0),1),OFFSET(M$18,MATCH(MIN(Q$18:Q$137),Q$18:Q$137,0),1,COUNT(M$18:M107)-MATCH(MIN(Q$18:Q$137),Q$18:Q$137,0),1))*$T$6))</f>
        <v>409.08295960000015</v>
      </c>
      <c r="T107" s="22">
        <f t="shared" ca="1" si="48"/>
        <v>636.43315960000007</v>
      </c>
      <c r="V107" s="22">
        <f ca="1">IF(Q107="","",IF(Q107=0,0,SUMPRODUCT(OFFSET(M$18,MATCH(MIN(Q$18:Q$137),Q$18:Q$137,0),0,COUNT(M$18:M107)-MATCH(MIN(Q$18:Q$137),Q$18:Q$137,0),1),OFFSET(M$18,MATCH(MIN(Q$18:Q$137),Q$18:Q$137,0),2,COUNT(M$18:M107)-MATCH(MIN(Q$18:Q$137),Q$18:Q$137,0),1))*$T$6*$T$14))</f>
        <v>0</v>
      </c>
      <c r="W107" s="29"/>
      <c r="X107" s="23">
        <f t="shared" ca="1" si="49"/>
        <v>46.510767347604492</v>
      </c>
      <c r="Z107" s="15">
        <f t="shared" si="53"/>
        <v>18.649999999999999</v>
      </c>
      <c r="AA107" s="15">
        <f t="shared" si="54"/>
        <v>20.399999999999999</v>
      </c>
      <c r="AC107" s="15">
        <f t="shared" si="55"/>
        <v>87</v>
      </c>
      <c r="AD107" s="15">
        <f t="shared" si="56"/>
        <v>96</v>
      </c>
      <c r="AF107" s="15">
        <f t="shared" ca="1" si="57"/>
        <v>10</v>
      </c>
      <c r="AH107" s="15">
        <f t="shared" si="50"/>
        <v>3</v>
      </c>
      <c r="AI107" s="38">
        <f t="shared" ca="1" si="58"/>
        <v>42.1866370499814</v>
      </c>
    </row>
    <row r="108" spans="1:38" x14ac:dyDescent="0.2">
      <c r="A108" s="15">
        <v>91</v>
      </c>
      <c r="B108" s="2">
        <f t="shared" si="39"/>
        <v>172.06</v>
      </c>
      <c r="C108" s="25">
        <v>19.2</v>
      </c>
      <c r="D108" s="25">
        <v>2.4</v>
      </c>
      <c r="E108" s="25">
        <v>32.25</v>
      </c>
      <c r="F108" s="3" t="str">
        <f t="shared" ca="1" si="40"/>
        <v>ИГЭ-3</v>
      </c>
      <c r="G108" s="30" t="str">
        <f t="shared" ca="1" si="41"/>
        <v>пыл.-глинист.</v>
      </c>
      <c r="I108" s="13">
        <f t="shared" ca="1" si="51"/>
        <v>2328</v>
      </c>
      <c r="J108" s="14">
        <f t="shared" ca="1" si="42"/>
        <v>0.81100000000000005</v>
      </c>
      <c r="L108" s="14">
        <f t="shared" ca="1" si="43"/>
        <v>0.84699999999999998</v>
      </c>
      <c r="M108" s="22">
        <f t="shared" ca="1" si="52"/>
        <v>4.5745749999999843</v>
      </c>
      <c r="N108" s="37">
        <f t="shared" ca="1" si="44"/>
        <v>1</v>
      </c>
      <c r="O108" s="37">
        <f t="shared" ca="1" si="45"/>
        <v>0</v>
      </c>
      <c r="Q108" s="22">
        <f t="shared" si="46"/>
        <v>16.2</v>
      </c>
      <c r="R108" s="22">
        <f t="shared" ca="1" si="47"/>
        <v>231.28097999999997</v>
      </c>
      <c r="S108" s="22">
        <f ca="1">IF(Q108="","",IF(Q108=0,0,SUMPRODUCT(OFFSET(M$18,MATCH(MIN(Q$18:Q$137),Q$18:Q$137,0),0,COUNT(M$18:M108)-MATCH(MIN(Q$18:Q$137),Q$18:Q$137,0),1),OFFSET(M$18,MATCH(MIN(Q$18:Q$137),Q$18:Q$137,0),1,COUNT(M$18:M108)-MATCH(MIN(Q$18:Q$137),Q$18:Q$137,0),1))*$T$6))</f>
        <v>415.48736460000009</v>
      </c>
      <c r="T108" s="22">
        <f t="shared" ca="1" si="48"/>
        <v>646.76834460000009</v>
      </c>
      <c r="V108" s="22">
        <f ca="1">IF(Q108="","",IF(Q108=0,0,SUMPRODUCT(OFFSET(M$18,MATCH(MIN(Q$18:Q$137),Q$18:Q$137,0),0,COUNT(M$18:M108)-MATCH(MIN(Q$18:Q$137),Q$18:Q$137,0),1),OFFSET(M$18,MATCH(MIN(Q$18:Q$137),Q$18:Q$137,0),2,COUNT(M$18:M108)-MATCH(MIN(Q$18:Q$137),Q$18:Q$137,0),1))*$T$6*$T$14))</f>
        <v>0</v>
      </c>
      <c r="W108" s="29"/>
      <c r="X108" s="23">
        <f t="shared" ca="1" si="49"/>
        <v>47.286220889908265</v>
      </c>
      <c r="Z108" s="15">
        <f t="shared" si="53"/>
        <v>18.849999999999998</v>
      </c>
      <c r="AA108" s="15">
        <f t="shared" si="54"/>
        <v>20.599999999999998</v>
      </c>
      <c r="AC108" s="15">
        <f t="shared" si="55"/>
        <v>88</v>
      </c>
      <c r="AD108" s="15">
        <f t="shared" si="56"/>
        <v>97</v>
      </c>
      <c r="AF108" s="15">
        <f t="shared" ca="1" si="57"/>
        <v>10</v>
      </c>
      <c r="AH108" s="15">
        <f t="shared" si="50"/>
        <v>3</v>
      </c>
      <c r="AI108" s="38">
        <f t="shared" ca="1" si="58"/>
        <v>42.889996272025634</v>
      </c>
    </row>
    <row r="109" spans="1:38" x14ac:dyDescent="0.2">
      <c r="A109" s="15">
        <v>92</v>
      </c>
      <c r="B109" s="2">
        <f t="shared" si="39"/>
        <v>171.86</v>
      </c>
      <c r="C109" s="25">
        <v>19.399999999999999</v>
      </c>
      <c r="D109" s="25">
        <v>2.4</v>
      </c>
      <c r="E109" s="25">
        <v>20.73</v>
      </c>
      <c r="F109" s="3" t="str">
        <f t="shared" ca="1" si="40"/>
        <v>ИГЭ-3</v>
      </c>
      <c r="G109" s="30" t="str">
        <f t="shared" ca="1" si="41"/>
        <v>пыл.-глинист.</v>
      </c>
      <c r="I109" s="13">
        <f t="shared" ca="1" si="51"/>
        <v>2364</v>
      </c>
      <c r="J109" s="14">
        <f t="shared" ca="1" si="42"/>
        <v>0.80900000000000005</v>
      </c>
      <c r="L109" s="14">
        <f t="shared" ca="1" si="43"/>
        <v>0.99099999999999999</v>
      </c>
      <c r="M109" s="22">
        <f t="shared" ca="1" si="52"/>
        <v>4.7859179999999828</v>
      </c>
      <c r="N109" s="37">
        <f t="shared" ca="1" si="44"/>
        <v>1</v>
      </c>
      <c r="O109" s="37">
        <f t="shared" ca="1" si="45"/>
        <v>0</v>
      </c>
      <c r="Q109" s="22">
        <f t="shared" si="46"/>
        <v>16.399999999999999</v>
      </c>
      <c r="R109" s="22">
        <f t="shared" ca="1" si="47"/>
        <v>234.27830999999998</v>
      </c>
      <c r="S109" s="22">
        <f ca="1">IF(Q109="","",IF(Q109=0,0,SUMPRODUCT(OFFSET(M$18,MATCH(MIN(Q$18:Q$137),Q$18:Q$137,0),0,COUNT(M$18:M109)-MATCH(MIN(Q$18:Q$137),Q$18:Q$137,0),1),OFFSET(M$18,MATCH(MIN(Q$18:Q$137),Q$18:Q$137,0),1,COUNT(M$18:M109)-MATCH(MIN(Q$18:Q$137),Q$18:Q$137,0),1))*$T$6))</f>
        <v>422.18764980000009</v>
      </c>
      <c r="T109" s="22">
        <f t="shared" ca="1" si="48"/>
        <v>656.46595980000006</v>
      </c>
      <c r="V109" s="22">
        <f ca="1">IF(Q109="","",IF(Q109=0,0,SUMPRODUCT(OFFSET(M$18,MATCH(MIN(Q$18:Q$137),Q$18:Q$137,0),0,COUNT(M$18:M109)-MATCH(MIN(Q$18:Q$137),Q$18:Q$137,0),1),OFFSET(M$18,MATCH(MIN(Q$18:Q$137),Q$18:Q$137,0),2,COUNT(M$18:M109)-MATCH(MIN(Q$18:Q$137),Q$18:Q$137,0),1))*$T$6*$T$14))</f>
        <v>0</v>
      </c>
      <c r="W109" s="29"/>
      <c r="X109" s="23">
        <f t="shared" ca="1" si="49"/>
        <v>48.009680972477064</v>
      </c>
      <c r="Z109" s="15">
        <f t="shared" si="53"/>
        <v>19.049999999999997</v>
      </c>
      <c r="AA109" s="15">
        <f t="shared" si="54"/>
        <v>20.799999999999997</v>
      </c>
      <c r="AC109" s="15">
        <f t="shared" si="55"/>
        <v>89</v>
      </c>
      <c r="AD109" s="15">
        <f t="shared" si="56"/>
        <v>98</v>
      </c>
      <c r="AF109" s="15">
        <f t="shared" ca="1" si="57"/>
        <v>10</v>
      </c>
      <c r="AH109" s="15">
        <f t="shared" si="50"/>
        <v>3</v>
      </c>
      <c r="AI109" s="38">
        <f t="shared" ca="1" si="58"/>
        <v>43.54619589340323</v>
      </c>
    </row>
    <row r="110" spans="1:38" x14ac:dyDescent="0.2">
      <c r="A110" s="15">
        <v>93</v>
      </c>
      <c r="B110" s="2">
        <f t="shared" si="39"/>
        <v>171.66</v>
      </c>
      <c r="C110" s="25">
        <v>19.600000000000001</v>
      </c>
      <c r="D110" s="25">
        <v>2.2799999999999998</v>
      </c>
      <c r="E110" s="25">
        <v>16.13</v>
      </c>
      <c r="F110" s="3" t="str">
        <f t="shared" ca="1" si="40"/>
        <v>ИГЭ-3</v>
      </c>
      <c r="G110" s="30" t="str">
        <f t="shared" ca="1" si="41"/>
        <v>пыл.-глинист.</v>
      </c>
      <c r="I110" s="13">
        <f t="shared" ca="1" si="51"/>
        <v>2436</v>
      </c>
      <c r="J110" s="14">
        <f t="shared" ca="1" si="42"/>
        <v>0.80400000000000005</v>
      </c>
      <c r="L110" s="14">
        <f t="shared" ca="1" si="43"/>
        <v>1</v>
      </c>
      <c r="M110" s="22">
        <f t="shared" ca="1" si="52"/>
        <v>3.6673430000000518</v>
      </c>
      <c r="N110" s="37">
        <f t="shared" ca="1" si="44"/>
        <v>1</v>
      </c>
      <c r="O110" s="37">
        <f t="shared" ca="1" si="45"/>
        <v>0</v>
      </c>
      <c r="Q110" s="22">
        <f t="shared" si="46"/>
        <v>16.600000000000001</v>
      </c>
      <c r="R110" s="22">
        <f t="shared" ca="1" si="47"/>
        <v>239.92163999999997</v>
      </c>
      <c r="S110" s="22">
        <f ca="1">IF(Q110="","",IF(Q110=0,0,SUMPRODUCT(OFFSET(M$18,MATCH(MIN(Q$18:Q$137),Q$18:Q$137,0),0,COUNT(M$18:M110)-MATCH(MIN(Q$18:Q$137),Q$18:Q$137,0),1),OFFSET(M$18,MATCH(MIN(Q$18:Q$137),Q$18:Q$137,0),1,COUNT(M$18:M110)-MATCH(MIN(Q$18:Q$137),Q$18:Q$137,0),1))*$T$6))</f>
        <v>427.32193000000018</v>
      </c>
      <c r="T110" s="22">
        <f t="shared" ca="1" si="48"/>
        <v>667.24357000000009</v>
      </c>
      <c r="V110" s="22">
        <f ca="1">IF(Q110="","",IF(Q110=0,0,SUMPRODUCT(OFFSET(M$18,MATCH(MIN(Q$18:Q$137),Q$18:Q$137,0),0,COUNT(M$18:M110)-MATCH(MIN(Q$18:Q$137),Q$18:Q$137,0),1),OFFSET(M$18,MATCH(MIN(Q$18:Q$137),Q$18:Q$137,0),2,COUNT(M$18:M110)-MATCH(MIN(Q$18:Q$137),Q$18:Q$137,0),1))*$T$6*$T$14))</f>
        <v>0</v>
      </c>
      <c r="W110" s="29"/>
      <c r="X110" s="23">
        <f t="shared" ca="1" si="49"/>
        <v>48.821214041794093</v>
      </c>
      <c r="Z110" s="15">
        <f t="shared" si="53"/>
        <v>19.25</v>
      </c>
      <c r="AA110" s="15">
        <f t="shared" si="54"/>
        <v>21</v>
      </c>
      <c r="AC110" s="15">
        <f t="shared" si="55"/>
        <v>91</v>
      </c>
      <c r="AD110" s="15">
        <f t="shared" si="56"/>
        <v>100</v>
      </c>
      <c r="AF110" s="15">
        <f t="shared" ca="1" si="57"/>
        <v>10</v>
      </c>
      <c r="AH110" s="15">
        <f t="shared" si="50"/>
        <v>3</v>
      </c>
      <c r="AI110" s="38">
        <f t="shared" ca="1" si="58"/>
        <v>44.282280310017327</v>
      </c>
    </row>
    <row r="111" spans="1:38" x14ac:dyDescent="0.2">
      <c r="A111" s="15">
        <v>94</v>
      </c>
      <c r="B111" s="2">
        <f t="shared" si="39"/>
        <v>171.46</v>
      </c>
      <c r="C111" s="25">
        <v>19.8</v>
      </c>
      <c r="D111" s="25">
        <v>2.16</v>
      </c>
      <c r="E111" s="25">
        <v>16.13</v>
      </c>
      <c r="F111" s="3" t="str">
        <f t="shared" ca="1" si="40"/>
        <v>ИГЭ-3</v>
      </c>
      <c r="G111" s="30" t="str">
        <f t="shared" ca="1" si="41"/>
        <v>пыл.-глинист.</v>
      </c>
      <c r="I111" s="13">
        <f t="shared" ca="1" si="51"/>
        <v>2436</v>
      </c>
      <c r="J111" s="14">
        <f t="shared" ca="1" si="42"/>
        <v>0.80400000000000005</v>
      </c>
      <c r="L111" s="14">
        <f t="shared" ca="1" si="43"/>
        <v>1</v>
      </c>
      <c r="M111" s="22">
        <f t="shared" ca="1" si="52"/>
        <v>3.2259999999999884</v>
      </c>
      <c r="N111" s="37">
        <f t="shared" ca="1" si="44"/>
        <v>1</v>
      </c>
      <c r="O111" s="37">
        <f t="shared" ca="1" si="45"/>
        <v>0</v>
      </c>
      <c r="Q111" s="22">
        <f t="shared" si="46"/>
        <v>16.8</v>
      </c>
      <c r="R111" s="22">
        <f t="shared" ca="1" si="47"/>
        <v>239.92163999999997</v>
      </c>
      <c r="S111" s="22">
        <f ca="1">IF(Q111="","",IF(Q111=0,0,SUMPRODUCT(OFFSET(M$18,MATCH(MIN(Q$18:Q$137),Q$18:Q$137,0),0,COUNT(M$18:M111)-MATCH(MIN(Q$18:Q$137),Q$18:Q$137,0),1),OFFSET(M$18,MATCH(MIN(Q$18:Q$137),Q$18:Q$137,0),1,COUNT(M$18:M111)-MATCH(MIN(Q$18:Q$137),Q$18:Q$137,0),1))*$T$6))</f>
        <v>431.83833000000016</v>
      </c>
      <c r="T111" s="22">
        <f t="shared" ca="1" si="48"/>
        <v>671.75997000000007</v>
      </c>
      <c r="V111" s="22">
        <f ca="1">IF(Q111="","",IF(Q111=0,0,SUMPRODUCT(OFFSET(M$18,MATCH(MIN(Q$18:Q$137),Q$18:Q$137,0),0,COUNT(M$18:M111)-MATCH(MIN(Q$18:Q$137),Q$18:Q$137,0),1),OFFSET(M$18,MATCH(MIN(Q$18:Q$137),Q$18:Q$137,0),2,COUNT(M$18:M111)-MATCH(MIN(Q$18:Q$137),Q$18:Q$137,0),1))*$T$6*$T$14))</f>
        <v>0</v>
      </c>
      <c r="W111" s="29"/>
      <c r="X111" s="23">
        <f t="shared" ca="1" si="49"/>
        <v>49.122148929663609</v>
      </c>
      <c r="Z111" s="15">
        <f t="shared" si="53"/>
        <v>19.45</v>
      </c>
      <c r="AA111" s="15">
        <f t="shared" si="54"/>
        <v>21.2</v>
      </c>
      <c r="AC111" s="15">
        <f t="shared" si="55"/>
        <v>91</v>
      </c>
      <c r="AD111" s="15">
        <f t="shared" si="56"/>
        <v>100</v>
      </c>
      <c r="AF111" s="15">
        <f t="shared" ca="1" si="57"/>
        <v>10</v>
      </c>
      <c r="AH111" s="15">
        <f t="shared" si="50"/>
        <v>3</v>
      </c>
      <c r="AI111" s="38">
        <f t="shared" ca="1" si="58"/>
        <v>44.555237124411441</v>
      </c>
    </row>
    <row r="112" spans="1:38" x14ac:dyDescent="0.2">
      <c r="A112" s="15">
        <v>95</v>
      </c>
      <c r="B112" s="2">
        <f t="shared" si="39"/>
        <v>171.26</v>
      </c>
      <c r="C112" s="25">
        <v>20</v>
      </c>
      <c r="D112" s="25">
        <v>2.4</v>
      </c>
      <c r="E112" s="25">
        <v>16.13</v>
      </c>
      <c r="F112" s="3" t="str">
        <f t="shared" ca="1" si="40"/>
        <v>ИГЭ-3</v>
      </c>
      <c r="G112" s="30" t="str">
        <f t="shared" ca="1" si="41"/>
        <v>пыл.-глинист.</v>
      </c>
      <c r="I112" s="13">
        <f t="shared" ca="1" si="51"/>
        <v>3564</v>
      </c>
      <c r="J112" s="14">
        <f t="shared" ca="1" si="42"/>
        <v>0.73599999999999999</v>
      </c>
      <c r="L112" s="14">
        <f t="shared" ca="1" si="43"/>
        <v>1</v>
      </c>
      <c r="M112" s="22">
        <f t="shared" ca="1" si="52"/>
        <v>3.2259999999999884</v>
      </c>
      <c r="N112" s="37">
        <f t="shared" ca="1" si="44"/>
        <v>1</v>
      </c>
      <c r="O112" s="37">
        <f t="shared" ca="1" si="45"/>
        <v>0</v>
      </c>
      <c r="Q112" s="22">
        <f t="shared" si="46"/>
        <v>17</v>
      </c>
      <c r="R112" s="22">
        <f t="shared" ca="1" si="47"/>
        <v>321.33023999999995</v>
      </c>
      <c r="S112" s="22">
        <f ca="1">IF(Q112="","",IF(Q112=0,0,SUMPRODUCT(OFFSET(M$18,MATCH(MIN(Q$18:Q$137),Q$18:Q$137,0),0,COUNT(M$18:M112)-MATCH(MIN(Q$18:Q$137),Q$18:Q$137,0),1),OFFSET(M$18,MATCH(MIN(Q$18:Q$137),Q$18:Q$137,0),1,COUNT(M$18:M112)-MATCH(MIN(Q$18:Q$137),Q$18:Q$137,0),1))*$T$6))</f>
        <v>436.35473000000019</v>
      </c>
      <c r="T112" s="22">
        <f t="shared" ca="1" si="48"/>
        <v>757.68497000000013</v>
      </c>
      <c r="V112" s="22">
        <f ca="1">IF(Q112="","",IF(Q112=0,0,SUMPRODUCT(OFFSET(M$18,MATCH(MIN(Q$18:Q$137),Q$18:Q$137,0),0,COUNT(M$18:M112)-MATCH(MIN(Q$18:Q$137),Q$18:Q$137,0),1),OFFSET(M$18,MATCH(MIN(Q$18:Q$137),Q$18:Q$137,0),2,COUNT(M$18:M112)-MATCH(MIN(Q$18:Q$137),Q$18:Q$137,0),1))*$T$6*$T$14))</f>
        <v>0</v>
      </c>
      <c r="W112" s="29"/>
      <c r="X112" s="23">
        <f t="shared" ca="1" si="49"/>
        <v>56.061909505606529</v>
      </c>
      <c r="Z112" s="15">
        <f t="shared" si="53"/>
        <v>19.649999999999999</v>
      </c>
      <c r="AA112" s="15">
        <f t="shared" si="54"/>
        <v>21.4</v>
      </c>
      <c r="AC112" s="15">
        <f t="shared" si="55"/>
        <v>92</v>
      </c>
      <c r="AD112" s="15">
        <f t="shared" si="56"/>
        <v>101</v>
      </c>
      <c r="AF112" s="15">
        <f t="shared" ca="1" si="57"/>
        <v>10</v>
      </c>
      <c r="AH112" s="15">
        <f t="shared" si="50"/>
        <v>3</v>
      </c>
      <c r="AI112" s="38">
        <f t="shared" ca="1" si="58"/>
        <v>50.849804540232682</v>
      </c>
    </row>
    <row r="113" spans="1:35" x14ac:dyDescent="0.2">
      <c r="A113" s="15">
        <v>96</v>
      </c>
      <c r="B113" s="2">
        <f t="shared" si="39"/>
        <v>171.06</v>
      </c>
      <c r="C113" s="25">
        <v>20.2</v>
      </c>
      <c r="D113" s="25">
        <v>2.52</v>
      </c>
      <c r="E113" s="25">
        <v>76.03</v>
      </c>
      <c r="F113" s="3" t="str">
        <f t="shared" ca="1" si="40"/>
        <v>ИГЭ-3</v>
      </c>
      <c r="G113" s="30" t="str">
        <f t="shared" ca="1" si="41"/>
        <v>пыл.-глинист.</v>
      </c>
      <c r="I113" s="13">
        <f t="shared" ca="1" si="51"/>
        <v>6324</v>
      </c>
      <c r="J113" s="14">
        <f t="shared" ca="1" si="42"/>
        <v>0.59699999999999998</v>
      </c>
      <c r="L113" s="14">
        <f t="shared" ca="1" si="43"/>
        <v>0.48</v>
      </c>
      <c r="M113" s="22">
        <f t="shared" ca="1" si="52"/>
        <v>5.2624399999999811</v>
      </c>
      <c r="N113" s="37">
        <f t="shared" ca="1" si="44"/>
        <v>1</v>
      </c>
      <c r="O113" s="37">
        <f t="shared" ca="1" si="45"/>
        <v>0</v>
      </c>
      <c r="Q113" s="22">
        <f t="shared" si="46"/>
        <v>17.2</v>
      </c>
      <c r="R113" s="22">
        <f t="shared" ca="1" si="47"/>
        <v>462.4899299999999</v>
      </c>
      <c r="S113" s="22">
        <f ca="1">IF(Q113="","",IF(Q113=0,0,SUMPRODUCT(OFFSET(M$18,MATCH(MIN(Q$18:Q$137),Q$18:Q$137,0),0,COUNT(M$18:M113)-MATCH(MIN(Q$18:Q$137),Q$18:Q$137,0),1),OFFSET(M$18,MATCH(MIN(Q$18:Q$137),Q$18:Q$137,0),1,COUNT(M$18:M113)-MATCH(MIN(Q$18:Q$137),Q$18:Q$137,0),1))*$T$6))</f>
        <v>443.72214600000012</v>
      </c>
      <c r="T113" s="22">
        <f t="shared" ca="1" si="48"/>
        <v>906.21207600000002</v>
      </c>
      <c r="V113" s="22">
        <f ca="1">IF(Q113="","",IF(Q113=0,0,SUMPRODUCT(OFFSET(M$18,MATCH(MIN(Q$18:Q$137),Q$18:Q$137,0),0,COUNT(M$18:M113)-MATCH(MIN(Q$18:Q$137),Q$18:Q$137,0),1),OFFSET(M$18,MATCH(MIN(Q$18:Q$137),Q$18:Q$137,0),2,COUNT(M$18:M113)-MATCH(MIN(Q$18:Q$137),Q$18:Q$137,0),1))*$T$6*$T$14))</f>
        <v>0</v>
      </c>
      <c r="W113" s="29"/>
      <c r="X113" s="23">
        <f t="shared" ca="1" si="49"/>
        <v>68.106836727828735</v>
      </c>
      <c r="Z113" s="15">
        <f t="shared" si="53"/>
        <v>19.849999999999998</v>
      </c>
      <c r="AA113" s="15">
        <f t="shared" si="54"/>
        <v>21.599999999999998</v>
      </c>
      <c r="AC113" s="15">
        <f t="shared" si="55"/>
        <v>93</v>
      </c>
      <c r="AD113" s="15">
        <f t="shared" si="56"/>
        <v>102</v>
      </c>
      <c r="AF113" s="15">
        <f t="shared" ca="1" si="57"/>
        <v>10</v>
      </c>
      <c r="AH113" s="15">
        <f t="shared" si="50"/>
        <v>3</v>
      </c>
      <c r="AI113" s="38">
        <f t="shared" ca="1" si="58"/>
        <v>61.774908596670066</v>
      </c>
    </row>
    <row r="114" spans="1:35" x14ac:dyDescent="0.2">
      <c r="A114" s="15">
        <v>97</v>
      </c>
      <c r="B114" s="2">
        <f t="shared" ref="B114:B137" si="59">IF(C114="","",ROUND($D$6-C114,2))</f>
        <v>170.86</v>
      </c>
      <c r="C114" s="25">
        <v>20.399999999999999</v>
      </c>
      <c r="D114" s="25">
        <v>2.64</v>
      </c>
      <c r="E114" s="25">
        <v>34.56</v>
      </c>
      <c r="F114" s="3" t="str">
        <f t="shared" ref="F114:F137" ca="1" si="60">IF(C114="","",OFFSET($C$5,MATCH(B114,D$6:D$15,-1),0,1,1))</f>
        <v>ИГЭ-3</v>
      </c>
      <c r="G114" s="30" t="str">
        <f t="shared" ref="G114:G137" ca="1" si="61">IF(C114="","",OFFSET($E$5,MATCH(B114,D$6:D$15,-1),0,1,1))</f>
        <v>пыл.-глинист.</v>
      </c>
      <c r="I114" s="13">
        <f t="shared" ca="1" si="51"/>
        <v>9096</v>
      </c>
      <c r="J114" s="14">
        <f t="shared" ref="J114:J137" ca="1" si="62">IF(I114="","",IF(I114&lt;=1000,0.9,IF(I114&lt;=2500,ROUND(0.967-0.000067*I114,3),IF(I114&lt;=5000,ROUND(0.95-0.00006*I114,3),IF(I114&lt;=7500,ROUND(0.85-0.00004*I114,3),IF(I114&lt;=10000,ROUND(0.85-0.00004*I114,3),IF(I114&lt;=15000,ROUND(0.65-0.00002*I114,3),IF(I114&lt;=30000,0.5-0.00001*I114,0.2))))))))</f>
        <v>0.48599999999999999</v>
      </c>
      <c r="L114" s="14">
        <f t="shared" ref="L114:L137" ca="1" si="63">IF(G114="","",IF(G114="песчаный",IF(E114&lt;=20,0.75,IF(E114&lt;=40,ROUND(0.9-0.0075*E114,3),IF(E114&lt;=120,ROUND(0.7-0.0025*E114,3),0.4))),IF(E114&lt;=20,1,IF(E114&lt;=40,ROUND(1.25-0.0125*E114,3),IF(E114&lt;=80,ROUND(1.05-0.0075*E114,3),IF(E114&lt;=100,ROUND(0.65-0.0025*E114,3),IF(E114&lt;=120,ROUND(0.9-0.005*E114,3),0.3)))))))</f>
        <v>0.81799999999999995</v>
      </c>
      <c r="M114" s="22">
        <f t="shared" ca="1" si="52"/>
        <v>6.4764479999999764</v>
      </c>
      <c r="N114" s="37">
        <f t="shared" ref="N114:N137" ca="1" si="64">IF(C114="","",IF(OFFSET($C$5,MATCH(B114,D$6:D$15,-1),4,1,1)="",1,0))</f>
        <v>1</v>
      </c>
      <c r="O114" s="37">
        <f t="shared" ref="O114:O137" ca="1" si="65">IF(C114="","",IF(OFFSET($C$5,MATCH(B114,D$6:D$15,-1),4,1,1)="тип II",1,0))</f>
        <v>0</v>
      </c>
      <c r="Q114" s="22">
        <f t="shared" ref="Q114:Q137" si="66">IF(C114="","",IF(ROUND(($D$6-FLOOR($D$6-$T$8,$C$19-$C$18))-B114,2)&lt;0,"",ROUND(($D$6-FLOOR($D$6-$T$8,$C$19-$C$18))-B114,2)))</f>
        <v>17.399999999999999</v>
      </c>
      <c r="R114" s="22">
        <f t="shared" ref="R114:R137" ca="1" si="67">IF(Q114="","",J114*I114*$T$7)</f>
        <v>541.53035999999997</v>
      </c>
      <c r="S114" s="22">
        <f ca="1">IF(Q114="","",IF(Q114=0,0,SUMPRODUCT(OFFSET(M$18,MATCH(MIN(Q$18:Q$137),Q$18:Q$137,0),0,COUNT(M$18:M114)-MATCH(MIN(Q$18:Q$137),Q$18:Q$137,0),1),OFFSET(M$18,MATCH(MIN(Q$18:Q$137),Q$18:Q$137,0),1,COUNT(M$18:M114)-MATCH(MIN(Q$18:Q$137),Q$18:Q$137,0),1))*$T$6))</f>
        <v>452.78917320000011</v>
      </c>
      <c r="T114" s="22">
        <f t="shared" ref="T114:T137" ca="1" si="68">IF(Q114="","",R114+S114)</f>
        <v>994.31953320000002</v>
      </c>
      <c r="V114" s="22">
        <f ca="1">IF(Q114="","",IF(Q114=0,0,SUMPRODUCT(OFFSET(M$18,MATCH(MIN(Q$18:Q$137),Q$18:Q$137,0),0,COUNT(M$18:M114)-MATCH(MIN(Q$18:Q$137),Q$18:Q$137,0),1),OFFSET(M$18,MATCH(MIN(Q$18:Q$137),Q$18:Q$137,0),2,COUNT(M$18:M114)-MATCH(MIN(Q$18:Q$137),Q$18:Q$137,0),1))*$T$6*$T$14))</f>
        <v>0</v>
      </c>
      <c r="W114" s="29"/>
      <c r="X114" s="23">
        <f t="shared" ref="X114:X137" ca="1" si="69">IF(Q114="","",MAX(0,(T114/1.25-V114)/9.81-2.5*1.1*$T$7*Q114))</f>
        <v>75.224575464831801</v>
      </c>
      <c r="Z114" s="15">
        <f t="shared" si="53"/>
        <v>20.049999999999997</v>
      </c>
      <c r="AA114" s="15">
        <f t="shared" si="54"/>
        <v>21.799999999999997</v>
      </c>
      <c r="AC114" s="15">
        <f t="shared" si="55"/>
        <v>94</v>
      </c>
      <c r="AD114" s="15">
        <f t="shared" si="56"/>
        <v>103</v>
      </c>
      <c r="AF114" s="15">
        <f t="shared" ca="1" si="57"/>
        <v>10</v>
      </c>
      <c r="AH114" s="15">
        <f t="shared" ref="AH114:AH137" si="70">MATCH(B114,D$6:D$15,-1)</f>
        <v>3</v>
      </c>
      <c r="AI114" s="38">
        <f t="shared" ca="1" si="58"/>
        <v>68.230907451094609</v>
      </c>
    </row>
    <row r="115" spans="1:35" x14ac:dyDescent="0.2">
      <c r="A115" s="15">
        <v>98</v>
      </c>
      <c r="B115" s="2">
        <f t="shared" si="59"/>
        <v>170.66</v>
      </c>
      <c r="C115" s="25">
        <v>20.6</v>
      </c>
      <c r="D115" s="25">
        <v>2.2799999999999998</v>
      </c>
      <c r="E115" s="25">
        <v>34.56</v>
      </c>
      <c r="F115" s="3" t="str">
        <f t="shared" ca="1" si="60"/>
        <v>ИГЭ-3</v>
      </c>
      <c r="G115" s="30" t="str">
        <f t="shared" ca="1" si="61"/>
        <v>пыл.-глинист.</v>
      </c>
      <c r="I115" s="13">
        <f t="shared" ref="I115:I137" ca="1" si="71">IF(D115="","",ROUND(AVERAGE(OFFSET($D$17,MATCH(MAX(FLOOR(C115-$T$5,(C115-C114)),C$18),C$18:C$137),0,MATCH(MIN(CEILING(C115+4*$T$5,(C115-C114)),C$137),C$18:C$137)-MATCH(MAX(FLOOR(C115-$T$5,(C115-C114)),C$18),C$18:C$137)+1,1))*1000,0))</f>
        <v>14640</v>
      </c>
      <c r="J115" s="14">
        <f t="shared" ca="1" si="62"/>
        <v>0.35699999999999998</v>
      </c>
      <c r="L115" s="14">
        <f t="shared" ca="1" si="63"/>
        <v>0.81799999999999995</v>
      </c>
      <c r="M115" s="22">
        <f t="shared" ref="M115:M137" ca="1" si="72">IF(L115="","",(C115-C114)*SUMPRODUCT(E114:E115,L114:L115)/2)</f>
        <v>5.6540160000000803</v>
      </c>
      <c r="N115" s="37">
        <f t="shared" ca="1" si="64"/>
        <v>1</v>
      </c>
      <c r="O115" s="37">
        <f t="shared" ca="1" si="65"/>
        <v>0</v>
      </c>
      <c r="Q115" s="22">
        <f t="shared" si="66"/>
        <v>17.600000000000001</v>
      </c>
      <c r="R115" s="22">
        <f t="shared" ca="1" si="67"/>
        <v>640.24379999999985</v>
      </c>
      <c r="S115" s="22">
        <f ca="1">IF(Q115="","",IF(Q115=0,0,SUMPRODUCT(OFFSET(M$18,MATCH(MIN(Q$18:Q$137),Q$18:Q$137,0),0,COUNT(M$18:M115)-MATCH(MIN(Q$18:Q$137),Q$18:Q$137,0),1),OFFSET(M$18,MATCH(MIN(Q$18:Q$137),Q$18:Q$137,0),1,COUNT(M$18:M115)-MATCH(MIN(Q$18:Q$137),Q$18:Q$137,0),1))*$T$6))</f>
        <v>460.70479560000024</v>
      </c>
      <c r="T115" s="22">
        <f t="shared" ca="1" si="68"/>
        <v>1100.9485956000001</v>
      </c>
      <c r="V115" s="22">
        <f ca="1">IF(Q115="","",IF(Q115=0,0,SUMPRODUCT(OFFSET(M$18,MATCH(MIN(Q$18:Q$137),Q$18:Q$137,0),0,COUNT(M$18:M115)-MATCH(MIN(Q$18:Q$137),Q$18:Q$137,0),1),OFFSET(M$18,MATCH(MIN(Q$18:Q$137),Q$18:Q$137,0),2,COUNT(M$18:M115)-MATCH(MIN(Q$18:Q$137),Q$18:Q$137,0),1))*$T$6*$T$14))</f>
        <v>0</v>
      </c>
      <c r="W115" s="29"/>
      <c r="X115" s="23">
        <f t="shared" ca="1" si="69"/>
        <v>83.852740721712536</v>
      </c>
      <c r="Z115" s="15">
        <f t="shared" ref="Z115:Z137" si="73">C115-T$5</f>
        <v>20.25</v>
      </c>
      <c r="AA115" s="15">
        <f t="shared" ref="AA115:AA137" si="74">C115+4*T$5</f>
        <v>22</v>
      </c>
      <c r="AC115" s="15">
        <f t="shared" ref="AC115:AC137" si="75">MATCH(MAX(FLOOR(C115-$T$5,(C115-C114)),C$18),C$18:C$137)</f>
        <v>96</v>
      </c>
      <c r="AD115" s="15">
        <f t="shared" ref="AD115:AD137" si="76">MATCH(MIN(CEILING(C115+4*$T$5,(C115-C114)),C$137),C$18:C$137)</f>
        <v>105</v>
      </c>
      <c r="AF115" s="15">
        <f t="shared" ref="AF115:AF137" ca="1" si="77">COUNT(OFFSET($D$17,AC115,0,AD115-AC115+1,1))</f>
        <v>10</v>
      </c>
      <c r="AH115" s="15">
        <f t="shared" si="70"/>
        <v>3</v>
      </c>
      <c r="AI115" s="38">
        <f t="shared" ca="1" si="58"/>
        <v>76.056907684093005</v>
      </c>
    </row>
    <row r="116" spans="1:35" x14ac:dyDescent="0.2">
      <c r="A116" s="15">
        <v>99</v>
      </c>
      <c r="B116" s="2">
        <f t="shared" si="59"/>
        <v>170.46</v>
      </c>
      <c r="C116" s="25">
        <v>20.8</v>
      </c>
      <c r="D116" s="25">
        <v>2.4</v>
      </c>
      <c r="E116" s="25">
        <v>32.25</v>
      </c>
      <c r="F116" s="3" t="str">
        <f t="shared" ca="1" si="60"/>
        <v>ИГЭ-3</v>
      </c>
      <c r="G116" s="30" t="str">
        <f t="shared" ca="1" si="61"/>
        <v>пыл.-глинист.</v>
      </c>
      <c r="I116" s="13">
        <f t="shared" ca="1" si="71"/>
        <v>14640</v>
      </c>
      <c r="J116" s="14">
        <f t="shared" ca="1" si="62"/>
        <v>0.35699999999999998</v>
      </c>
      <c r="L116" s="14">
        <f t="shared" ca="1" si="63"/>
        <v>0.84699999999999998</v>
      </c>
      <c r="M116" s="22">
        <f t="shared" ca="1" si="72"/>
        <v>5.5585829999999801</v>
      </c>
      <c r="N116" s="37">
        <f t="shared" ca="1" si="64"/>
        <v>1</v>
      </c>
      <c r="O116" s="37">
        <f t="shared" ca="1" si="65"/>
        <v>0</v>
      </c>
      <c r="Q116" s="22">
        <f t="shared" si="66"/>
        <v>17.8</v>
      </c>
      <c r="R116" s="22">
        <f t="shared" ca="1" si="67"/>
        <v>640.24379999999985</v>
      </c>
      <c r="S116" s="22">
        <f ca="1">IF(Q116="","",IF(Q116=0,0,SUMPRODUCT(OFFSET(M$18,MATCH(MIN(Q$18:Q$137),Q$18:Q$137,0),0,COUNT(M$18:M116)-MATCH(MIN(Q$18:Q$137),Q$18:Q$137,0),1),OFFSET(M$18,MATCH(MIN(Q$18:Q$137),Q$18:Q$137,0),1,COUNT(M$18:M116)-MATCH(MIN(Q$18:Q$137),Q$18:Q$137,0),1))*$T$6))</f>
        <v>468.48681180000023</v>
      </c>
      <c r="T116" s="22">
        <f t="shared" ca="1" si="68"/>
        <v>1108.7306118000001</v>
      </c>
      <c r="V116" s="22">
        <f ca="1">IF(Q116="","",IF(Q116=0,0,SUMPRODUCT(OFFSET(M$18,MATCH(MIN(Q$18:Q$137),Q$18:Q$137,0),0,COUNT(M$18:M116)-MATCH(MIN(Q$18:Q$137),Q$18:Q$137,0),1),OFFSET(M$18,MATCH(MIN(Q$18:Q$137),Q$18:Q$137,0),2,COUNT(M$18:M116)-MATCH(MIN(Q$18:Q$137),Q$18:Q$137,0),1))*$T$6*$T$14))</f>
        <v>0</v>
      </c>
      <c r="W116" s="29"/>
      <c r="X116" s="23">
        <f t="shared" ca="1" si="69"/>
        <v>84.419984779816517</v>
      </c>
      <c r="Z116" s="15">
        <f t="shared" si="73"/>
        <v>20.45</v>
      </c>
      <c r="AA116" s="15">
        <f t="shared" si="74"/>
        <v>22.2</v>
      </c>
      <c r="AC116" s="15">
        <f t="shared" si="75"/>
        <v>96</v>
      </c>
      <c r="AD116" s="15">
        <f t="shared" si="76"/>
        <v>105</v>
      </c>
      <c r="AF116" s="15">
        <f t="shared" ca="1" si="77"/>
        <v>10</v>
      </c>
      <c r="AH116" s="15">
        <f t="shared" si="70"/>
        <v>3</v>
      </c>
      <c r="AI116" s="38">
        <f t="shared" ca="1" si="58"/>
        <v>76.571414766273492</v>
      </c>
    </row>
    <row r="117" spans="1:35" x14ac:dyDescent="0.2">
      <c r="A117" s="15">
        <v>100</v>
      </c>
      <c r="B117" s="2">
        <f t="shared" si="59"/>
        <v>170.26</v>
      </c>
      <c r="C117" s="25">
        <v>21</v>
      </c>
      <c r="D117" s="25">
        <v>2.88</v>
      </c>
      <c r="E117" s="25">
        <v>50.68</v>
      </c>
      <c r="F117" s="3" t="str">
        <f t="shared" ca="1" si="60"/>
        <v>ИГЭ-4</v>
      </c>
      <c r="G117" s="30" t="str">
        <f t="shared" ca="1" si="61"/>
        <v>пыл.-глинист.</v>
      </c>
      <c r="I117" s="13">
        <f t="shared" ca="1" si="71"/>
        <v>15987</v>
      </c>
      <c r="J117" s="14">
        <f t="shared" ca="1" si="62"/>
        <v>0.34012999999999999</v>
      </c>
      <c r="L117" s="14">
        <f t="shared" ca="1" si="63"/>
        <v>0.67</v>
      </c>
      <c r="M117" s="22">
        <f t="shared" ca="1" si="72"/>
        <v>6.1271349999999778</v>
      </c>
      <c r="N117" s="37">
        <f t="shared" ca="1" si="64"/>
        <v>1</v>
      </c>
      <c r="O117" s="37">
        <f t="shared" ca="1" si="65"/>
        <v>0</v>
      </c>
      <c r="Q117" s="22">
        <f t="shared" si="66"/>
        <v>18</v>
      </c>
      <c r="R117" s="22">
        <f t="shared" ca="1" si="67"/>
        <v>666.11314297499985</v>
      </c>
      <c r="S117" s="22">
        <f ca="1">IF(Q117="","",IF(Q117=0,0,SUMPRODUCT(OFFSET(M$18,MATCH(MIN(Q$18:Q$137),Q$18:Q$137,0),0,COUNT(M$18:M117)-MATCH(MIN(Q$18:Q$137),Q$18:Q$137,0),1),OFFSET(M$18,MATCH(MIN(Q$18:Q$137),Q$18:Q$137,0),1,COUNT(M$18:M117)-MATCH(MIN(Q$18:Q$137),Q$18:Q$137,0),1))*$T$6))</f>
        <v>477.06480080000017</v>
      </c>
      <c r="T117" s="22">
        <f t="shared" ca="1" si="68"/>
        <v>1143.1779437750001</v>
      </c>
      <c r="V117" s="22">
        <f ca="1">IF(Q117="","",IF(Q117=0,0,SUMPRODUCT(OFFSET(M$18,MATCH(MIN(Q$18:Q$137),Q$18:Q$137,0),0,COUNT(M$18:M117)-MATCH(MIN(Q$18:Q$137),Q$18:Q$137,0),1),OFFSET(M$18,MATCH(MIN(Q$18:Q$137),Q$18:Q$137,0),2,COUNT(M$18:M117)-MATCH(MIN(Q$18:Q$137),Q$18:Q$137,0),1))*$T$6*$T$14))</f>
        <v>0</v>
      </c>
      <c r="W117" s="29"/>
      <c r="X117" s="23">
        <f t="shared" ca="1" si="69"/>
        <v>87.161770389398569</v>
      </c>
      <c r="Z117" s="15">
        <f t="shared" si="73"/>
        <v>20.65</v>
      </c>
      <c r="AA117" s="15">
        <f t="shared" si="74"/>
        <v>22.4</v>
      </c>
      <c r="AC117" s="15">
        <f t="shared" si="75"/>
        <v>97</v>
      </c>
      <c r="AD117" s="15">
        <f t="shared" si="76"/>
        <v>105</v>
      </c>
      <c r="AF117" s="15">
        <f t="shared" ca="1" si="77"/>
        <v>9</v>
      </c>
      <c r="AH117" s="15">
        <f t="shared" si="70"/>
        <v>4</v>
      </c>
      <c r="AI117" s="38">
        <f t="shared" ca="1" si="58"/>
        <v>79.058295137776497</v>
      </c>
    </row>
    <row r="118" spans="1:35" x14ac:dyDescent="0.2">
      <c r="A118" s="15">
        <v>101</v>
      </c>
      <c r="B118" s="2">
        <f t="shared" si="59"/>
        <v>170.06</v>
      </c>
      <c r="C118" s="25">
        <v>21.2</v>
      </c>
      <c r="D118" s="25">
        <v>13.68</v>
      </c>
      <c r="E118" s="25">
        <v>94.46</v>
      </c>
      <c r="F118" s="3" t="str">
        <f t="shared" ca="1" si="60"/>
        <v>ИГЭ-4</v>
      </c>
      <c r="G118" s="30" t="str">
        <f t="shared" ca="1" si="61"/>
        <v>пыл.-глинист.</v>
      </c>
      <c r="I118" s="13">
        <f t="shared" ca="1" si="71"/>
        <v>17655</v>
      </c>
      <c r="J118" s="14">
        <f t="shared" ca="1" si="62"/>
        <v>0.32345000000000002</v>
      </c>
      <c r="L118" s="14">
        <f t="shared" ca="1" si="63"/>
        <v>0.41399999999999998</v>
      </c>
      <c r="M118" s="22">
        <f t="shared" ca="1" si="72"/>
        <v>7.3062039999999735</v>
      </c>
      <c r="N118" s="37">
        <f t="shared" ca="1" si="64"/>
        <v>1</v>
      </c>
      <c r="O118" s="37">
        <f t="shared" ca="1" si="65"/>
        <v>0</v>
      </c>
      <c r="Q118" s="22">
        <f t="shared" si="66"/>
        <v>18.2</v>
      </c>
      <c r="R118" s="22">
        <f t="shared" ca="1" si="67"/>
        <v>699.53744437499995</v>
      </c>
      <c r="S118" s="22">
        <f ca="1">IF(Q118="","",IF(Q118=0,0,SUMPRODUCT(OFFSET(M$18,MATCH(MIN(Q$18:Q$137),Q$18:Q$137,0),0,COUNT(M$18:M118)-MATCH(MIN(Q$18:Q$137),Q$18:Q$137,0),1),OFFSET(M$18,MATCH(MIN(Q$18:Q$137),Q$18:Q$137,0),1,COUNT(M$18:M118)-MATCH(MIN(Q$18:Q$137),Q$18:Q$137,0),1))*$T$6))</f>
        <v>487.29348640000012</v>
      </c>
      <c r="T118" s="22">
        <f t="shared" ca="1" si="68"/>
        <v>1186.8309307750001</v>
      </c>
      <c r="V118" s="22">
        <f ca="1">IF(Q118="","",IF(Q118=0,0,SUMPRODUCT(OFFSET(M$18,MATCH(MIN(Q$18:Q$137),Q$18:Q$137,0),0,COUNT(M$18:M118)-MATCH(MIN(Q$18:Q$137),Q$18:Q$137,0),1),OFFSET(M$18,MATCH(MIN(Q$18:Q$137),Q$18:Q$137,0),2,COUNT(M$18:M118)-MATCH(MIN(Q$18:Q$137),Q$18:Q$137,0),1))*$T$6*$T$14))</f>
        <v>0</v>
      </c>
      <c r="W118" s="29"/>
      <c r="X118" s="23">
        <f t="shared" ca="1" si="69"/>
        <v>90.654272005096843</v>
      </c>
      <c r="Z118" s="15">
        <f t="shared" si="73"/>
        <v>20.849999999999998</v>
      </c>
      <c r="AA118" s="15">
        <f t="shared" si="74"/>
        <v>22.599999999999998</v>
      </c>
      <c r="AC118" s="15">
        <f t="shared" si="75"/>
        <v>98</v>
      </c>
      <c r="AD118" s="15">
        <f t="shared" si="76"/>
        <v>105</v>
      </c>
      <c r="AF118" s="15">
        <f t="shared" ca="1" si="77"/>
        <v>8</v>
      </c>
      <c r="AH118" s="15">
        <f t="shared" si="70"/>
        <v>4</v>
      </c>
      <c r="AI118" s="38">
        <f t="shared" ca="1" si="58"/>
        <v>82.226097056777178</v>
      </c>
    </row>
    <row r="119" spans="1:35" x14ac:dyDescent="0.2">
      <c r="A119" s="15">
        <v>102</v>
      </c>
      <c r="B119" s="2">
        <f t="shared" si="59"/>
        <v>169.86</v>
      </c>
      <c r="C119" s="25">
        <v>21.4</v>
      </c>
      <c r="D119" s="25">
        <v>30</v>
      </c>
      <c r="E119" s="25">
        <v>29.95</v>
      </c>
      <c r="F119" s="3" t="str">
        <f t="shared" ca="1" si="60"/>
        <v>ИГЭ-4</v>
      </c>
      <c r="G119" s="30" t="str">
        <f t="shared" ca="1" si="61"/>
        <v>пыл.-глинист.</v>
      </c>
      <c r="I119" s="13">
        <f t="shared" ca="1" si="71"/>
        <v>19851</v>
      </c>
      <c r="J119" s="14">
        <f t="shared" ca="1" si="62"/>
        <v>0.30148999999999998</v>
      </c>
      <c r="L119" s="14">
        <f t="shared" ca="1" si="63"/>
        <v>0.876</v>
      </c>
      <c r="M119" s="22">
        <f t="shared" ca="1" si="72"/>
        <v>6.5342639999999754</v>
      </c>
      <c r="N119" s="37">
        <f t="shared" ca="1" si="64"/>
        <v>1</v>
      </c>
      <c r="O119" s="37">
        <f t="shared" ca="1" si="65"/>
        <v>0</v>
      </c>
      <c r="Q119" s="22">
        <f t="shared" si="66"/>
        <v>18.399999999999999</v>
      </c>
      <c r="R119" s="22">
        <f t="shared" ca="1" si="67"/>
        <v>733.14755377499989</v>
      </c>
      <c r="S119" s="22">
        <f ca="1">IF(Q119="","",IF(Q119=0,0,SUMPRODUCT(OFFSET(M$18,MATCH(MIN(Q$18:Q$137),Q$18:Q$137,0),0,COUNT(M$18:M119)-MATCH(MIN(Q$18:Q$137),Q$18:Q$137,0),1),OFFSET(M$18,MATCH(MIN(Q$18:Q$137),Q$18:Q$137,0),1,COUNT(M$18:M119)-MATCH(MIN(Q$18:Q$137),Q$18:Q$137,0),1))*$T$6))</f>
        <v>496.44145600000007</v>
      </c>
      <c r="T119" s="22">
        <f t="shared" ca="1" si="68"/>
        <v>1229.589009775</v>
      </c>
      <c r="V119" s="22">
        <f ca="1">IF(Q119="","",IF(Q119=0,0,SUMPRODUCT(OFFSET(M$18,MATCH(MIN(Q$18:Q$137),Q$18:Q$137,0),0,COUNT(M$18:M119)-MATCH(MIN(Q$18:Q$137),Q$18:Q$137,0),1),OFFSET(M$18,MATCH(MIN(Q$18:Q$137),Q$18:Q$137,0),2,COUNT(M$18:M119)-MATCH(MIN(Q$18:Q$137),Q$18:Q$137,0),1))*$T$6*$T$14))</f>
        <v>0</v>
      </c>
      <c r="W119" s="29"/>
      <c r="X119" s="23">
        <f t="shared" ca="1" si="69"/>
        <v>94.07379437512742</v>
      </c>
      <c r="Z119" s="15">
        <f t="shared" si="73"/>
        <v>21.049999999999997</v>
      </c>
      <c r="AA119" s="15">
        <f t="shared" si="74"/>
        <v>22.799999999999997</v>
      </c>
      <c r="AC119" s="15">
        <f t="shared" si="75"/>
        <v>99</v>
      </c>
      <c r="AD119" s="15">
        <f t="shared" si="76"/>
        <v>105</v>
      </c>
      <c r="AF119" s="15">
        <f t="shared" ca="1" si="77"/>
        <v>7</v>
      </c>
      <c r="AH119" s="15">
        <f t="shared" si="70"/>
        <v>4</v>
      </c>
      <c r="AI119" s="38">
        <f t="shared" ca="1" si="58"/>
        <v>85.327704648641671</v>
      </c>
    </row>
    <row r="120" spans="1:35" x14ac:dyDescent="0.2">
      <c r="A120" s="15">
        <v>103</v>
      </c>
      <c r="B120" s="2">
        <f t="shared" si="59"/>
        <v>169.66</v>
      </c>
      <c r="C120" s="25">
        <v>21.6</v>
      </c>
      <c r="D120" s="25">
        <v>30</v>
      </c>
      <c r="E120" s="25">
        <v>36.86</v>
      </c>
      <c r="F120" s="3" t="str">
        <f t="shared" ca="1" si="60"/>
        <v>ИГЭ-4</v>
      </c>
      <c r="G120" s="30" t="str">
        <f t="shared" ca="1" si="61"/>
        <v>пыл.-глинист.</v>
      </c>
      <c r="I120" s="13">
        <f t="shared" ca="1" si="71"/>
        <v>26736</v>
      </c>
      <c r="J120" s="14">
        <f t="shared" ca="1" si="62"/>
        <v>0.23263999999999996</v>
      </c>
      <c r="L120" s="14">
        <f t="shared" ca="1" si="63"/>
        <v>0.78900000000000003</v>
      </c>
      <c r="M120" s="22">
        <f t="shared" ca="1" si="72"/>
        <v>5.5318740000000792</v>
      </c>
      <c r="N120" s="37">
        <f t="shared" ca="1" si="64"/>
        <v>1</v>
      </c>
      <c r="O120" s="37">
        <f t="shared" ca="1" si="65"/>
        <v>0</v>
      </c>
      <c r="Q120" s="22">
        <f t="shared" si="66"/>
        <v>18.600000000000001</v>
      </c>
      <c r="R120" s="22">
        <f t="shared" ca="1" si="67"/>
        <v>761.93322239999986</v>
      </c>
      <c r="S120" s="22">
        <f ca="1">IF(Q120="","",IF(Q120=0,0,SUMPRODUCT(OFFSET(M$18,MATCH(MIN(Q$18:Q$137),Q$18:Q$137,0),0,COUNT(M$18:M120)-MATCH(MIN(Q$18:Q$137),Q$18:Q$137,0),1),OFFSET(M$18,MATCH(MIN(Q$18:Q$137),Q$18:Q$137,0),1,COUNT(M$18:M120)-MATCH(MIN(Q$18:Q$137),Q$18:Q$137,0),1))*$T$6))</f>
        <v>504.18607960000014</v>
      </c>
      <c r="T120" s="22">
        <f t="shared" ca="1" si="68"/>
        <v>1266.1193020000001</v>
      </c>
      <c r="V120" s="22">
        <f ca="1">IF(Q120="","",IF(Q120=0,0,SUMPRODUCT(OFFSET(M$18,MATCH(MIN(Q$18:Q$137),Q$18:Q$137,0),0,COUNT(M$18:M120)-MATCH(MIN(Q$18:Q$137),Q$18:Q$137,0),1),OFFSET(M$18,MATCH(MIN(Q$18:Q$137),Q$18:Q$137,0),2,COUNT(M$18:M120)-MATCH(MIN(Q$18:Q$137),Q$18:Q$137,0),1))*$T$6*$T$14))</f>
        <v>0</v>
      </c>
      <c r="W120" s="29"/>
      <c r="X120" s="23">
        <f t="shared" ca="1" si="69"/>
        <v>96.985444225280332</v>
      </c>
      <c r="Z120" s="15">
        <f t="shared" si="73"/>
        <v>21.25</v>
      </c>
      <c r="AA120" s="15">
        <f t="shared" si="74"/>
        <v>23</v>
      </c>
      <c r="AC120" s="15">
        <f t="shared" si="75"/>
        <v>101</v>
      </c>
      <c r="AD120" s="15">
        <f t="shared" si="76"/>
        <v>105</v>
      </c>
      <c r="AF120" s="15">
        <f t="shared" ca="1" si="77"/>
        <v>5</v>
      </c>
      <c r="AH120" s="15">
        <f t="shared" si="70"/>
        <v>4</v>
      </c>
      <c r="AI120" s="38">
        <f t="shared" ca="1" si="58"/>
        <v>87.968656893678315</v>
      </c>
    </row>
    <row r="121" spans="1:35" x14ac:dyDescent="0.2">
      <c r="A121" s="15">
        <v>104</v>
      </c>
      <c r="B121" s="2">
        <f t="shared" si="59"/>
        <v>169.46</v>
      </c>
      <c r="C121" s="25">
        <v>21.8</v>
      </c>
      <c r="D121" s="25">
        <v>30</v>
      </c>
      <c r="E121" s="25">
        <v>27.65</v>
      </c>
      <c r="F121" s="3" t="str">
        <f t="shared" ca="1" si="60"/>
        <v>ИГЭ-4</v>
      </c>
      <c r="G121" s="30" t="str">
        <f t="shared" ca="1" si="61"/>
        <v>пыл.-глинист.</v>
      </c>
      <c r="I121" s="13">
        <f t="shared" ca="1" si="71"/>
        <v>26736</v>
      </c>
      <c r="J121" s="14">
        <f t="shared" ca="1" si="62"/>
        <v>0.23263999999999996</v>
      </c>
      <c r="L121" s="14">
        <f t="shared" ca="1" si="63"/>
        <v>0.90400000000000003</v>
      </c>
      <c r="M121" s="22">
        <f t="shared" ca="1" si="72"/>
        <v>5.4078139999999815</v>
      </c>
      <c r="N121" s="37">
        <f t="shared" ca="1" si="64"/>
        <v>1</v>
      </c>
      <c r="O121" s="37">
        <f t="shared" ca="1" si="65"/>
        <v>0</v>
      </c>
      <c r="Q121" s="22">
        <f t="shared" si="66"/>
        <v>18.8</v>
      </c>
      <c r="R121" s="22">
        <f t="shared" ca="1" si="67"/>
        <v>761.93322239999986</v>
      </c>
      <c r="S121" s="22">
        <f ca="1">IF(Q121="","",IF(Q121=0,0,SUMPRODUCT(OFFSET(M$18,MATCH(MIN(Q$18:Q$137),Q$18:Q$137,0),0,COUNT(M$18:M121)-MATCH(MIN(Q$18:Q$137),Q$18:Q$137,0),1),OFFSET(M$18,MATCH(MIN(Q$18:Q$137),Q$18:Q$137,0),1,COUNT(M$18:M121)-MATCH(MIN(Q$18:Q$137),Q$18:Q$137,0),1))*$T$6))</f>
        <v>511.75701920000012</v>
      </c>
      <c r="T121" s="22">
        <f t="shared" ca="1" si="68"/>
        <v>1273.6902416</v>
      </c>
      <c r="V121" s="22">
        <f ca="1">IF(Q121="","",IF(Q121=0,0,SUMPRODUCT(OFFSET(M$18,MATCH(MIN(Q$18:Q$137),Q$18:Q$137,0),0,COUNT(M$18:M121)-MATCH(MIN(Q$18:Q$137),Q$18:Q$137,0),1),OFFSET(M$18,MATCH(MIN(Q$18:Q$137),Q$18:Q$137,0),2,COUNT(M$18:M121)-MATCH(MIN(Q$18:Q$137),Q$18:Q$137,0),1))*$T$6*$T$14))</f>
        <v>0</v>
      </c>
      <c r="W121" s="29"/>
      <c r="X121" s="23">
        <f t="shared" ca="1" si="69"/>
        <v>97.535475104994902</v>
      </c>
      <c r="Z121" s="15">
        <f t="shared" si="73"/>
        <v>21.45</v>
      </c>
      <c r="AA121" s="15">
        <f t="shared" si="74"/>
        <v>23.2</v>
      </c>
      <c r="AC121" s="15">
        <f t="shared" si="75"/>
        <v>101</v>
      </c>
      <c r="AD121" s="15">
        <f t="shared" si="76"/>
        <v>105</v>
      </c>
      <c r="AF121" s="15">
        <f t="shared" ca="1" si="77"/>
        <v>5</v>
      </c>
      <c r="AH121" s="15">
        <f t="shared" si="70"/>
        <v>4</v>
      </c>
      <c r="AI121" s="38">
        <f t="shared" ca="1" si="58"/>
        <v>88.467551115641641</v>
      </c>
    </row>
    <row r="122" spans="1:35" x14ac:dyDescent="0.2">
      <c r="A122" s="15">
        <v>105</v>
      </c>
      <c r="B122" s="2">
        <f t="shared" si="59"/>
        <v>169.26</v>
      </c>
      <c r="C122" s="25">
        <v>22</v>
      </c>
      <c r="D122" s="25">
        <v>30</v>
      </c>
      <c r="E122" s="25">
        <v>29.95</v>
      </c>
      <c r="F122" s="3" t="str">
        <f t="shared" ca="1" si="60"/>
        <v>ИГЭ-4</v>
      </c>
      <c r="G122" s="30" t="str">
        <f t="shared" ca="1" si="61"/>
        <v>пыл.-глинист.</v>
      </c>
      <c r="I122" s="13">
        <f t="shared" ca="1" si="71"/>
        <v>30000</v>
      </c>
      <c r="J122" s="14">
        <f t="shared" ca="1" si="62"/>
        <v>0.19999999999999996</v>
      </c>
      <c r="L122" s="14">
        <f t="shared" ca="1" si="63"/>
        <v>0.876</v>
      </c>
      <c r="M122" s="22">
        <f t="shared" ca="1" si="72"/>
        <v>5.1231799999999819</v>
      </c>
      <c r="N122" s="37">
        <f t="shared" ca="1" si="64"/>
        <v>1</v>
      </c>
      <c r="O122" s="37">
        <f t="shared" ca="1" si="65"/>
        <v>0</v>
      </c>
      <c r="Q122" s="22">
        <f t="shared" si="66"/>
        <v>19</v>
      </c>
      <c r="R122" s="22">
        <f t="shared" ca="1" si="67"/>
        <v>734.99999999999977</v>
      </c>
      <c r="S122" s="22">
        <f ca="1">IF(Q122="","",IF(Q122=0,0,SUMPRODUCT(OFFSET(M$18,MATCH(MIN(Q$18:Q$137),Q$18:Q$137,0),0,COUNT(M$18:M122)-MATCH(MIN(Q$18:Q$137),Q$18:Q$137,0),1),OFFSET(M$18,MATCH(MIN(Q$18:Q$137),Q$18:Q$137,0),1,COUNT(M$18:M122)-MATCH(MIN(Q$18:Q$137),Q$18:Q$137,0),1))*$T$6))</f>
        <v>518.92947120000008</v>
      </c>
      <c r="T122" s="22">
        <f t="shared" ca="1" si="68"/>
        <v>1253.9294711999999</v>
      </c>
      <c r="V122" s="22">
        <f ca="1">IF(Q122="","",IF(Q122=0,0,SUMPRODUCT(OFFSET(M$18,MATCH(MIN(Q$18:Q$137),Q$18:Q$137,0),0,COUNT(M$18:M122)-MATCH(MIN(Q$18:Q$137),Q$18:Q$137,0),1),OFFSET(M$18,MATCH(MIN(Q$18:Q$137),Q$18:Q$137,0),2,COUNT(M$18:M122)-MATCH(MIN(Q$18:Q$137),Q$18:Q$137,0),1))*$T$6*$T$14))</f>
        <v>0</v>
      </c>
      <c r="W122" s="29"/>
      <c r="X122" s="23">
        <f t="shared" ca="1" si="69"/>
        <v>95.85662035779815</v>
      </c>
      <c r="Z122" s="15">
        <f t="shared" si="73"/>
        <v>21.65</v>
      </c>
      <c r="AA122" s="15">
        <f t="shared" si="74"/>
        <v>23.4</v>
      </c>
      <c r="AC122" s="15">
        <f t="shared" si="75"/>
        <v>102</v>
      </c>
      <c r="AD122" s="15">
        <f t="shared" si="76"/>
        <v>105</v>
      </c>
      <c r="AF122" s="15">
        <f t="shared" ca="1" si="77"/>
        <v>4</v>
      </c>
      <c r="AH122" s="15">
        <f t="shared" si="70"/>
        <v>4</v>
      </c>
      <c r="AI122" s="38">
        <f t="shared" ca="1" si="58"/>
        <v>86.944780369884953</v>
      </c>
    </row>
    <row r="123" spans="1:35" x14ac:dyDescent="0.2">
      <c r="A123" s="15">
        <v>106</v>
      </c>
      <c r="B123" s="2" t="str">
        <f t="shared" si="59"/>
        <v/>
      </c>
      <c r="C123" s="25"/>
      <c r="D123" s="25"/>
      <c r="E123" s="25"/>
      <c r="F123" s="3" t="str">
        <f t="shared" ca="1" si="60"/>
        <v/>
      </c>
      <c r="G123" s="30" t="str">
        <f t="shared" ca="1" si="61"/>
        <v/>
      </c>
      <c r="I123" s="13" t="str">
        <f t="shared" ca="1" si="71"/>
        <v/>
      </c>
      <c r="J123" s="14" t="str">
        <f t="shared" ca="1" si="62"/>
        <v/>
      </c>
      <c r="L123" s="14" t="str">
        <f t="shared" ca="1" si="63"/>
        <v/>
      </c>
      <c r="M123" s="22" t="str">
        <f t="shared" ca="1" si="72"/>
        <v/>
      </c>
      <c r="N123" s="37" t="str">
        <f t="shared" ca="1" si="64"/>
        <v/>
      </c>
      <c r="O123" s="37" t="str">
        <f t="shared" ca="1" si="65"/>
        <v/>
      </c>
      <c r="Q123" s="22" t="str">
        <f t="shared" si="66"/>
        <v/>
      </c>
      <c r="R123" s="22" t="str">
        <f t="shared" si="67"/>
        <v/>
      </c>
      <c r="S123" s="22" t="str">
        <f ca="1">IF(Q123="","",IF(Q123=0,0,SUMPRODUCT(OFFSET(M$18,MATCH(MIN(Q$18:Q$137),Q$18:Q$137,0),0,COUNT(M$18:M123)-MATCH(MIN(Q$18:Q$137),Q$18:Q$137,0),1),OFFSET(M$18,MATCH(MIN(Q$18:Q$137),Q$18:Q$137,0),1,COUNT(M$18:M123)-MATCH(MIN(Q$18:Q$137),Q$18:Q$137,0),1))*$T$6))</f>
        <v/>
      </c>
      <c r="T123" s="22" t="str">
        <f t="shared" si="68"/>
        <v/>
      </c>
      <c r="V123" s="22" t="str">
        <f ca="1">IF(Q123="","",IF(Q123=0,0,SUMPRODUCT(OFFSET(M$18,MATCH(MIN(Q$18:Q$137),Q$18:Q$137,0),0,COUNT(M$18:M123)-MATCH(MIN(Q$18:Q$137),Q$18:Q$137,0),1),OFFSET(M$18,MATCH(MIN(Q$18:Q$137),Q$18:Q$137,0),2,COUNT(M$18:M123)-MATCH(MIN(Q$18:Q$137),Q$18:Q$137,0),1))*$T$6*$T$14))</f>
        <v/>
      </c>
      <c r="W123" s="29"/>
      <c r="X123" s="23" t="str">
        <f t="shared" si="69"/>
        <v/>
      </c>
      <c r="Z123" s="15">
        <f t="shared" si="73"/>
        <v>-0.35</v>
      </c>
      <c r="AA123" s="15">
        <f t="shared" si="74"/>
        <v>1.4</v>
      </c>
      <c r="AC123" s="15">
        <f t="shared" si="75"/>
        <v>1</v>
      </c>
      <c r="AD123" s="15" t="e">
        <f t="shared" si="76"/>
        <v>#NUM!</v>
      </c>
      <c r="AF123" s="15">
        <f t="shared" ca="1" si="77"/>
        <v>0</v>
      </c>
      <c r="AH123" s="15" t="e">
        <f t="shared" si="70"/>
        <v>#N/A</v>
      </c>
      <c r="AI123" s="38" t="e">
        <f t="shared" si="58"/>
        <v>#VALUE!</v>
      </c>
    </row>
    <row r="124" spans="1:35" x14ac:dyDescent="0.2">
      <c r="A124" s="15">
        <v>107</v>
      </c>
      <c r="B124" s="2" t="str">
        <f t="shared" si="59"/>
        <v/>
      </c>
      <c r="C124" s="25"/>
      <c r="D124" s="25"/>
      <c r="E124" s="25"/>
      <c r="F124" s="3" t="str">
        <f t="shared" ca="1" si="60"/>
        <v/>
      </c>
      <c r="G124" s="30" t="str">
        <f t="shared" ca="1" si="61"/>
        <v/>
      </c>
      <c r="I124" s="13" t="str">
        <f t="shared" ca="1" si="71"/>
        <v/>
      </c>
      <c r="J124" s="14" t="str">
        <f t="shared" ca="1" si="62"/>
        <v/>
      </c>
      <c r="L124" s="14" t="str">
        <f t="shared" ca="1" si="63"/>
        <v/>
      </c>
      <c r="M124" s="22" t="str">
        <f t="shared" ca="1" si="72"/>
        <v/>
      </c>
      <c r="N124" s="37" t="str">
        <f t="shared" ca="1" si="64"/>
        <v/>
      </c>
      <c r="O124" s="37" t="str">
        <f t="shared" ca="1" si="65"/>
        <v/>
      </c>
      <c r="Q124" s="22" t="str">
        <f t="shared" si="66"/>
        <v/>
      </c>
      <c r="R124" s="22" t="str">
        <f t="shared" si="67"/>
        <v/>
      </c>
      <c r="S124" s="22" t="str">
        <f ca="1">IF(Q124="","",IF(Q124=0,0,SUMPRODUCT(OFFSET(M$18,MATCH(MIN(Q$18:Q$137),Q$18:Q$137,0),0,COUNT(M$18:M124)-MATCH(MIN(Q$18:Q$137),Q$18:Q$137,0),1),OFFSET(M$18,MATCH(MIN(Q$18:Q$137),Q$18:Q$137,0),1,COUNT(M$18:M124)-MATCH(MIN(Q$18:Q$137),Q$18:Q$137,0),1))*$T$6))</f>
        <v/>
      </c>
      <c r="T124" s="22" t="str">
        <f t="shared" si="68"/>
        <v/>
      </c>
      <c r="V124" s="22" t="str">
        <f ca="1">IF(Q124="","",IF(Q124=0,0,SUMPRODUCT(OFFSET(M$18,MATCH(MIN(Q$18:Q$137),Q$18:Q$137,0),0,COUNT(M$18:M124)-MATCH(MIN(Q$18:Q$137),Q$18:Q$137,0),1),OFFSET(M$18,MATCH(MIN(Q$18:Q$137),Q$18:Q$137,0),2,COUNT(M$18:M124)-MATCH(MIN(Q$18:Q$137),Q$18:Q$137,0),1))*$T$6*$T$14))</f>
        <v/>
      </c>
      <c r="W124" s="29"/>
      <c r="X124" s="23" t="str">
        <f t="shared" si="69"/>
        <v/>
      </c>
      <c r="Z124" s="15">
        <f t="shared" si="73"/>
        <v>-0.35</v>
      </c>
      <c r="AA124" s="15">
        <f t="shared" si="74"/>
        <v>1.4</v>
      </c>
      <c r="AC124" s="15" t="e">
        <f t="shared" si="75"/>
        <v>#DIV/0!</v>
      </c>
      <c r="AD124" s="15" t="e">
        <f t="shared" si="76"/>
        <v>#N/A</v>
      </c>
      <c r="AF124" s="15">
        <f t="shared" ca="1" si="77"/>
        <v>0</v>
      </c>
      <c r="AH124" s="15" t="e">
        <f t="shared" si="70"/>
        <v>#N/A</v>
      </c>
      <c r="AI124" s="38" t="e">
        <f t="shared" si="58"/>
        <v>#VALUE!</v>
      </c>
    </row>
    <row r="125" spans="1:35" x14ac:dyDescent="0.2">
      <c r="A125" s="15">
        <v>108</v>
      </c>
      <c r="B125" s="2" t="str">
        <f t="shared" si="59"/>
        <v/>
      </c>
      <c r="C125" s="25"/>
      <c r="D125" s="25"/>
      <c r="E125" s="25"/>
      <c r="F125" s="3" t="str">
        <f t="shared" ca="1" si="60"/>
        <v/>
      </c>
      <c r="G125" s="30" t="str">
        <f t="shared" ca="1" si="61"/>
        <v/>
      </c>
      <c r="I125" s="13" t="str">
        <f t="shared" ca="1" si="71"/>
        <v/>
      </c>
      <c r="J125" s="14" t="str">
        <f t="shared" ca="1" si="62"/>
        <v/>
      </c>
      <c r="L125" s="14" t="str">
        <f t="shared" ca="1" si="63"/>
        <v/>
      </c>
      <c r="M125" s="22" t="str">
        <f t="shared" ca="1" si="72"/>
        <v/>
      </c>
      <c r="N125" s="37" t="str">
        <f t="shared" ca="1" si="64"/>
        <v/>
      </c>
      <c r="O125" s="37" t="str">
        <f t="shared" ca="1" si="65"/>
        <v/>
      </c>
      <c r="Q125" s="22" t="str">
        <f t="shared" si="66"/>
        <v/>
      </c>
      <c r="R125" s="22" t="str">
        <f t="shared" si="67"/>
        <v/>
      </c>
      <c r="S125" s="22" t="str">
        <f ca="1">IF(Q125="","",IF(Q125=0,0,SUMPRODUCT(OFFSET(M$18,MATCH(MIN(Q$18:Q$137),Q$18:Q$137,0),0,COUNT(M$18:M125)-MATCH(MIN(Q$18:Q$137),Q$18:Q$137,0),1),OFFSET(M$18,MATCH(MIN(Q$18:Q$137),Q$18:Q$137,0),1,COUNT(M$18:M125)-MATCH(MIN(Q$18:Q$137),Q$18:Q$137,0),1))*$T$6))</f>
        <v/>
      </c>
      <c r="T125" s="22" t="str">
        <f t="shared" si="68"/>
        <v/>
      </c>
      <c r="V125" s="22" t="str">
        <f ca="1">IF(Q125="","",IF(Q125=0,0,SUMPRODUCT(OFFSET(M$18,MATCH(MIN(Q$18:Q$137),Q$18:Q$137,0),0,COUNT(M$18:M125)-MATCH(MIN(Q$18:Q$137),Q$18:Q$137,0),1),OFFSET(M$18,MATCH(MIN(Q$18:Q$137),Q$18:Q$137,0),2,COUNT(M$18:M125)-MATCH(MIN(Q$18:Q$137),Q$18:Q$137,0),1))*$T$6*$T$14))</f>
        <v/>
      </c>
      <c r="W125" s="29"/>
      <c r="X125" s="23" t="str">
        <f t="shared" si="69"/>
        <v/>
      </c>
      <c r="Z125" s="15">
        <f t="shared" si="73"/>
        <v>-0.35</v>
      </c>
      <c r="AA125" s="15">
        <f t="shared" si="74"/>
        <v>1.4</v>
      </c>
      <c r="AC125" s="15" t="e">
        <f t="shared" si="75"/>
        <v>#DIV/0!</v>
      </c>
      <c r="AD125" s="15" t="e">
        <f t="shared" si="76"/>
        <v>#N/A</v>
      </c>
      <c r="AF125" s="15">
        <f t="shared" ca="1" si="77"/>
        <v>0</v>
      </c>
      <c r="AH125" s="15" t="e">
        <f t="shared" si="70"/>
        <v>#N/A</v>
      </c>
      <c r="AI125" s="38" t="e">
        <f t="shared" si="58"/>
        <v>#VALUE!</v>
      </c>
    </row>
    <row r="126" spans="1:35" x14ac:dyDescent="0.2">
      <c r="A126" s="15">
        <v>109</v>
      </c>
      <c r="B126" s="2" t="str">
        <f t="shared" si="59"/>
        <v/>
      </c>
      <c r="C126" s="25"/>
      <c r="D126" s="25"/>
      <c r="E126" s="25"/>
      <c r="F126" s="3" t="str">
        <f t="shared" ca="1" si="60"/>
        <v/>
      </c>
      <c r="G126" s="30" t="str">
        <f t="shared" ca="1" si="61"/>
        <v/>
      </c>
      <c r="I126" s="13" t="str">
        <f t="shared" ca="1" si="71"/>
        <v/>
      </c>
      <c r="J126" s="14" t="str">
        <f t="shared" ca="1" si="62"/>
        <v/>
      </c>
      <c r="L126" s="14" t="str">
        <f t="shared" ca="1" si="63"/>
        <v/>
      </c>
      <c r="M126" s="22" t="str">
        <f t="shared" ca="1" si="72"/>
        <v/>
      </c>
      <c r="N126" s="37" t="str">
        <f t="shared" ca="1" si="64"/>
        <v/>
      </c>
      <c r="O126" s="37" t="str">
        <f t="shared" ca="1" si="65"/>
        <v/>
      </c>
      <c r="Q126" s="22" t="str">
        <f t="shared" si="66"/>
        <v/>
      </c>
      <c r="R126" s="22" t="str">
        <f t="shared" si="67"/>
        <v/>
      </c>
      <c r="S126" s="22" t="str">
        <f ca="1">IF(Q126="","",IF(Q126=0,0,SUMPRODUCT(OFFSET(M$18,MATCH(MIN(Q$18:Q$137),Q$18:Q$137,0),0,COUNT(M$18:M126)-MATCH(MIN(Q$18:Q$137),Q$18:Q$137,0),1),OFFSET(M$18,MATCH(MIN(Q$18:Q$137),Q$18:Q$137,0),1,COUNT(M$18:M126)-MATCH(MIN(Q$18:Q$137),Q$18:Q$137,0),1))*$T$6))</f>
        <v/>
      </c>
      <c r="T126" s="22" t="str">
        <f t="shared" si="68"/>
        <v/>
      </c>
      <c r="V126" s="22" t="str">
        <f ca="1">IF(Q126="","",IF(Q126=0,0,SUMPRODUCT(OFFSET(M$18,MATCH(MIN(Q$18:Q$137),Q$18:Q$137,0),0,COUNT(M$18:M126)-MATCH(MIN(Q$18:Q$137),Q$18:Q$137,0),1),OFFSET(M$18,MATCH(MIN(Q$18:Q$137),Q$18:Q$137,0),2,COUNT(M$18:M126)-MATCH(MIN(Q$18:Q$137),Q$18:Q$137,0),1))*$T$6*$T$14))</f>
        <v/>
      </c>
      <c r="W126" s="29"/>
      <c r="X126" s="23" t="str">
        <f t="shared" si="69"/>
        <v/>
      </c>
      <c r="Z126" s="15">
        <f t="shared" si="73"/>
        <v>-0.35</v>
      </c>
      <c r="AA126" s="15">
        <f t="shared" si="74"/>
        <v>1.4</v>
      </c>
      <c r="AC126" s="15" t="e">
        <f t="shared" si="75"/>
        <v>#DIV/0!</v>
      </c>
      <c r="AD126" s="15" t="e">
        <f t="shared" si="76"/>
        <v>#N/A</v>
      </c>
      <c r="AF126" s="15">
        <f t="shared" ca="1" si="77"/>
        <v>0</v>
      </c>
      <c r="AH126" s="15" t="e">
        <f t="shared" si="70"/>
        <v>#N/A</v>
      </c>
      <c r="AI126" s="38" t="e">
        <f t="shared" si="58"/>
        <v>#VALUE!</v>
      </c>
    </row>
    <row r="127" spans="1:35" x14ac:dyDescent="0.2">
      <c r="A127" s="15">
        <v>110</v>
      </c>
      <c r="B127" s="2" t="str">
        <f t="shared" si="59"/>
        <v/>
      </c>
      <c r="C127" s="25"/>
      <c r="D127" s="25"/>
      <c r="E127" s="25"/>
      <c r="F127" s="3" t="str">
        <f t="shared" ca="1" si="60"/>
        <v/>
      </c>
      <c r="G127" s="30" t="str">
        <f t="shared" ca="1" si="61"/>
        <v/>
      </c>
      <c r="I127" s="13" t="str">
        <f t="shared" ca="1" si="71"/>
        <v/>
      </c>
      <c r="J127" s="14" t="str">
        <f t="shared" ca="1" si="62"/>
        <v/>
      </c>
      <c r="L127" s="14" t="str">
        <f t="shared" ca="1" si="63"/>
        <v/>
      </c>
      <c r="M127" s="22" t="str">
        <f t="shared" ca="1" si="72"/>
        <v/>
      </c>
      <c r="N127" s="37" t="str">
        <f t="shared" ca="1" si="64"/>
        <v/>
      </c>
      <c r="O127" s="37" t="str">
        <f t="shared" ca="1" si="65"/>
        <v/>
      </c>
      <c r="Q127" s="22" t="str">
        <f t="shared" si="66"/>
        <v/>
      </c>
      <c r="R127" s="22" t="str">
        <f t="shared" si="67"/>
        <v/>
      </c>
      <c r="S127" s="22" t="str">
        <f ca="1">IF(Q127="","",IF(Q127=0,0,SUMPRODUCT(OFFSET(M$18,MATCH(MIN(Q$18:Q$137),Q$18:Q$137,0),0,COUNT(M$18:M127)-MATCH(MIN(Q$18:Q$137),Q$18:Q$137,0),1),OFFSET(M$18,MATCH(MIN(Q$18:Q$137),Q$18:Q$137,0),1,COUNT(M$18:M127)-MATCH(MIN(Q$18:Q$137),Q$18:Q$137,0),1))*$T$6))</f>
        <v/>
      </c>
      <c r="T127" s="22" t="str">
        <f t="shared" si="68"/>
        <v/>
      </c>
      <c r="V127" s="22" t="str">
        <f ca="1">IF(Q127="","",IF(Q127=0,0,SUMPRODUCT(OFFSET(M$18,MATCH(MIN(Q$18:Q$137),Q$18:Q$137,0),0,COUNT(M$18:M127)-MATCH(MIN(Q$18:Q$137),Q$18:Q$137,0),1),OFFSET(M$18,MATCH(MIN(Q$18:Q$137),Q$18:Q$137,0),2,COUNT(M$18:M127)-MATCH(MIN(Q$18:Q$137),Q$18:Q$137,0),1))*$T$6*$T$14))</f>
        <v/>
      </c>
      <c r="W127" s="29"/>
      <c r="X127" s="23" t="str">
        <f t="shared" si="69"/>
        <v/>
      </c>
      <c r="Z127" s="15">
        <f t="shared" si="73"/>
        <v>-0.35</v>
      </c>
      <c r="AA127" s="15">
        <f t="shared" si="74"/>
        <v>1.4</v>
      </c>
      <c r="AC127" s="15" t="e">
        <f t="shared" si="75"/>
        <v>#DIV/0!</v>
      </c>
      <c r="AD127" s="15" t="e">
        <f t="shared" si="76"/>
        <v>#N/A</v>
      </c>
      <c r="AF127" s="15">
        <f t="shared" ca="1" si="77"/>
        <v>0</v>
      </c>
      <c r="AH127" s="15" t="e">
        <f t="shared" si="70"/>
        <v>#N/A</v>
      </c>
      <c r="AI127" s="38" t="e">
        <f t="shared" si="58"/>
        <v>#VALUE!</v>
      </c>
    </row>
    <row r="128" spans="1:35" x14ac:dyDescent="0.2">
      <c r="A128" s="15">
        <v>111</v>
      </c>
      <c r="B128" s="2" t="str">
        <f t="shared" si="59"/>
        <v/>
      </c>
      <c r="C128" s="25"/>
      <c r="D128" s="25"/>
      <c r="E128" s="25"/>
      <c r="F128" s="3" t="str">
        <f t="shared" ca="1" si="60"/>
        <v/>
      </c>
      <c r="G128" s="30" t="str">
        <f t="shared" ca="1" si="61"/>
        <v/>
      </c>
      <c r="I128" s="13" t="str">
        <f t="shared" ca="1" si="71"/>
        <v/>
      </c>
      <c r="J128" s="14" t="str">
        <f t="shared" ca="1" si="62"/>
        <v/>
      </c>
      <c r="L128" s="14" t="str">
        <f t="shared" ca="1" si="63"/>
        <v/>
      </c>
      <c r="M128" s="22" t="str">
        <f t="shared" ca="1" si="72"/>
        <v/>
      </c>
      <c r="N128" s="37" t="str">
        <f t="shared" ca="1" si="64"/>
        <v/>
      </c>
      <c r="O128" s="37" t="str">
        <f t="shared" ca="1" si="65"/>
        <v/>
      </c>
      <c r="Q128" s="22" t="str">
        <f t="shared" si="66"/>
        <v/>
      </c>
      <c r="R128" s="22" t="str">
        <f t="shared" si="67"/>
        <v/>
      </c>
      <c r="S128" s="22" t="str">
        <f ca="1">IF(Q128="","",IF(Q128=0,0,SUMPRODUCT(OFFSET(M$18,MATCH(MIN(Q$18:Q$137),Q$18:Q$137,0),0,COUNT(M$18:M128)-MATCH(MIN(Q$18:Q$137),Q$18:Q$137,0),1),OFFSET(M$18,MATCH(MIN(Q$18:Q$137),Q$18:Q$137,0),1,COUNT(M$18:M128)-MATCH(MIN(Q$18:Q$137),Q$18:Q$137,0),1))*$T$6))</f>
        <v/>
      </c>
      <c r="T128" s="22" t="str">
        <f t="shared" si="68"/>
        <v/>
      </c>
      <c r="V128" s="22" t="str">
        <f ca="1">IF(Q128="","",IF(Q128=0,0,SUMPRODUCT(OFFSET(M$18,MATCH(MIN(Q$18:Q$137),Q$18:Q$137,0),0,COUNT(M$18:M128)-MATCH(MIN(Q$18:Q$137),Q$18:Q$137,0),1),OFFSET(M$18,MATCH(MIN(Q$18:Q$137),Q$18:Q$137,0),2,COUNT(M$18:M128)-MATCH(MIN(Q$18:Q$137),Q$18:Q$137,0),1))*$T$6*$T$14))</f>
        <v/>
      </c>
      <c r="W128" s="29"/>
      <c r="X128" s="23" t="str">
        <f t="shared" si="69"/>
        <v/>
      </c>
      <c r="Z128" s="15">
        <f t="shared" si="73"/>
        <v>-0.35</v>
      </c>
      <c r="AA128" s="15">
        <f t="shared" si="74"/>
        <v>1.4</v>
      </c>
      <c r="AC128" s="15" t="e">
        <f t="shared" si="75"/>
        <v>#DIV/0!</v>
      </c>
      <c r="AD128" s="15" t="e">
        <f t="shared" si="76"/>
        <v>#N/A</v>
      </c>
      <c r="AF128" s="15">
        <f t="shared" ca="1" si="77"/>
        <v>0</v>
      </c>
      <c r="AH128" s="15" t="e">
        <f t="shared" si="70"/>
        <v>#N/A</v>
      </c>
      <c r="AI128" s="38" t="e">
        <f t="shared" si="58"/>
        <v>#VALUE!</v>
      </c>
    </row>
    <row r="129" spans="1:35" x14ac:dyDescent="0.2">
      <c r="A129" s="15">
        <v>112</v>
      </c>
      <c r="B129" s="2" t="str">
        <f t="shared" si="59"/>
        <v/>
      </c>
      <c r="C129" s="25"/>
      <c r="D129" s="25"/>
      <c r="E129" s="25"/>
      <c r="F129" s="3" t="str">
        <f t="shared" ca="1" si="60"/>
        <v/>
      </c>
      <c r="G129" s="30" t="str">
        <f t="shared" ca="1" si="61"/>
        <v/>
      </c>
      <c r="I129" s="13" t="str">
        <f t="shared" ca="1" si="71"/>
        <v/>
      </c>
      <c r="J129" s="14" t="str">
        <f t="shared" ca="1" si="62"/>
        <v/>
      </c>
      <c r="L129" s="14" t="str">
        <f t="shared" ca="1" si="63"/>
        <v/>
      </c>
      <c r="M129" s="22" t="str">
        <f t="shared" ca="1" si="72"/>
        <v/>
      </c>
      <c r="N129" s="37" t="str">
        <f t="shared" ca="1" si="64"/>
        <v/>
      </c>
      <c r="O129" s="37" t="str">
        <f t="shared" ca="1" si="65"/>
        <v/>
      </c>
      <c r="Q129" s="22" t="str">
        <f t="shared" si="66"/>
        <v/>
      </c>
      <c r="R129" s="22" t="str">
        <f t="shared" si="67"/>
        <v/>
      </c>
      <c r="S129" s="22" t="str">
        <f ca="1">IF(Q129="","",IF(Q129=0,0,SUMPRODUCT(OFFSET(M$18,MATCH(MIN(Q$18:Q$137),Q$18:Q$137,0),0,COUNT(M$18:M129)-MATCH(MIN(Q$18:Q$137),Q$18:Q$137,0),1),OFFSET(M$18,MATCH(MIN(Q$18:Q$137),Q$18:Q$137,0),1,COUNT(M$18:M129)-MATCH(MIN(Q$18:Q$137),Q$18:Q$137,0),1))*$T$6))</f>
        <v/>
      </c>
      <c r="T129" s="22" t="str">
        <f t="shared" si="68"/>
        <v/>
      </c>
      <c r="V129" s="22" t="str">
        <f ca="1">IF(Q129="","",IF(Q129=0,0,SUMPRODUCT(OFFSET(M$18,MATCH(MIN(Q$18:Q$137),Q$18:Q$137,0),0,COUNT(M$18:M129)-MATCH(MIN(Q$18:Q$137),Q$18:Q$137,0),1),OFFSET(M$18,MATCH(MIN(Q$18:Q$137),Q$18:Q$137,0),2,COUNT(M$18:M129)-MATCH(MIN(Q$18:Q$137),Q$18:Q$137,0),1))*$T$6*$T$14))</f>
        <v/>
      </c>
      <c r="W129" s="29"/>
      <c r="X129" s="23" t="str">
        <f t="shared" si="69"/>
        <v/>
      </c>
      <c r="Z129" s="15">
        <f t="shared" si="73"/>
        <v>-0.35</v>
      </c>
      <c r="AA129" s="15">
        <f t="shared" si="74"/>
        <v>1.4</v>
      </c>
      <c r="AC129" s="15" t="e">
        <f t="shared" si="75"/>
        <v>#DIV/0!</v>
      </c>
      <c r="AD129" s="15" t="e">
        <f t="shared" si="76"/>
        <v>#N/A</v>
      </c>
      <c r="AF129" s="15">
        <f t="shared" ca="1" si="77"/>
        <v>0</v>
      </c>
      <c r="AH129" s="15" t="e">
        <f t="shared" si="70"/>
        <v>#N/A</v>
      </c>
      <c r="AI129" s="38" t="e">
        <f t="shared" si="58"/>
        <v>#VALUE!</v>
      </c>
    </row>
    <row r="130" spans="1:35" x14ac:dyDescent="0.2">
      <c r="A130" s="15">
        <v>113</v>
      </c>
      <c r="B130" s="2" t="str">
        <f t="shared" si="59"/>
        <v/>
      </c>
      <c r="C130" s="25"/>
      <c r="D130" s="25"/>
      <c r="E130" s="25"/>
      <c r="F130" s="3" t="str">
        <f t="shared" ca="1" si="60"/>
        <v/>
      </c>
      <c r="G130" s="30" t="str">
        <f t="shared" ca="1" si="61"/>
        <v/>
      </c>
      <c r="I130" s="13" t="str">
        <f t="shared" ca="1" si="71"/>
        <v/>
      </c>
      <c r="J130" s="14" t="str">
        <f t="shared" ca="1" si="62"/>
        <v/>
      </c>
      <c r="L130" s="14" t="str">
        <f t="shared" ca="1" si="63"/>
        <v/>
      </c>
      <c r="M130" s="22" t="str">
        <f t="shared" ca="1" si="72"/>
        <v/>
      </c>
      <c r="N130" s="37" t="str">
        <f t="shared" ca="1" si="64"/>
        <v/>
      </c>
      <c r="O130" s="37" t="str">
        <f t="shared" ca="1" si="65"/>
        <v/>
      </c>
      <c r="Q130" s="22" t="str">
        <f t="shared" si="66"/>
        <v/>
      </c>
      <c r="R130" s="22" t="str">
        <f t="shared" si="67"/>
        <v/>
      </c>
      <c r="S130" s="22" t="str">
        <f ca="1">IF(Q130="","",IF(Q130=0,0,SUMPRODUCT(OFFSET(M$18,MATCH(MIN(Q$18:Q$137),Q$18:Q$137,0),0,COUNT(M$18:M130)-MATCH(MIN(Q$18:Q$137),Q$18:Q$137,0),1),OFFSET(M$18,MATCH(MIN(Q$18:Q$137),Q$18:Q$137,0),1,COUNT(M$18:M130)-MATCH(MIN(Q$18:Q$137),Q$18:Q$137,0),1))*$T$6))</f>
        <v/>
      </c>
      <c r="T130" s="22" t="str">
        <f t="shared" si="68"/>
        <v/>
      </c>
      <c r="V130" s="22" t="str">
        <f ca="1">IF(Q130="","",IF(Q130=0,0,SUMPRODUCT(OFFSET(M$18,MATCH(MIN(Q$18:Q$137),Q$18:Q$137,0),0,COUNT(M$18:M130)-MATCH(MIN(Q$18:Q$137),Q$18:Q$137,0),1),OFFSET(M$18,MATCH(MIN(Q$18:Q$137),Q$18:Q$137,0),2,COUNT(M$18:M130)-MATCH(MIN(Q$18:Q$137),Q$18:Q$137,0),1))*$T$6*$T$14))</f>
        <v/>
      </c>
      <c r="W130" s="29"/>
      <c r="X130" s="23" t="str">
        <f t="shared" si="69"/>
        <v/>
      </c>
      <c r="Z130" s="15">
        <f t="shared" si="73"/>
        <v>-0.35</v>
      </c>
      <c r="AA130" s="15">
        <f t="shared" si="74"/>
        <v>1.4</v>
      </c>
      <c r="AC130" s="15" t="e">
        <f t="shared" si="75"/>
        <v>#DIV/0!</v>
      </c>
      <c r="AD130" s="15" t="e">
        <f t="shared" si="76"/>
        <v>#N/A</v>
      </c>
      <c r="AF130" s="15">
        <f t="shared" ca="1" si="77"/>
        <v>0</v>
      </c>
      <c r="AH130" s="15" t="e">
        <f t="shared" si="70"/>
        <v>#N/A</v>
      </c>
      <c r="AI130" s="38" t="e">
        <f t="shared" si="58"/>
        <v>#VALUE!</v>
      </c>
    </row>
    <row r="131" spans="1:35" x14ac:dyDescent="0.2">
      <c r="A131" s="15">
        <v>114</v>
      </c>
      <c r="B131" s="2" t="str">
        <f t="shared" si="59"/>
        <v/>
      </c>
      <c r="C131" s="25"/>
      <c r="D131" s="25"/>
      <c r="E131" s="25"/>
      <c r="F131" s="3" t="str">
        <f t="shared" ca="1" si="60"/>
        <v/>
      </c>
      <c r="G131" s="30" t="str">
        <f t="shared" ca="1" si="61"/>
        <v/>
      </c>
      <c r="I131" s="13" t="str">
        <f t="shared" ca="1" si="71"/>
        <v/>
      </c>
      <c r="J131" s="14" t="str">
        <f t="shared" ca="1" si="62"/>
        <v/>
      </c>
      <c r="L131" s="14" t="str">
        <f t="shared" ca="1" si="63"/>
        <v/>
      </c>
      <c r="M131" s="22" t="str">
        <f t="shared" ca="1" si="72"/>
        <v/>
      </c>
      <c r="N131" s="37" t="str">
        <f t="shared" ca="1" si="64"/>
        <v/>
      </c>
      <c r="O131" s="37" t="str">
        <f t="shared" ca="1" si="65"/>
        <v/>
      </c>
      <c r="Q131" s="22" t="str">
        <f t="shared" si="66"/>
        <v/>
      </c>
      <c r="R131" s="22" t="str">
        <f t="shared" si="67"/>
        <v/>
      </c>
      <c r="S131" s="22" t="str">
        <f ca="1">IF(Q131="","",IF(Q131=0,0,SUMPRODUCT(OFFSET(M$18,MATCH(MIN(Q$18:Q$137),Q$18:Q$137,0),0,COUNT(M$18:M131)-MATCH(MIN(Q$18:Q$137),Q$18:Q$137,0),1),OFFSET(M$18,MATCH(MIN(Q$18:Q$137),Q$18:Q$137,0),1,COUNT(M$18:M131)-MATCH(MIN(Q$18:Q$137),Q$18:Q$137,0),1))*$T$6))</f>
        <v/>
      </c>
      <c r="T131" s="22" t="str">
        <f t="shared" si="68"/>
        <v/>
      </c>
      <c r="V131" s="22" t="str">
        <f ca="1">IF(Q131="","",IF(Q131=0,0,SUMPRODUCT(OFFSET(M$18,MATCH(MIN(Q$18:Q$137),Q$18:Q$137,0),0,COUNT(M$18:M131)-MATCH(MIN(Q$18:Q$137),Q$18:Q$137,0),1),OFFSET(M$18,MATCH(MIN(Q$18:Q$137),Q$18:Q$137,0),2,COUNT(M$18:M131)-MATCH(MIN(Q$18:Q$137),Q$18:Q$137,0),1))*$T$6*$T$14))</f>
        <v/>
      </c>
      <c r="W131" s="29"/>
      <c r="X131" s="23" t="str">
        <f t="shared" si="69"/>
        <v/>
      </c>
      <c r="Z131" s="15">
        <f t="shared" si="73"/>
        <v>-0.35</v>
      </c>
      <c r="AA131" s="15">
        <f t="shared" si="74"/>
        <v>1.4</v>
      </c>
      <c r="AC131" s="15" t="e">
        <f t="shared" si="75"/>
        <v>#DIV/0!</v>
      </c>
      <c r="AD131" s="15" t="e">
        <f t="shared" si="76"/>
        <v>#N/A</v>
      </c>
      <c r="AF131" s="15">
        <f t="shared" ca="1" si="77"/>
        <v>0</v>
      </c>
      <c r="AH131" s="15" t="e">
        <f t="shared" si="70"/>
        <v>#N/A</v>
      </c>
      <c r="AI131" s="38" t="e">
        <f t="shared" si="58"/>
        <v>#VALUE!</v>
      </c>
    </row>
    <row r="132" spans="1:35" x14ac:dyDescent="0.2">
      <c r="A132" s="15">
        <v>115</v>
      </c>
      <c r="B132" s="2" t="str">
        <f t="shared" si="59"/>
        <v/>
      </c>
      <c r="C132" s="25"/>
      <c r="D132" s="25"/>
      <c r="E132" s="25"/>
      <c r="F132" s="3" t="str">
        <f t="shared" ca="1" si="60"/>
        <v/>
      </c>
      <c r="G132" s="30" t="str">
        <f t="shared" ca="1" si="61"/>
        <v/>
      </c>
      <c r="I132" s="13" t="str">
        <f t="shared" ca="1" si="71"/>
        <v/>
      </c>
      <c r="J132" s="14" t="str">
        <f t="shared" ca="1" si="62"/>
        <v/>
      </c>
      <c r="L132" s="14" t="str">
        <f t="shared" ca="1" si="63"/>
        <v/>
      </c>
      <c r="M132" s="22" t="str">
        <f t="shared" ca="1" si="72"/>
        <v/>
      </c>
      <c r="N132" s="37" t="str">
        <f t="shared" ca="1" si="64"/>
        <v/>
      </c>
      <c r="O132" s="37" t="str">
        <f t="shared" ca="1" si="65"/>
        <v/>
      </c>
      <c r="Q132" s="22" t="str">
        <f t="shared" si="66"/>
        <v/>
      </c>
      <c r="R132" s="22" t="str">
        <f t="shared" si="67"/>
        <v/>
      </c>
      <c r="S132" s="22" t="str">
        <f ca="1">IF(Q132="","",IF(Q132=0,0,SUMPRODUCT(OFFSET(M$18,MATCH(MIN(Q$18:Q$137),Q$18:Q$137,0),0,COUNT(M$18:M132)-MATCH(MIN(Q$18:Q$137),Q$18:Q$137,0),1),OFFSET(M$18,MATCH(MIN(Q$18:Q$137),Q$18:Q$137,0),1,COUNT(M$18:M132)-MATCH(MIN(Q$18:Q$137),Q$18:Q$137,0),1))*$T$6))</f>
        <v/>
      </c>
      <c r="T132" s="22" t="str">
        <f t="shared" si="68"/>
        <v/>
      </c>
      <c r="V132" s="22" t="str">
        <f ca="1">IF(Q132="","",IF(Q132=0,0,SUMPRODUCT(OFFSET(M$18,MATCH(MIN(Q$18:Q$137),Q$18:Q$137,0),0,COUNT(M$18:M132)-MATCH(MIN(Q$18:Q$137),Q$18:Q$137,0),1),OFFSET(M$18,MATCH(MIN(Q$18:Q$137),Q$18:Q$137,0),2,COUNT(M$18:M132)-MATCH(MIN(Q$18:Q$137),Q$18:Q$137,0),1))*$T$6*$T$14))</f>
        <v/>
      </c>
      <c r="W132" s="29"/>
      <c r="X132" s="23" t="str">
        <f t="shared" si="69"/>
        <v/>
      </c>
      <c r="Z132" s="15">
        <f t="shared" si="73"/>
        <v>-0.35</v>
      </c>
      <c r="AA132" s="15">
        <f t="shared" si="74"/>
        <v>1.4</v>
      </c>
      <c r="AC132" s="15" t="e">
        <f t="shared" si="75"/>
        <v>#DIV/0!</v>
      </c>
      <c r="AD132" s="15" t="e">
        <f t="shared" si="76"/>
        <v>#N/A</v>
      </c>
      <c r="AF132" s="15">
        <f t="shared" ca="1" si="77"/>
        <v>0</v>
      </c>
      <c r="AH132" s="15" t="e">
        <f t="shared" si="70"/>
        <v>#N/A</v>
      </c>
      <c r="AI132" s="38" t="e">
        <f t="shared" si="58"/>
        <v>#VALUE!</v>
      </c>
    </row>
    <row r="133" spans="1:35" x14ac:dyDescent="0.2">
      <c r="A133" s="15">
        <v>116</v>
      </c>
      <c r="B133" s="2" t="str">
        <f t="shared" si="59"/>
        <v/>
      </c>
      <c r="C133" s="25"/>
      <c r="D133" s="25"/>
      <c r="E133" s="25"/>
      <c r="F133" s="3" t="str">
        <f t="shared" ca="1" si="60"/>
        <v/>
      </c>
      <c r="G133" s="30" t="str">
        <f t="shared" ca="1" si="61"/>
        <v/>
      </c>
      <c r="I133" s="13" t="str">
        <f t="shared" ca="1" si="71"/>
        <v/>
      </c>
      <c r="J133" s="14" t="str">
        <f t="shared" ca="1" si="62"/>
        <v/>
      </c>
      <c r="L133" s="14" t="str">
        <f t="shared" ca="1" si="63"/>
        <v/>
      </c>
      <c r="M133" s="22" t="str">
        <f t="shared" ca="1" si="72"/>
        <v/>
      </c>
      <c r="N133" s="37" t="str">
        <f t="shared" ca="1" si="64"/>
        <v/>
      </c>
      <c r="O133" s="37" t="str">
        <f t="shared" ca="1" si="65"/>
        <v/>
      </c>
      <c r="Q133" s="22" t="str">
        <f t="shared" si="66"/>
        <v/>
      </c>
      <c r="R133" s="22" t="str">
        <f t="shared" si="67"/>
        <v/>
      </c>
      <c r="S133" s="22" t="str">
        <f ca="1">IF(Q133="","",IF(Q133=0,0,SUMPRODUCT(OFFSET(M$18,MATCH(MIN(Q$18:Q$137),Q$18:Q$137,0),0,COUNT(M$18:M133)-MATCH(MIN(Q$18:Q$137),Q$18:Q$137,0),1),OFFSET(M$18,MATCH(MIN(Q$18:Q$137),Q$18:Q$137,0),1,COUNT(M$18:M133)-MATCH(MIN(Q$18:Q$137),Q$18:Q$137,0),1))*$T$6))</f>
        <v/>
      </c>
      <c r="T133" s="22" t="str">
        <f t="shared" si="68"/>
        <v/>
      </c>
      <c r="V133" s="22" t="str">
        <f ca="1">IF(Q133="","",IF(Q133=0,0,SUMPRODUCT(OFFSET(M$18,MATCH(MIN(Q$18:Q$137),Q$18:Q$137,0),0,COUNT(M$18:M133)-MATCH(MIN(Q$18:Q$137),Q$18:Q$137,0),1),OFFSET(M$18,MATCH(MIN(Q$18:Q$137),Q$18:Q$137,0),2,COUNT(M$18:M133)-MATCH(MIN(Q$18:Q$137),Q$18:Q$137,0),1))*$T$6*$T$14))</f>
        <v/>
      </c>
      <c r="W133" s="29"/>
      <c r="X133" s="23" t="str">
        <f t="shared" si="69"/>
        <v/>
      </c>
      <c r="Z133" s="15">
        <f t="shared" si="73"/>
        <v>-0.35</v>
      </c>
      <c r="AA133" s="15">
        <f t="shared" si="74"/>
        <v>1.4</v>
      </c>
      <c r="AC133" s="15" t="e">
        <f t="shared" si="75"/>
        <v>#DIV/0!</v>
      </c>
      <c r="AD133" s="15" t="e">
        <f t="shared" si="76"/>
        <v>#N/A</v>
      </c>
      <c r="AF133" s="15">
        <f t="shared" ca="1" si="77"/>
        <v>0</v>
      </c>
      <c r="AH133" s="15" t="e">
        <f t="shared" si="70"/>
        <v>#N/A</v>
      </c>
      <c r="AI133" s="38" t="e">
        <f t="shared" si="58"/>
        <v>#VALUE!</v>
      </c>
    </row>
    <row r="134" spans="1:35" x14ac:dyDescent="0.2">
      <c r="A134" s="15">
        <v>117</v>
      </c>
      <c r="B134" s="2" t="str">
        <f t="shared" si="59"/>
        <v/>
      </c>
      <c r="C134" s="25"/>
      <c r="D134" s="25"/>
      <c r="E134" s="25"/>
      <c r="F134" s="3" t="str">
        <f t="shared" ca="1" si="60"/>
        <v/>
      </c>
      <c r="G134" s="30" t="str">
        <f t="shared" ca="1" si="61"/>
        <v/>
      </c>
      <c r="I134" s="13" t="str">
        <f t="shared" ca="1" si="71"/>
        <v/>
      </c>
      <c r="J134" s="14" t="str">
        <f t="shared" ca="1" si="62"/>
        <v/>
      </c>
      <c r="L134" s="14" t="str">
        <f t="shared" ca="1" si="63"/>
        <v/>
      </c>
      <c r="M134" s="22" t="str">
        <f t="shared" ca="1" si="72"/>
        <v/>
      </c>
      <c r="N134" s="37" t="str">
        <f t="shared" ca="1" si="64"/>
        <v/>
      </c>
      <c r="O134" s="37" t="str">
        <f t="shared" ca="1" si="65"/>
        <v/>
      </c>
      <c r="Q134" s="22" t="str">
        <f t="shared" si="66"/>
        <v/>
      </c>
      <c r="R134" s="22" t="str">
        <f t="shared" si="67"/>
        <v/>
      </c>
      <c r="S134" s="22" t="str">
        <f ca="1">IF(Q134="","",IF(Q134=0,0,SUMPRODUCT(OFFSET(M$18,MATCH(MIN(Q$18:Q$137),Q$18:Q$137,0),0,COUNT(M$18:M134)-MATCH(MIN(Q$18:Q$137),Q$18:Q$137,0),1),OFFSET(M$18,MATCH(MIN(Q$18:Q$137),Q$18:Q$137,0),1,COUNT(M$18:M134)-MATCH(MIN(Q$18:Q$137),Q$18:Q$137,0),1))*$T$6))</f>
        <v/>
      </c>
      <c r="T134" s="22" t="str">
        <f t="shared" si="68"/>
        <v/>
      </c>
      <c r="V134" s="22" t="str">
        <f ca="1">IF(Q134="","",IF(Q134=0,0,SUMPRODUCT(OFFSET(M$18,MATCH(MIN(Q$18:Q$137),Q$18:Q$137,0),0,COUNT(M$18:M134)-MATCH(MIN(Q$18:Q$137),Q$18:Q$137,0),1),OFFSET(M$18,MATCH(MIN(Q$18:Q$137),Q$18:Q$137,0),2,COUNT(M$18:M134)-MATCH(MIN(Q$18:Q$137),Q$18:Q$137,0),1))*$T$6*$T$14))</f>
        <v/>
      </c>
      <c r="W134" s="29"/>
      <c r="X134" s="23" t="str">
        <f t="shared" si="69"/>
        <v/>
      </c>
      <c r="Z134" s="15">
        <f t="shared" si="73"/>
        <v>-0.35</v>
      </c>
      <c r="AA134" s="15">
        <f t="shared" si="74"/>
        <v>1.4</v>
      </c>
      <c r="AC134" s="15" t="e">
        <f t="shared" si="75"/>
        <v>#DIV/0!</v>
      </c>
      <c r="AD134" s="15" t="e">
        <f t="shared" si="76"/>
        <v>#N/A</v>
      </c>
      <c r="AF134" s="15">
        <f t="shared" ca="1" si="77"/>
        <v>0</v>
      </c>
      <c r="AH134" s="15" t="e">
        <f t="shared" si="70"/>
        <v>#N/A</v>
      </c>
      <c r="AI134" s="38" t="e">
        <f t="shared" si="58"/>
        <v>#VALUE!</v>
      </c>
    </row>
    <row r="135" spans="1:35" x14ac:dyDescent="0.2">
      <c r="A135" s="15">
        <v>118</v>
      </c>
      <c r="B135" s="2" t="str">
        <f t="shared" si="59"/>
        <v/>
      </c>
      <c r="C135" s="25"/>
      <c r="D135" s="25"/>
      <c r="E135" s="25"/>
      <c r="F135" s="3" t="str">
        <f t="shared" ca="1" si="60"/>
        <v/>
      </c>
      <c r="G135" s="30" t="str">
        <f t="shared" ca="1" si="61"/>
        <v/>
      </c>
      <c r="I135" s="13" t="str">
        <f t="shared" ca="1" si="71"/>
        <v/>
      </c>
      <c r="J135" s="14" t="str">
        <f t="shared" ca="1" si="62"/>
        <v/>
      </c>
      <c r="L135" s="14" t="str">
        <f t="shared" ca="1" si="63"/>
        <v/>
      </c>
      <c r="M135" s="22" t="str">
        <f t="shared" ca="1" si="72"/>
        <v/>
      </c>
      <c r="N135" s="37" t="str">
        <f t="shared" ca="1" si="64"/>
        <v/>
      </c>
      <c r="O135" s="37" t="str">
        <f t="shared" ca="1" si="65"/>
        <v/>
      </c>
      <c r="Q135" s="22" t="str">
        <f t="shared" si="66"/>
        <v/>
      </c>
      <c r="R135" s="22" t="str">
        <f t="shared" si="67"/>
        <v/>
      </c>
      <c r="S135" s="22" t="str">
        <f ca="1">IF(Q135="","",IF(Q135=0,0,SUMPRODUCT(OFFSET(M$18,MATCH(MIN(Q$18:Q$137),Q$18:Q$137,0),0,COUNT(M$18:M135)-MATCH(MIN(Q$18:Q$137),Q$18:Q$137,0),1),OFFSET(M$18,MATCH(MIN(Q$18:Q$137),Q$18:Q$137,0),1,COUNT(M$18:M135)-MATCH(MIN(Q$18:Q$137),Q$18:Q$137,0),1))*$T$6))</f>
        <v/>
      </c>
      <c r="T135" s="22" t="str">
        <f t="shared" si="68"/>
        <v/>
      </c>
      <c r="V135" s="22" t="str">
        <f ca="1">IF(Q135="","",IF(Q135=0,0,SUMPRODUCT(OFFSET(M$18,MATCH(MIN(Q$18:Q$137),Q$18:Q$137,0),0,COUNT(M$18:M135)-MATCH(MIN(Q$18:Q$137),Q$18:Q$137,0),1),OFFSET(M$18,MATCH(MIN(Q$18:Q$137),Q$18:Q$137,0),2,COUNT(M$18:M135)-MATCH(MIN(Q$18:Q$137),Q$18:Q$137,0),1))*$T$6*$T$14))</f>
        <v/>
      </c>
      <c r="W135" s="29"/>
      <c r="X135" s="23" t="str">
        <f t="shared" si="69"/>
        <v/>
      </c>
      <c r="Z135" s="15">
        <f t="shared" si="73"/>
        <v>-0.35</v>
      </c>
      <c r="AA135" s="15">
        <f t="shared" si="74"/>
        <v>1.4</v>
      </c>
      <c r="AC135" s="15" t="e">
        <f t="shared" si="75"/>
        <v>#DIV/0!</v>
      </c>
      <c r="AD135" s="15" t="e">
        <f t="shared" si="76"/>
        <v>#N/A</v>
      </c>
      <c r="AF135" s="15">
        <f t="shared" ca="1" si="77"/>
        <v>0</v>
      </c>
      <c r="AH135" s="15" t="e">
        <f t="shared" si="70"/>
        <v>#N/A</v>
      </c>
      <c r="AI135" s="38" t="e">
        <f t="shared" si="58"/>
        <v>#VALUE!</v>
      </c>
    </row>
    <row r="136" spans="1:35" x14ac:dyDescent="0.2">
      <c r="A136" s="15">
        <v>119</v>
      </c>
      <c r="B136" s="2" t="str">
        <f t="shared" si="59"/>
        <v/>
      </c>
      <c r="C136" s="25"/>
      <c r="D136" s="25"/>
      <c r="E136" s="25"/>
      <c r="F136" s="3" t="str">
        <f t="shared" ca="1" si="60"/>
        <v/>
      </c>
      <c r="G136" s="30" t="str">
        <f t="shared" ca="1" si="61"/>
        <v/>
      </c>
      <c r="I136" s="13" t="str">
        <f t="shared" ca="1" si="71"/>
        <v/>
      </c>
      <c r="J136" s="14" t="str">
        <f t="shared" ca="1" si="62"/>
        <v/>
      </c>
      <c r="L136" s="14" t="str">
        <f t="shared" ca="1" si="63"/>
        <v/>
      </c>
      <c r="M136" s="22" t="str">
        <f t="shared" ca="1" si="72"/>
        <v/>
      </c>
      <c r="N136" s="37" t="str">
        <f t="shared" ca="1" si="64"/>
        <v/>
      </c>
      <c r="O136" s="37" t="str">
        <f t="shared" ca="1" si="65"/>
        <v/>
      </c>
      <c r="Q136" s="22" t="str">
        <f t="shared" si="66"/>
        <v/>
      </c>
      <c r="R136" s="22" t="str">
        <f t="shared" si="67"/>
        <v/>
      </c>
      <c r="S136" s="22" t="str">
        <f ca="1">IF(Q136="","",IF(Q136=0,0,SUMPRODUCT(OFFSET(M$18,MATCH(MIN(Q$18:Q$137),Q$18:Q$137,0),0,COUNT(M$18:M136)-MATCH(MIN(Q$18:Q$137),Q$18:Q$137,0),1),OFFSET(M$18,MATCH(MIN(Q$18:Q$137),Q$18:Q$137,0),1,COUNT(M$18:M136)-MATCH(MIN(Q$18:Q$137),Q$18:Q$137,0),1))*$T$6))</f>
        <v/>
      </c>
      <c r="T136" s="22" t="str">
        <f t="shared" si="68"/>
        <v/>
      </c>
      <c r="V136" s="22" t="str">
        <f ca="1">IF(Q136="","",IF(Q136=0,0,SUMPRODUCT(OFFSET(M$18,MATCH(MIN(Q$18:Q$137),Q$18:Q$137,0),0,COUNT(M$18:M136)-MATCH(MIN(Q$18:Q$137),Q$18:Q$137,0),1),OFFSET(M$18,MATCH(MIN(Q$18:Q$137),Q$18:Q$137,0),2,COUNT(M$18:M136)-MATCH(MIN(Q$18:Q$137),Q$18:Q$137,0),1))*$T$6*$T$14))</f>
        <v/>
      </c>
      <c r="X136" s="23" t="str">
        <f t="shared" si="69"/>
        <v/>
      </c>
      <c r="Z136" s="15">
        <f t="shared" si="73"/>
        <v>-0.35</v>
      </c>
      <c r="AA136" s="15">
        <f t="shared" si="74"/>
        <v>1.4</v>
      </c>
      <c r="AC136" s="15" t="e">
        <f t="shared" si="75"/>
        <v>#DIV/0!</v>
      </c>
      <c r="AD136" s="15" t="e">
        <f t="shared" si="76"/>
        <v>#N/A</v>
      </c>
      <c r="AF136" s="15">
        <f t="shared" ca="1" si="77"/>
        <v>0</v>
      </c>
      <c r="AH136" s="15" t="e">
        <f t="shared" si="70"/>
        <v>#N/A</v>
      </c>
      <c r="AI136" s="38" t="e">
        <f t="shared" si="58"/>
        <v>#VALUE!</v>
      </c>
    </row>
    <row r="137" spans="1:35" x14ac:dyDescent="0.2">
      <c r="A137" s="15">
        <v>120</v>
      </c>
      <c r="B137" s="2" t="str">
        <f t="shared" si="59"/>
        <v/>
      </c>
      <c r="C137" s="25"/>
      <c r="D137" s="25"/>
      <c r="E137" s="25"/>
      <c r="F137" s="3" t="str">
        <f t="shared" ca="1" si="60"/>
        <v/>
      </c>
      <c r="G137" s="30" t="str">
        <f t="shared" ca="1" si="61"/>
        <v/>
      </c>
      <c r="I137" s="13" t="str">
        <f t="shared" ca="1" si="71"/>
        <v/>
      </c>
      <c r="J137" s="14" t="str">
        <f t="shared" ca="1" si="62"/>
        <v/>
      </c>
      <c r="L137" s="14" t="str">
        <f t="shared" ca="1" si="63"/>
        <v/>
      </c>
      <c r="M137" s="22" t="str">
        <f t="shared" ca="1" si="72"/>
        <v/>
      </c>
      <c r="N137" s="37" t="str">
        <f t="shared" ca="1" si="64"/>
        <v/>
      </c>
      <c r="O137" s="37" t="str">
        <f t="shared" ca="1" si="65"/>
        <v/>
      </c>
      <c r="Q137" s="22" t="str">
        <f t="shared" si="66"/>
        <v/>
      </c>
      <c r="R137" s="22" t="str">
        <f t="shared" si="67"/>
        <v/>
      </c>
      <c r="S137" s="22" t="str">
        <f ca="1">IF(Q137="","",IF(Q137=0,0,SUMPRODUCT(OFFSET(M$18,MATCH(MIN(Q$18:Q$137),Q$18:Q$137,0),0,COUNT(M$18:M137)-MATCH(MIN(Q$18:Q$137),Q$18:Q$137,0),1),OFFSET(M$18,MATCH(MIN(Q$18:Q$137),Q$18:Q$137,0),1,COUNT(M$18:M137)-MATCH(MIN(Q$18:Q$137),Q$18:Q$137,0),1))*$T$6))</f>
        <v/>
      </c>
      <c r="T137" s="22" t="str">
        <f t="shared" si="68"/>
        <v/>
      </c>
      <c r="V137" s="22" t="str">
        <f ca="1">IF(Q137="","",IF(Q137=0,0,SUMPRODUCT(OFFSET(M$18,MATCH(MIN(Q$18:Q$137),Q$18:Q$137,0),0,COUNT(M$18:M137)-MATCH(MIN(Q$18:Q$137),Q$18:Q$137,0),1),OFFSET(M$18,MATCH(MIN(Q$18:Q$137),Q$18:Q$137,0),2,COUNT(M$18:M137)-MATCH(MIN(Q$18:Q$137),Q$18:Q$137,0),1))*$T$6*$T$14))</f>
        <v/>
      </c>
      <c r="X137" s="23" t="str">
        <f t="shared" si="69"/>
        <v/>
      </c>
      <c r="Z137" s="15">
        <f t="shared" si="73"/>
        <v>-0.35</v>
      </c>
      <c r="AA137" s="15">
        <f t="shared" si="74"/>
        <v>1.4</v>
      </c>
      <c r="AC137" s="15" t="e">
        <f t="shared" si="75"/>
        <v>#DIV/0!</v>
      </c>
      <c r="AD137" s="15" t="e">
        <f t="shared" si="76"/>
        <v>#N/A</v>
      </c>
      <c r="AF137" s="15">
        <f t="shared" ca="1" si="77"/>
        <v>0</v>
      </c>
      <c r="AH137" s="15" t="e">
        <f t="shared" si="70"/>
        <v>#N/A</v>
      </c>
      <c r="AI137" s="38" t="e">
        <f t="shared" si="58"/>
        <v>#VALUE!</v>
      </c>
    </row>
  </sheetData>
  <mergeCells count="22">
    <mergeCell ref="Q11:T11"/>
    <mergeCell ref="B1:T1"/>
    <mergeCell ref="E14:F14"/>
    <mergeCell ref="E5:F5"/>
    <mergeCell ref="B3:F3"/>
    <mergeCell ref="Q5:S5"/>
    <mergeCell ref="Q6:S6"/>
    <mergeCell ref="Q7:S7"/>
    <mergeCell ref="Q8:S8"/>
    <mergeCell ref="Q12:S12"/>
    <mergeCell ref="E6:F6"/>
    <mergeCell ref="E7:F7"/>
    <mergeCell ref="E8:F8"/>
    <mergeCell ref="E9:F9"/>
    <mergeCell ref="E10:F10"/>
    <mergeCell ref="E11:F11"/>
    <mergeCell ref="E12:F12"/>
    <mergeCell ref="E13:F13"/>
    <mergeCell ref="Q13:S13"/>
    <mergeCell ref="AC17:AF17"/>
    <mergeCell ref="E15:F15"/>
    <mergeCell ref="Q14:S14"/>
  </mergeCells>
  <phoneticPr fontId="1" type="noConversion"/>
  <conditionalFormatting sqref="Q11:T14">
    <cfRule type="expression" dxfId="0" priority="1" stopIfTrue="1">
      <formula>IF(OR($G$6="тип II",$G$7="тип II",$G$8="тип II",$G$9="тип II",$G$10="тип II",$G$11="тип II",$G$12="тип II",$G$13="тип II",$G$14="тип II",$G$15="тип II"),FALSE(),TRUE())</formula>
    </cfRule>
  </conditionalFormatting>
  <dataValidations count="2">
    <dataValidation type="list" allowBlank="1" showInputMessage="1" showErrorMessage="1" sqref="E6:F15">
      <formula1>"песчаный,пыл.-глинист."</formula1>
    </dataValidation>
    <dataValidation type="list" allowBlank="1" showInputMessage="1" showErrorMessage="1" sqref="G6:G15">
      <formula1>"тип I,тип II"</formula1>
    </dataValidation>
  </dataValidations>
  <pageMargins left="0.98425196850393704" right="0.31496062992125984" top="0.35433070866141736" bottom="0.35433070866141736" header="0.31496062992125984" footer="0.31496062992125984"/>
  <pageSetup paperSize="9" scale="52" orientation="portrait" horizontalDpi="180" verticalDpi="18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P22" sqref="P22"/>
    </sheetView>
  </sheetViews>
  <sheetFormatPr defaultRowHeight="12.75" x14ac:dyDescent="0.2"/>
  <cols>
    <col min="1" max="1" width="12" style="31" customWidth="1"/>
    <col min="2" max="20" width="7" style="31" customWidth="1"/>
    <col min="21" max="16384" width="9.140625" style="31"/>
  </cols>
  <sheetData>
    <row r="1" spans="1:23" x14ac:dyDescent="0.2">
      <c r="A1" s="31" t="s">
        <v>24</v>
      </c>
      <c r="B1" s="31">
        <v>0.95</v>
      </c>
      <c r="D1" s="31" t="s">
        <v>49</v>
      </c>
      <c r="E1" s="31">
        <v>0.35</v>
      </c>
    </row>
    <row r="2" spans="1:23" ht="15.75" x14ac:dyDescent="0.3">
      <c r="A2" s="31" t="s">
        <v>44</v>
      </c>
      <c r="B2" s="31">
        <f>1.25</f>
        <v>1.25</v>
      </c>
    </row>
    <row r="3" spans="1:23" x14ac:dyDescent="0.2">
      <c r="A3" s="31" t="s">
        <v>48</v>
      </c>
      <c r="B3" s="31" t="s">
        <v>64</v>
      </c>
    </row>
    <row r="5" spans="1:23" x14ac:dyDescent="0.2">
      <c r="A5" s="31" t="s">
        <v>25</v>
      </c>
      <c r="B5" s="31">
        <v>6</v>
      </c>
      <c r="C5" s="31">
        <v>7</v>
      </c>
      <c r="D5" s="31">
        <v>8</v>
      </c>
      <c r="E5" s="31">
        <v>9</v>
      </c>
      <c r="F5" s="31">
        <v>10</v>
      </c>
      <c r="G5" s="31">
        <v>11</v>
      </c>
      <c r="H5" s="31">
        <v>12</v>
      </c>
      <c r="I5" s="31">
        <v>13</v>
      </c>
      <c r="J5" s="31">
        <v>14</v>
      </c>
      <c r="K5" s="31">
        <v>15</v>
      </c>
      <c r="L5" s="31">
        <v>16</v>
      </c>
      <c r="M5" s="31">
        <v>17</v>
      </c>
      <c r="N5" s="31">
        <v>18</v>
      </c>
      <c r="O5" s="31">
        <v>19</v>
      </c>
      <c r="P5" s="31">
        <v>20</v>
      </c>
      <c r="Q5" s="31">
        <v>21</v>
      </c>
      <c r="R5" s="31">
        <v>22</v>
      </c>
      <c r="S5" s="31">
        <v>23</v>
      </c>
      <c r="T5" s="31">
        <v>24</v>
      </c>
      <c r="V5" s="31">
        <v>10</v>
      </c>
    </row>
    <row r="6" spans="1:23" x14ac:dyDescent="0.2">
      <c r="A6" s="31" t="s">
        <v>26</v>
      </c>
      <c r="B6" s="31" t="e">
        <f>$B$3-B$5</f>
        <v>#VALUE!</v>
      </c>
      <c r="C6" s="31" t="e">
        <f>$B$3-C$5</f>
        <v>#VALUE!</v>
      </c>
      <c r="D6" s="31" t="e">
        <f t="shared" ref="D6:T6" si="0">$B$3-D$5</f>
        <v>#VALUE!</v>
      </c>
      <c r="E6" s="31" t="e">
        <f t="shared" si="0"/>
        <v>#VALUE!</v>
      </c>
      <c r="F6" s="31" t="e">
        <f t="shared" si="0"/>
        <v>#VALUE!</v>
      </c>
      <c r="G6" s="31" t="e">
        <f t="shared" si="0"/>
        <v>#VALUE!</v>
      </c>
      <c r="H6" s="31" t="e">
        <f t="shared" si="0"/>
        <v>#VALUE!</v>
      </c>
      <c r="I6" s="31" t="e">
        <f t="shared" si="0"/>
        <v>#VALUE!</v>
      </c>
      <c r="J6" s="31" t="e">
        <f t="shared" si="0"/>
        <v>#VALUE!</v>
      </c>
      <c r="K6" s="31" t="e">
        <f t="shared" si="0"/>
        <v>#VALUE!</v>
      </c>
      <c r="L6" s="31" t="e">
        <f t="shared" si="0"/>
        <v>#VALUE!</v>
      </c>
      <c r="M6" s="31" t="e">
        <f t="shared" si="0"/>
        <v>#VALUE!</v>
      </c>
      <c r="N6" s="31" t="e">
        <f t="shared" si="0"/>
        <v>#VALUE!</v>
      </c>
      <c r="O6" s="31" t="e">
        <f t="shared" si="0"/>
        <v>#VALUE!</v>
      </c>
      <c r="P6" s="31" t="e">
        <f t="shared" si="0"/>
        <v>#VALUE!</v>
      </c>
      <c r="Q6" s="31" t="e">
        <f t="shared" si="0"/>
        <v>#VALUE!</v>
      </c>
      <c r="R6" s="31" t="e">
        <f t="shared" si="0"/>
        <v>#VALUE!</v>
      </c>
      <c r="S6" s="31" t="e">
        <f t="shared" si="0"/>
        <v>#VALUE!</v>
      </c>
      <c r="T6" s="31" t="e">
        <f t="shared" si="0"/>
        <v>#VALUE!</v>
      </c>
      <c r="V6" s="31" t="e">
        <f>$B$3-V$5</f>
        <v>#VALUE!</v>
      </c>
    </row>
    <row r="7" spans="1:23" x14ac:dyDescent="0.2">
      <c r="A7" s="31" t="s">
        <v>27</v>
      </c>
    </row>
    <row r="8" spans="1:23" x14ac:dyDescent="0.2">
      <c r="A8" s="42" t="s">
        <v>59</v>
      </c>
      <c r="B8" s="42">
        <f t="shared" ref="B8:C14" ca="1" si="1">IF($A8="","",IF(ISNA(VLOOKUP(B$5,INDIRECT(CONCATENATE("'",$A8,"'!$Q$18:$T$137")),4,0)),"",ROUND(VLOOKUP(B$5,INDIRECT(CONCATENATE("'",$A8,"'!$Q$18:$T$137")),4,0),1)))</f>
        <v>232.9</v>
      </c>
      <c r="C8" s="42">
        <f t="shared" ca="1" si="1"/>
        <v>274.2</v>
      </c>
      <c r="D8" s="42">
        <f t="shared" ref="D8:T14" ca="1" si="2">IF($A8="","",IF(ISNA(VLOOKUP(D$5,INDIRECT(CONCATENATE("'",$A8,"'!$Q$18:$T$137")),4,0)),"",ROUND(VLOOKUP(D$5,INDIRECT(CONCATENATE("'",$A8,"'!$Q$18:$T$137")),4,0),1)))</f>
        <v>311.8</v>
      </c>
      <c r="E8" s="42">
        <f t="shared" ca="1" si="2"/>
        <v>356.1</v>
      </c>
      <c r="F8" s="42">
        <f t="shared" ca="1" si="2"/>
        <v>383.6</v>
      </c>
      <c r="G8" s="42">
        <f t="shared" ca="1" si="2"/>
        <v>435.6</v>
      </c>
      <c r="H8" s="42">
        <f t="shared" ca="1" si="2"/>
        <v>498.8</v>
      </c>
      <c r="I8" s="42">
        <f t="shared" ca="1" si="2"/>
        <v>565.20000000000005</v>
      </c>
      <c r="J8" s="42">
        <f t="shared" ca="1" si="2"/>
        <v>616.9</v>
      </c>
      <c r="K8" s="42">
        <f t="shared" ca="1" si="2"/>
        <v>661.5</v>
      </c>
      <c r="L8" s="42">
        <f t="shared" ca="1" si="2"/>
        <v>732.6</v>
      </c>
      <c r="M8" s="42">
        <f t="shared" ca="1" si="2"/>
        <v>859.5</v>
      </c>
      <c r="N8" s="42">
        <f t="shared" ca="1" si="2"/>
        <v>995.7</v>
      </c>
      <c r="O8" s="42">
        <f t="shared" ca="1" si="2"/>
        <v>1295.9000000000001</v>
      </c>
      <c r="P8" s="42">
        <f t="shared" ca="1" si="2"/>
        <v>1418.2</v>
      </c>
      <c r="Q8" s="42" t="str">
        <f t="shared" ca="1" si="2"/>
        <v/>
      </c>
      <c r="R8" s="42" t="str">
        <f t="shared" ca="1" si="2"/>
        <v/>
      </c>
      <c r="S8" s="42" t="str">
        <f t="shared" ca="1" si="2"/>
        <v/>
      </c>
      <c r="T8" s="42" t="str">
        <f t="shared" ca="1" si="2"/>
        <v/>
      </c>
      <c r="V8" s="31">
        <f t="shared" ref="V8:V14" ca="1" si="3">IF($A8="","",IF(ISNA(VLOOKUP(V$5,INDIRECT(CONCATENATE("'",$A8,"'!$Q$18:$T$137")),4,0)),"",ROUND(VLOOKUP(V$5,INDIRECT(CONCATENATE("'",$A8,"'!$Q$18:$T$137")),4,0),1)))</f>
        <v>383.6</v>
      </c>
    </row>
    <row r="9" spans="1:23" x14ac:dyDescent="0.2">
      <c r="A9" s="42" t="s">
        <v>59</v>
      </c>
      <c r="B9" s="42">
        <f t="shared" ca="1" si="1"/>
        <v>232.9</v>
      </c>
      <c r="C9" s="42">
        <f t="shared" ca="1" si="1"/>
        <v>274.2</v>
      </c>
      <c r="D9" s="42">
        <f t="shared" ca="1" si="2"/>
        <v>311.8</v>
      </c>
      <c r="E9" s="42">
        <f t="shared" ca="1" si="2"/>
        <v>356.1</v>
      </c>
      <c r="F9" s="42">
        <f t="shared" ca="1" si="2"/>
        <v>383.6</v>
      </c>
      <c r="G9" s="42">
        <f t="shared" ca="1" si="2"/>
        <v>435.6</v>
      </c>
      <c r="H9" s="42">
        <f t="shared" ca="1" si="2"/>
        <v>498.8</v>
      </c>
      <c r="I9" s="42">
        <f t="shared" ca="1" si="2"/>
        <v>565.20000000000005</v>
      </c>
      <c r="J9" s="42">
        <f t="shared" ca="1" si="2"/>
        <v>616.9</v>
      </c>
      <c r="K9" s="42">
        <f t="shared" ca="1" si="2"/>
        <v>661.5</v>
      </c>
      <c r="L9" s="42">
        <f t="shared" ca="1" si="2"/>
        <v>732.6</v>
      </c>
      <c r="M9" s="42">
        <f t="shared" ca="1" si="2"/>
        <v>859.5</v>
      </c>
      <c r="N9" s="42">
        <f t="shared" ca="1" si="2"/>
        <v>995.7</v>
      </c>
      <c r="O9" s="42">
        <f t="shared" ca="1" si="2"/>
        <v>1295.9000000000001</v>
      </c>
      <c r="P9" s="42">
        <f t="shared" ca="1" si="2"/>
        <v>1418.2</v>
      </c>
      <c r="Q9" s="42" t="str">
        <f t="shared" ca="1" si="2"/>
        <v/>
      </c>
      <c r="R9" s="42" t="str">
        <f t="shared" ca="1" si="2"/>
        <v/>
      </c>
      <c r="S9" s="42" t="str">
        <f t="shared" ca="1" si="2"/>
        <v/>
      </c>
      <c r="T9" s="42" t="str">
        <f t="shared" ca="1" si="2"/>
        <v/>
      </c>
      <c r="V9" s="31">
        <f t="shared" ca="1" si="3"/>
        <v>383.6</v>
      </c>
      <c r="W9" s="33"/>
    </row>
    <row r="10" spans="1:23" x14ac:dyDescent="0.2">
      <c r="A10" s="42" t="s">
        <v>62</v>
      </c>
      <c r="B10" s="42">
        <f t="shared" ca="1" si="1"/>
        <v>193.2</v>
      </c>
      <c r="C10" s="42">
        <f t="shared" ca="1" si="1"/>
        <v>231.9</v>
      </c>
      <c r="D10" s="42">
        <f t="shared" ca="1" si="2"/>
        <v>274.5</v>
      </c>
      <c r="E10" s="42">
        <f t="shared" ca="1" si="2"/>
        <v>308.8</v>
      </c>
      <c r="F10" s="42">
        <f t="shared" ca="1" si="2"/>
        <v>337.1</v>
      </c>
      <c r="G10" s="42">
        <f t="shared" ca="1" si="2"/>
        <v>386.4</v>
      </c>
      <c r="H10" s="42">
        <f t="shared" ca="1" si="2"/>
        <v>455.5</v>
      </c>
      <c r="I10" s="42">
        <f t="shared" ca="1" si="2"/>
        <v>508</v>
      </c>
      <c r="J10" s="42">
        <f t="shared" ca="1" si="2"/>
        <v>552.9</v>
      </c>
      <c r="K10" s="42">
        <f t="shared" ca="1" si="2"/>
        <v>599.29999999999995</v>
      </c>
      <c r="L10" s="42">
        <f t="shared" ca="1" si="2"/>
        <v>636.4</v>
      </c>
      <c r="M10" s="42">
        <f t="shared" ca="1" si="2"/>
        <v>757.7</v>
      </c>
      <c r="N10" s="42">
        <f t="shared" ca="1" si="2"/>
        <v>1143.2</v>
      </c>
      <c r="O10" s="42">
        <f t="shared" ca="1" si="2"/>
        <v>1253.9000000000001</v>
      </c>
      <c r="P10" s="42" t="str">
        <f t="shared" ca="1" si="2"/>
        <v/>
      </c>
      <c r="Q10" s="42" t="str">
        <f t="shared" ca="1" si="2"/>
        <v/>
      </c>
      <c r="R10" s="42" t="str">
        <f t="shared" ca="1" si="2"/>
        <v/>
      </c>
      <c r="S10" s="42" t="str">
        <f t="shared" ca="1" si="2"/>
        <v/>
      </c>
      <c r="T10" s="42" t="str">
        <f t="shared" ca="1" si="2"/>
        <v/>
      </c>
      <c r="V10" s="31">
        <f t="shared" ca="1" si="3"/>
        <v>337.1</v>
      </c>
    </row>
    <row r="11" spans="1:23" x14ac:dyDescent="0.2">
      <c r="A11" s="42" t="s">
        <v>61</v>
      </c>
      <c r="B11" s="42">
        <f t="shared" ca="1" si="1"/>
        <v>182.5</v>
      </c>
      <c r="C11" s="42">
        <f t="shared" ca="1" si="1"/>
        <v>205.3</v>
      </c>
      <c r="D11" s="42">
        <f t="shared" ca="1" si="2"/>
        <v>223</v>
      </c>
      <c r="E11" s="42">
        <f t="shared" ca="1" si="2"/>
        <v>261.89999999999998</v>
      </c>
      <c r="F11" s="42">
        <f t="shared" ca="1" si="2"/>
        <v>308.8</v>
      </c>
      <c r="G11" s="42">
        <f t="shared" ca="1" si="2"/>
        <v>371</v>
      </c>
      <c r="H11" s="42">
        <f t="shared" ca="1" si="2"/>
        <v>410.1</v>
      </c>
      <c r="I11" s="42">
        <f t="shared" ca="1" si="2"/>
        <v>441.6</v>
      </c>
      <c r="J11" s="42">
        <f t="shared" ca="1" si="2"/>
        <v>493.9</v>
      </c>
      <c r="K11" s="42">
        <f t="shared" ca="1" si="2"/>
        <v>634.20000000000005</v>
      </c>
      <c r="L11" s="42">
        <f t="shared" ca="1" si="2"/>
        <v>667.2</v>
      </c>
      <c r="M11" s="42">
        <f t="shared" ca="1" si="2"/>
        <v>610</v>
      </c>
      <c r="N11" s="42">
        <f t="shared" ca="1" si="2"/>
        <v>668.3</v>
      </c>
      <c r="O11" s="42">
        <f t="shared" ca="1" si="2"/>
        <v>725.8</v>
      </c>
      <c r="P11" s="42">
        <f t="shared" ca="1" si="2"/>
        <v>768.6</v>
      </c>
      <c r="Q11" s="42">
        <f t="shared" ca="1" si="2"/>
        <v>816.4</v>
      </c>
      <c r="R11" s="42">
        <f t="shared" ca="1" si="2"/>
        <v>865.7</v>
      </c>
      <c r="S11" s="42" t="str">
        <f t="shared" ca="1" si="2"/>
        <v/>
      </c>
      <c r="T11" s="42" t="str">
        <f t="shared" ca="1" si="2"/>
        <v/>
      </c>
      <c r="V11" s="31">
        <f t="shared" ca="1" si="3"/>
        <v>308.8</v>
      </c>
    </row>
    <row r="12" spans="1:23" x14ac:dyDescent="0.2">
      <c r="A12" s="42" t="s">
        <v>62</v>
      </c>
      <c r="B12" s="42">
        <f t="shared" ca="1" si="1"/>
        <v>193.2</v>
      </c>
      <c r="C12" s="42">
        <f t="shared" ca="1" si="1"/>
        <v>231.9</v>
      </c>
      <c r="D12" s="42">
        <f t="shared" ca="1" si="2"/>
        <v>274.5</v>
      </c>
      <c r="E12" s="42">
        <f t="shared" ca="1" si="2"/>
        <v>308.8</v>
      </c>
      <c r="F12" s="42">
        <f t="shared" ca="1" si="2"/>
        <v>337.1</v>
      </c>
      <c r="G12" s="42">
        <f t="shared" ca="1" si="2"/>
        <v>386.4</v>
      </c>
      <c r="H12" s="42">
        <f t="shared" ca="1" si="2"/>
        <v>455.5</v>
      </c>
      <c r="I12" s="42">
        <f t="shared" ca="1" si="2"/>
        <v>508</v>
      </c>
      <c r="J12" s="42">
        <f t="shared" ca="1" si="2"/>
        <v>552.9</v>
      </c>
      <c r="K12" s="42">
        <f t="shared" ca="1" si="2"/>
        <v>599.29999999999995</v>
      </c>
      <c r="L12" s="42">
        <f t="shared" ca="1" si="2"/>
        <v>636.4</v>
      </c>
      <c r="M12" s="42">
        <f t="shared" ca="1" si="2"/>
        <v>757.7</v>
      </c>
      <c r="N12" s="42">
        <f t="shared" ca="1" si="2"/>
        <v>1143.2</v>
      </c>
      <c r="O12" s="42">
        <f t="shared" ca="1" si="2"/>
        <v>1253.9000000000001</v>
      </c>
      <c r="P12" s="42" t="str">
        <f t="shared" ca="1" si="2"/>
        <v/>
      </c>
      <c r="Q12" s="42" t="str">
        <f t="shared" ca="1" si="2"/>
        <v/>
      </c>
      <c r="R12" s="42" t="str">
        <f t="shared" ca="1" si="2"/>
        <v/>
      </c>
      <c r="S12" s="42" t="str">
        <f t="shared" ca="1" si="2"/>
        <v/>
      </c>
      <c r="T12" s="42" t="str">
        <f t="shared" ca="1" si="2"/>
        <v/>
      </c>
      <c r="V12" s="31">
        <f t="shared" ca="1" si="3"/>
        <v>337.1</v>
      </c>
    </row>
    <row r="13" spans="1:23" x14ac:dyDescent="0.2">
      <c r="A13" s="42" t="s">
        <v>62</v>
      </c>
      <c r="B13" s="42">
        <f t="shared" ca="1" si="1"/>
        <v>193.2</v>
      </c>
      <c r="C13" s="42">
        <f t="shared" ca="1" si="1"/>
        <v>231.9</v>
      </c>
      <c r="D13" s="42">
        <f t="shared" ca="1" si="2"/>
        <v>274.5</v>
      </c>
      <c r="E13" s="42">
        <f t="shared" ca="1" si="2"/>
        <v>308.8</v>
      </c>
      <c r="F13" s="42">
        <f t="shared" ca="1" si="2"/>
        <v>337.1</v>
      </c>
      <c r="G13" s="42">
        <f t="shared" ca="1" si="2"/>
        <v>386.4</v>
      </c>
      <c r="H13" s="42">
        <f t="shared" ca="1" si="2"/>
        <v>455.5</v>
      </c>
      <c r="I13" s="42">
        <f t="shared" ca="1" si="2"/>
        <v>508</v>
      </c>
      <c r="J13" s="42">
        <f t="shared" ca="1" si="2"/>
        <v>552.9</v>
      </c>
      <c r="K13" s="42">
        <f t="shared" ca="1" si="2"/>
        <v>599.29999999999995</v>
      </c>
      <c r="L13" s="42">
        <f t="shared" ca="1" si="2"/>
        <v>636.4</v>
      </c>
      <c r="M13" s="42">
        <f t="shared" ca="1" si="2"/>
        <v>757.7</v>
      </c>
      <c r="N13" s="42">
        <f t="shared" ca="1" si="2"/>
        <v>1143.2</v>
      </c>
      <c r="O13" s="42">
        <f t="shared" ca="1" si="2"/>
        <v>1253.9000000000001</v>
      </c>
      <c r="P13" s="42" t="str">
        <f t="shared" ca="1" si="2"/>
        <v/>
      </c>
      <c r="Q13" s="42" t="str">
        <f t="shared" ca="1" si="2"/>
        <v/>
      </c>
      <c r="R13" s="42" t="str">
        <f t="shared" ca="1" si="2"/>
        <v/>
      </c>
      <c r="S13" s="42" t="str">
        <f t="shared" ca="1" si="2"/>
        <v/>
      </c>
      <c r="T13" s="42" t="str">
        <f t="shared" ca="1" si="2"/>
        <v/>
      </c>
      <c r="V13" s="31">
        <f t="shared" ca="1" si="3"/>
        <v>337.1</v>
      </c>
    </row>
    <row r="14" spans="1:23" x14ac:dyDescent="0.2">
      <c r="A14" s="42"/>
      <c r="B14" s="42" t="str">
        <f t="shared" ca="1" si="1"/>
        <v/>
      </c>
      <c r="C14" s="42" t="str">
        <f t="shared" ca="1" si="1"/>
        <v/>
      </c>
      <c r="D14" s="42" t="str">
        <f t="shared" ca="1" si="2"/>
        <v/>
      </c>
      <c r="E14" s="42" t="str">
        <f t="shared" ca="1" si="2"/>
        <v/>
      </c>
      <c r="F14" s="42" t="str">
        <f t="shared" ca="1" si="2"/>
        <v/>
      </c>
      <c r="G14" s="42" t="str">
        <f t="shared" ca="1" si="2"/>
        <v/>
      </c>
      <c r="H14" s="42" t="str">
        <f t="shared" ca="1" si="2"/>
        <v/>
      </c>
      <c r="I14" s="42" t="str">
        <f t="shared" ca="1" si="2"/>
        <v/>
      </c>
      <c r="J14" s="42" t="str">
        <f t="shared" ca="1" si="2"/>
        <v/>
      </c>
      <c r="K14" s="42" t="str">
        <f t="shared" ca="1" si="2"/>
        <v/>
      </c>
      <c r="L14" s="42" t="str">
        <f t="shared" ca="1" si="2"/>
        <v/>
      </c>
      <c r="M14" s="42" t="str">
        <f t="shared" ca="1" si="2"/>
        <v/>
      </c>
      <c r="N14" s="42" t="str">
        <f t="shared" ca="1" si="2"/>
        <v/>
      </c>
      <c r="O14" s="42" t="str">
        <f t="shared" ca="1" si="2"/>
        <v/>
      </c>
      <c r="P14" s="42" t="str">
        <f t="shared" ca="1" si="2"/>
        <v/>
      </c>
      <c r="Q14" s="42" t="str">
        <f t="shared" ca="1" si="2"/>
        <v/>
      </c>
      <c r="R14" s="42" t="str">
        <f t="shared" ca="1" si="2"/>
        <v/>
      </c>
      <c r="S14" s="42" t="str">
        <f t="shared" ca="1" si="2"/>
        <v/>
      </c>
      <c r="T14" s="42" t="str">
        <f t="shared" ca="1" si="2"/>
        <v/>
      </c>
      <c r="V14" s="31" t="str">
        <f t="shared" ca="1" si="3"/>
        <v/>
      </c>
    </row>
    <row r="15" spans="1:23" x14ac:dyDescent="0.2">
      <c r="A15" s="42"/>
      <c r="B15" s="42" t="str">
        <f t="shared" ref="B15:T15" ca="1" si="4">IF($A15="","",IF(ISNA(VLOOKUP(B$5,INDIRECT(CONCATENATE("'",$A15,"'!$O$18:$R$117")),4,0)),"",ROUND(VLOOKUP(B$5,INDIRECT(CONCATENATE("'",$A15,"'!$O$18:$R$117")),4,0),1)))</f>
        <v/>
      </c>
      <c r="C15" s="42" t="str">
        <f t="shared" ca="1" si="4"/>
        <v/>
      </c>
      <c r="D15" s="42" t="str">
        <f t="shared" ca="1" si="4"/>
        <v/>
      </c>
      <c r="E15" s="42" t="str">
        <f t="shared" ca="1" si="4"/>
        <v/>
      </c>
      <c r="F15" s="42" t="str">
        <f t="shared" ca="1" si="4"/>
        <v/>
      </c>
      <c r="G15" s="42" t="str">
        <f t="shared" ca="1" si="4"/>
        <v/>
      </c>
      <c r="H15" s="42" t="str">
        <f t="shared" ca="1" si="4"/>
        <v/>
      </c>
      <c r="I15" s="42" t="str">
        <f t="shared" ca="1" si="4"/>
        <v/>
      </c>
      <c r="J15" s="42" t="str">
        <f t="shared" ca="1" si="4"/>
        <v/>
      </c>
      <c r="K15" s="42" t="str">
        <f t="shared" ca="1" si="4"/>
        <v/>
      </c>
      <c r="L15" s="42" t="str">
        <f t="shared" ca="1" si="4"/>
        <v/>
      </c>
      <c r="M15" s="42" t="str">
        <f t="shared" ca="1" si="4"/>
        <v/>
      </c>
      <c r="N15" s="42" t="str">
        <f t="shared" ca="1" si="4"/>
        <v/>
      </c>
      <c r="O15" s="42" t="str">
        <f t="shared" ca="1" si="4"/>
        <v/>
      </c>
      <c r="P15" s="42" t="str">
        <f t="shared" ca="1" si="4"/>
        <v/>
      </c>
      <c r="Q15" s="42" t="str">
        <f t="shared" ca="1" si="4"/>
        <v/>
      </c>
      <c r="R15" s="42" t="str">
        <f t="shared" ca="1" si="4"/>
        <v/>
      </c>
      <c r="S15" s="42" t="str">
        <f t="shared" ca="1" si="4"/>
        <v/>
      </c>
      <c r="T15" s="42" t="str">
        <f t="shared" ca="1" si="4"/>
        <v/>
      </c>
      <c r="V15" s="31" t="str">
        <f ca="1">IF($A15="","",IF(ISNA(VLOOKUP(V$5,INDIRECT(CONCATENATE("'",$A15,"'!$O$18:$R$117")),4,0)),"",ROUND(VLOOKUP(V$5,INDIRECT(CONCATENATE("'",$A15,"'!$O$18:$R$117")),4,0),1)))</f>
        <v/>
      </c>
    </row>
    <row r="17" spans="1:22" x14ac:dyDescent="0.2">
      <c r="A17" s="31" t="s">
        <v>28</v>
      </c>
      <c r="B17" s="31">
        <f ca="1">COUNT(B$8:B$15)</f>
        <v>6</v>
      </c>
      <c r="C17" s="31">
        <f ca="1">COUNT(C$8:C$15)</f>
        <v>6</v>
      </c>
      <c r="D17" s="31">
        <f t="shared" ref="D17:T17" ca="1" si="5">COUNT(D$8:D$15)</f>
        <v>6</v>
      </c>
      <c r="E17" s="31">
        <f t="shared" ca="1" si="5"/>
        <v>6</v>
      </c>
      <c r="F17" s="31">
        <f t="shared" ca="1" si="5"/>
        <v>6</v>
      </c>
      <c r="G17" s="31">
        <f t="shared" ca="1" si="5"/>
        <v>6</v>
      </c>
      <c r="H17" s="31">
        <f t="shared" ca="1" si="5"/>
        <v>6</v>
      </c>
      <c r="I17" s="31">
        <f t="shared" ca="1" si="5"/>
        <v>6</v>
      </c>
      <c r="J17" s="31">
        <f t="shared" ca="1" si="5"/>
        <v>6</v>
      </c>
      <c r="K17" s="31">
        <f t="shared" ca="1" si="5"/>
        <v>6</v>
      </c>
      <c r="L17" s="31">
        <f t="shared" ca="1" si="5"/>
        <v>6</v>
      </c>
      <c r="M17" s="31">
        <f t="shared" ca="1" si="5"/>
        <v>6</v>
      </c>
      <c r="N17" s="31">
        <f t="shared" ca="1" si="5"/>
        <v>6</v>
      </c>
      <c r="O17" s="31">
        <f t="shared" ca="1" si="5"/>
        <v>6</v>
      </c>
      <c r="P17" s="31">
        <f t="shared" ca="1" si="5"/>
        <v>3</v>
      </c>
      <c r="Q17" s="31">
        <f t="shared" ca="1" si="5"/>
        <v>1</v>
      </c>
      <c r="R17" s="31">
        <f t="shared" ca="1" si="5"/>
        <v>1</v>
      </c>
      <c r="S17" s="31">
        <f t="shared" ca="1" si="5"/>
        <v>0</v>
      </c>
      <c r="T17" s="31">
        <f t="shared" ca="1" si="5"/>
        <v>0</v>
      </c>
      <c r="V17" s="31">
        <f ca="1">COUNT(V$8:V$15)</f>
        <v>6</v>
      </c>
    </row>
    <row r="18" spans="1:22" x14ac:dyDescent="0.2">
      <c r="A18" s="31" t="s">
        <v>29</v>
      </c>
      <c r="B18" s="43">
        <f ca="1">IF(B$17=0,"",MIN(B$8:B$15))</f>
        <v>182.5</v>
      </c>
      <c r="C18" s="43">
        <f t="shared" ref="C18:V18" ca="1" si="6">IF(C$17=0,"",MIN(C$8:C$15))</f>
        <v>205.3</v>
      </c>
      <c r="D18" s="43">
        <f t="shared" ca="1" si="6"/>
        <v>223</v>
      </c>
      <c r="E18" s="43">
        <f t="shared" ca="1" si="6"/>
        <v>261.89999999999998</v>
      </c>
      <c r="F18" s="43">
        <f t="shared" ca="1" si="6"/>
        <v>308.8</v>
      </c>
      <c r="G18" s="43">
        <f t="shared" ca="1" si="6"/>
        <v>371</v>
      </c>
      <c r="H18" s="43">
        <f t="shared" ca="1" si="6"/>
        <v>410.1</v>
      </c>
      <c r="I18" s="43">
        <f t="shared" ca="1" si="6"/>
        <v>441.6</v>
      </c>
      <c r="J18" s="43">
        <f t="shared" ca="1" si="6"/>
        <v>493.9</v>
      </c>
      <c r="K18" s="43">
        <f t="shared" ca="1" si="6"/>
        <v>599.29999999999995</v>
      </c>
      <c r="L18" s="43">
        <f t="shared" ca="1" si="6"/>
        <v>636.4</v>
      </c>
      <c r="M18" s="43">
        <f t="shared" ca="1" si="6"/>
        <v>610</v>
      </c>
      <c r="N18" s="43">
        <f t="shared" ca="1" si="6"/>
        <v>668.3</v>
      </c>
      <c r="O18" s="43">
        <f t="shared" ca="1" si="6"/>
        <v>725.8</v>
      </c>
      <c r="P18" s="43">
        <f t="shared" ca="1" si="6"/>
        <v>768.6</v>
      </c>
      <c r="Q18" s="43">
        <f t="shared" ca="1" si="6"/>
        <v>816.4</v>
      </c>
      <c r="R18" s="43">
        <f t="shared" ca="1" si="6"/>
        <v>865.7</v>
      </c>
      <c r="S18" s="43" t="str">
        <f t="shared" ca="1" si="6"/>
        <v/>
      </c>
      <c r="T18" s="43" t="str">
        <f t="shared" ca="1" si="6"/>
        <v/>
      </c>
      <c r="U18" s="34"/>
      <c r="V18" s="43">
        <f t="shared" ca="1" si="6"/>
        <v>308.8</v>
      </c>
    </row>
    <row r="19" spans="1:22" x14ac:dyDescent="0.2">
      <c r="A19" s="31" t="s">
        <v>30</v>
      </c>
      <c r="B19" s="43">
        <f ca="1">IF(B$17=0,"",MAX(B$8:B$15))</f>
        <v>232.9</v>
      </c>
      <c r="C19" s="43">
        <f t="shared" ref="C19:V19" ca="1" si="7">IF(C$17=0,"",MAX(C$8:C$15))</f>
        <v>274.2</v>
      </c>
      <c r="D19" s="43">
        <f t="shared" ca="1" si="7"/>
        <v>311.8</v>
      </c>
      <c r="E19" s="43">
        <f t="shared" ca="1" si="7"/>
        <v>356.1</v>
      </c>
      <c r="F19" s="43">
        <f t="shared" ca="1" si="7"/>
        <v>383.6</v>
      </c>
      <c r="G19" s="43">
        <f t="shared" ca="1" si="7"/>
        <v>435.6</v>
      </c>
      <c r="H19" s="43">
        <f t="shared" ca="1" si="7"/>
        <v>498.8</v>
      </c>
      <c r="I19" s="43">
        <f t="shared" ca="1" si="7"/>
        <v>565.20000000000005</v>
      </c>
      <c r="J19" s="43">
        <f t="shared" ca="1" si="7"/>
        <v>616.9</v>
      </c>
      <c r="K19" s="43">
        <f t="shared" ca="1" si="7"/>
        <v>661.5</v>
      </c>
      <c r="L19" s="43">
        <f t="shared" ca="1" si="7"/>
        <v>732.6</v>
      </c>
      <c r="M19" s="43">
        <f t="shared" ca="1" si="7"/>
        <v>859.5</v>
      </c>
      <c r="N19" s="43">
        <f t="shared" ca="1" si="7"/>
        <v>1143.2</v>
      </c>
      <c r="O19" s="43">
        <f t="shared" ca="1" si="7"/>
        <v>1295.9000000000001</v>
      </c>
      <c r="P19" s="43">
        <f t="shared" ca="1" si="7"/>
        <v>1418.2</v>
      </c>
      <c r="Q19" s="43">
        <f t="shared" ca="1" si="7"/>
        <v>816.4</v>
      </c>
      <c r="R19" s="43">
        <f t="shared" ca="1" si="7"/>
        <v>865.7</v>
      </c>
      <c r="S19" s="43" t="str">
        <f t="shared" ca="1" si="7"/>
        <v/>
      </c>
      <c r="T19" s="43" t="str">
        <f t="shared" ca="1" si="7"/>
        <v/>
      </c>
      <c r="U19" s="34"/>
      <c r="V19" s="43">
        <f t="shared" ca="1" si="7"/>
        <v>383.6</v>
      </c>
    </row>
    <row r="20" spans="1:22" x14ac:dyDescent="0.2">
      <c r="A20" s="31" t="s">
        <v>45</v>
      </c>
      <c r="B20" s="43">
        <f t="shared" ref="B20:T20" ca="1" si="8">IF(B$17=0,"",AVERAGE(B$8:B$15))</f>
        <v>204.65</v>
      </c>
      <c r="C20" s="43">
        <f t="shared" ca="1" si="8"/>
        <v>241.56666666666669</v>
      </c>
      <c r="D20" s="43">
        <f t="shared" ca="1" si="8"/>
        <v>278.34999999999997</v>
      </c>
      <c r="E20" s="43">
        <f t="shared" ca="1" si="8"/>
        <v>316.75</v>
      </c>
      <c r="F20" s="43">
        <f t="shared" ca="1" si="8"/>
        <v>347.88333333333338</v>
      </c>
      <c r="G20" s="43">
        <f t="shared" ca="1" si="8"/>
        <v>400.23333333333335</v>
      </c>
      <c r="H20" s="43">
        <f t="shared" ca="1" si="8"/>
        <v>462.36666666666662</v>
      </c>
      <c r="I20" s="43">
        <f t="shared" ca="1" si="8"/>
        <v>516</v>
      </c>
      <c r="J20" s="43">
        <f t="shared" ca="1" si="8"/>
        <v>564.4</v>
      </c>
      <c r="K20" s="43">
        <f t="shared" ca="1" si="8"/>
        <v>625.85</v>
      </c>
      <c r="L20" s="43">
        <f t="shared" ca="1" si="8"/>
        <v>673.6</v>
      </c>
      <c r="M20" s="43">
        <f t="shared" ca="1" si="8"/>
        <v>767.01666666666654</v>
      </c>
      <c r="N20" s="43">
        <f t="shared" ca="1" si="8"/>
        <v>1014.8833333333333</v>
      </c>
      <c r="O20" s="43">
        <f t="shared" ca="1" si="8"/>
        <v>1179.8833333333332</v>
      </c>
      <c r="P20" s="43">
        <f t="shared" ca="1" si="8"/>
        <v>1201.6666666666667</v>
      </c>
      <c r="Q20" s="43">
        <f t="shared" ca="1" si="8"/>
        <v>816.4</v>
      </c>
      <c r="R20" s="43">
        <f t="shared" ca="1" si="8"/>
        <v>865.7</v>
      </c>
      <c r="S20" s="43" t="str">
        <f t="shared" ca="1" si="8"/>
        <v/>
      </c>
      <c r="T20" s="43" t="str">
        <f t="shared" ca="1" si="8"/>
        <v/>
      </c>
      <c r="U20" s="34"/>
      <c r="V20" s="43">
        <f ca="1">IF(V$17=0,"",AVERAGE(V$8:V$15))</f>
        <v>347.88333333333338</v>
      </c>
    </row>
    <row r="21" spans="1:22" x14ac:dyDescent="0.2">
      <c r="A21" s="31" t="s">
        <v>31</v>
      </c>
      <c r="B21" s="32">
        <f t="shared" ref="B21:V21" ca="1" si="9">IF(B$17&lt;6,"",(VAR(B$8:B$15))^0.5)</f>
        <v>22.271304407241178</v>
      </c>
      <c r="C21" s="32">
        <f t="shared" ca="1" si="9"/>
        <v>27.296422231982234</v>
      </c>
      <c r="D21" s="32">
        <f t="shared" ca="1" si="9"/>
        <v>32.698302708244718</v>
      </c>
      <c r="E21" s="32">
        <f t="shared" ca="1" si="9"/>
        <v>35.482319540864552</v>
      </c>
      <c r="F21" s="32">
        <f t="shared" ca="1" si="9"/>
        <v>29.758052131594013</v>
      </c>
      <c r="G21" s="32">
        <f t="shared" ca="1" si="9"/>
        <v>28.036666468513474</v>
      </c>
      <c r="H21" s="32">
        <f t="shared" ca="1" si="9"/>
        <v>33.250664153767914</v>
      </c>
      <c r="I21" s="32">
        <f t="shared" ca="1" si="9"/>
        <v>45.975297715186159</v>
      </c>
      <c r="J21" s="32">
        <f t="shared" ca="1" si="9"/>
        <v>46.646543280290345</v>
      </c>
      <c r="K21" s="32">
        <f t="shared" ca="1" si="9"/>
        <v>30.744999593429849</v>
      </c>
      <c r="L21" s="32">
        <f t="shared" ca="1" si="9"/>
        <v>47.2323617872323</v>
      </c>
      <c r="M21" s="32">
        <f t="shared" ca="1" si="9"/>
        <v>91.67438937166061</v>
      </c>
      <c r="N21" s="32">
        <f t="shared" ca="1" si="9"/>
        <v>184.52723827843616</v>
      </c>
      <c r="O21" s="32">
        <f t="shared" ca="1" si="9"/>
        <v>223.40403234200423</v>
      </c>
      <c r="P21" s="32" t="str">
        <f t="shared" ca="1" si="9"/>
        <v/>
      </c>
      <c r="Q21" s="32" t="str">
        <f t="shared" ca="1" si="9"/>
        <v/>
      </c>
      <c r="R21" s="32" t="str">
        <f t="shared" ca="1" si="9"/>
        <v/>
      </c>
      <c r="S21" s="32" t="str">
        <f t="shared" ca="1" si="9"/>
        <v/>
      </c>
      <c r="T21" s="32" t="str">
        <f t="shared" ca="1" si="9"/>
        <v/>
      </c>
      <c r="U21" s="32"/>
      <c r="V21" s="32">
        <f t="shared" ca="1" si="9"/>
        <v>29.758052131594013</v>
      </c>
    </row>
    <row r="22" spans="1:22" x14ac:dyDescent="0.2">
      <c r="A22" s="31" t="s">
        <v>32</v>
      </c>
      <c r="B22" s="32">
        <f t="shared" ref="B22:T22" ca="1" si="10">IF(B$17&lt;6,"",B21/B20)</f>
        <v>0.10882631032123713</v>
      </c>
      <c r="C22" s="32">
        <f t="shared" ca="1" si="10"/>
        <v>0.11299747025796425</v>
      </c>
      <c r="D22" s="32">
        <f t="shared" ca="1" si="10"/>
        <v>0.11747189764054149</v>
      </c>
      <c r="E22" s="32">
        <f t="shared" ca="1" si="10"/>
        <v>0.11201995119452107</v>
      </c>
      <c r="F22" s="32">
        <f t="shared" ca="1" si="10"/>
        <v>8.5540321367107777E-2</v>
      </c>
      <c r="G22" s="32">
        <f t="shared" ca="1" si="10"/>
        <v>7.0050803202748743E-2</v>
      </c>
      <c r="H22" s="32">
        <f t="shared" ca="1" si="10"/>
        <v>7.1914059881265771E-2</v>
      </c>
      <c r="I22" s="32">
        <f t="shared" ca="1" si="10"/>
        <v>8.9099414176717365E-2</v>
      </c>
      <c r="J22" s="32">
        <f t="shared" ca="1" si="10"/>
        <v>8.264802140377453E-2</v>
      </c>
      <c r="K22" s="32">
        <f t="shared" ca="1" si="10"/>
        <v>4.9125189092322198E-2</v>
      </c>
      <c r="L22" s="32">
        <f t="shared" ca="1" si="10"/>
        <v>7.0119301940665527E-2</v>
      </c>
      <c r="M22" s="32">
        <f t="shared" ca="1" si="10"/>
        <v>0.11952072667477102</v>
      </c>
      <c r="N22" s="32">
        <f t="shared" ca="1" si="10"/>
        <v>0.18182113373796938</v>
      </c>
      <c r="O22" s="32">
        <f t="shared" ca="1" si="10"/>
        <v>0.18934417160623584</v>
      </c>
      <c r="P22" s="32" t="str">
        <f t="shared" ca="1" si="10"/>
        <v/>
      </c>
      <c r="Q22" s="32" t="str">
        <f t="shared" ca="1" si="10"/>
        <v/>
      </c>
      <c r="R22" s="32" t="str">
        <f t="shared" ca="1" si="10"/>
        <v/>
      </c>
      <c r="S22" s="32" t="str">
        <f t="shared" ca="1" si="10"/>
        <v/>
      </c>
      <c r="T22" s="32" t="str">
        <f t="shared" ca="1" si="10"/>
        <v/>
      </c>
      <c r="U22" s="32"/>
      <c r="V22" s="32">
        <f ca="1">IF(V$17&lt;6,"",V21/V20)</f>
        <v>8.5540321367107777E-2</v>
      </c>
    </row>
    <row r="23" spans="1:22" ht="15.75" x14ac:dyDescent="0.3">
      <c r="A23" s="31" t="s">
        <v>46</v>
      </c>
      <c r="B23" s="31">
        <f ca="1">IF(B$17&lt;6,"",INDEX(Student!$B$4:$G$25,MATCH(B$17-1,Student!$A$4:$A$25,1),MATCH($B$1,Student!$B$2:$G$2,0)))</f>
        <v>2.0099999999999998</v>
      </c>
      <c r="C23" s="31">
        <f ca="1">IF(C$17&lt;6,"",INDEX(Student!$B$4:$G$25,MATCH(C$17-1,Student!$A$4:$A$25,1),MATCH($B$1,Student!$B$2:$G$2,0)))</f>
        <v>2.0099999999999998</v>
      </c>
      <c r="D23" s="31">
        <f ca="1">IF(D$17&lt;6,"",INDEX(Student!$B$4:$G$25,MATCH(D$17-1,Student!$A$4:$A$25,1),MATCH($B$1,Student!$B$2:$G$2,0)))</f>
        <v>2.0099999999999998</v>
      </c>
      <c r="E23" s="31">
        <f ca="1">IF(E$17&lt;6,"",INDEX(Student!$B$4:$G$25,MATCH(E$17-1,Student!$A$4:$A$25,1),MATCH($B$1,Student!$B$2:$G$2,0)))</f>
        <v>2.0099999999999998</v>
      </c>
      <c r="F23" s="31">
        <f ca="1">IF(F$17&lt;6,"",INDEX(Student!$B$4:$G$25,MATCH(F$17-1,Student!$A$4:$A$25,1),MATCH($B$1,Student!$B$2:$G$2,0)))</f>
        <v>2.0099999999999998</v>
      </c>
      <c r="G23" s="31">
        <f ca="1">IF(G$17&lt;6,"",INDEX(Student!$B$4:$G$25,MATCH(G$17-1,Student!$A$4:$A$25,1),MATCH($B$1,Student!$B$2:$G$2,0)))</f>
        <v>2.0099999999999998</v>
      </c>
      <c r="H23" s="31">
        <f ca="1">IF(H$17&lt;6,"",INDEX(Student!$B$4:$G$25,MATCH(H$17-1,Student!$A$4:$A$25,1),MATCH($B$1,Student!$B$2:$G$2,0)))</f>
        <v>2.0099999999999998</v>
      </c>
      <c r="I23" s="31">
        <f ca="1">IF(I$17&lt;6,"",INDEX(Student!$B$4:$G$25,MATCH(I$17-1,Student!$A$4:$A$25,1),MATCH($B$1,Student!$B$2:$G$2,0)))</f>
        <v>2.0099999999999998</v>
      </c>
      <c r="J23" s="31">
        <f ca="1">IF(J$17&lt;6,"",INDEX(Student!$B$4:$G$25,MATCH(J$17-1,Student!$A$4:$A$25,1),MATCH($B$1,Student!$B$2:$G$2,0)))</f>
        <v>2.0099999999999998</v>
      </c>
      <c r="K23" s="31">
        <f ca="1">IF(K$17&lt;6,"",INDEX(Student!$B$4:$G$25,MATCH(K$17-1,Student!$A$4:$A$25,1),MATCH($B$1,Student!$B$2:$G$2,0)))</f>
        <v>2.0099999999999998</v>
      </c>
      <c r="L23" s="31">
        <f ca="1">IF(L$17&lt;6,"",INDEX(Student!$B$4:$G$25,MATCH(L$17-1,Student!$A$4:$A$25,1),MATCH($B$1,Student!$B$2:$G$2,0)))</f>
        <v>2.0099999999999998</v>
      </c>
      <c r="M23" s="31">
        <f ca="1">IF(M$17&lt;6,"",INDEX(Student!$B$4:$G$25,MATCH(M$17-1,Student!$A$4:$A$25,1),MATCH($B$1,Student!$B$2:$G$2,0)))</f>
        <v>2.0099999999999998</v>
      </c>
      <c r="N23" s="31">
        <f ca="1">IF(N$17&lt;6,"",INDEX(Student!$B$4:$G$25,MATCH(N$17-1,Student!$A$4:$A$25,1),MATCH($B$1,Student!$B$2:$G$2,0)))</f>
        <v>2.0099999999999998</v>
      </c>
      <c r="O23" s="31">
        <f ca="1">IF(O$17&lt;6,"",INDEX(Student!$B$4:$G$25,MATCH(O$17-1,Student!$A$4:$A$25,1),MATCH($B$1,Student!$B$2:$G$2,0)))</f>
        <v>2.0099999999999998</v>
      </c>
      <c r="P23" s="31" t="str">
        <f ca="1">IF(P$17&lt;6,"",INDEX(Student!$B$4:$G$25,MATCH(P$17-1,Student!$A$4:$A$25,1),MATCH($B$1,Student!$B$2:$G$2,0)))</f>
        <v/>
      </c>
      <c r="Q23" s="31" t="str">
        <f ca="1">IF(Q$17&lt;6,"",INDEX(Student!$B$4:$G$25,MATCH(Q$17-1,Student!$A$4:$A$25,1),MATCH($B$1,Student!$B$2:$G$2,0)))</f>
        <v/>
      </c>
      <c r="R23" s="31" t="str">
        <f ca="1">IF(R$17&lt;6,"",INDEX(Student!$B$4:$G$25,MATCH(R$17-1,Student!$A$4:$A$25,1),MATCH($B$1,Student!$B$2:$G$2,0)))</f>
        <v/>
      </c>
      <c r="S23" s="31" t="str">
        <f ca="1">IF(S$17&lt;6,"",INDEX(Student!$B$4:$G$25,MATCH(S$17-1,Student!$A$4:$A$25,1),MATCH($B$1,Student!$B$2:$G$2,0)))</f>
        <v/>
      </c>
      <c r="T23" s="31" t="str">
        <f ca="1">IF(T$17&lt;6,"",INDEX(Student!$B$4:$G$25,MATCH(T$17-1,Student!$A$4:$A$25,1),MATCH($B$1,Student!$B$2:$G$2,0)))</f>
        <v/>
      </c>
      <c r="V23" s="31">
        <f ca="1">IF(V$17&lt;6,"",INDEX(Student!$B$4:$G$25,MATCH(V$17-1,Student!$A$4:$A$25,1),MATCH($B$1,Student!$B$2:$G$2,0)))</f>
        <v>2.0099999999999998</v>
      </c>
    </row>
    <row r="24" spans="1:22" ht="15.75" x14ac:dyDescent="0.3">
      <c r="A24" s="31" t="s">
        <v>47</v>
      </c>
      <c r="B24" s="32">
        <f t="shared" ref="B24:V24" ca="1" si="11">IF(B$17&lt;6,"",1/(1-(B$23*B$22/B$17^(1/2))))</f>
        <v>1.0980571537040111</v>
      </c>
      <c r="C24" s="32">
        <f t="shared" ca="1" si="11"/>
        <v>1.1021996534508685</v>
      </c>
      <c r="D24" s="32">
        <f t="shared" ca="1" si="11"/>
        <v>1.1066782251501324</v>
      </c>
      <c r="E24" s="32">
        <f t="shared" ca="1" si="11"/>
        <v>1.1012260493061121</v>
      </c>
      <c r="F24" s="32">
        <f t="shared" ca="1" si="11"/>
        <v>1.0754915443648136</v>
      </c>
      <c r="G24" s="32">
        <f t="shared" ca="1" si="11"/>
        <v>1.0609879451463169</v>
      </c>
      <c r="H24" s="32">
        <f t="shared" ca="1" si="11"/>
        <v>1.0627118730570086</v>
      </c>
      <c r="I24" s="32">
        <f t="shared" ca="1" si="11"/>
        <v>1.0788802980897243</v>
      </c>
      <c r="J24" s="32">
        <f t="shared" ca="1" si="11"/>
        <v>1.0727533099292421</v>
      </c>
      <c r="K24" s="32">
        <f t="shared" ca="1" si="11"/>
        <v>1.0420043430182047</v>
      </c>
      <c r="L24" s="32">
        <f t="shared" ca="1" si="11"/>
        <v>1.061051222717585</v>
      </c>
      <c r="M24" s="32">
        <f t="shared" ca="1" si="11"/>
        <v>1.1087411227602135</v>
      </c>
      <c r="N24" s="32">
        <f t="shared" ca="1" si="11"/>
        <v>1.1753624505815019</v>
      </c>
      <c r="O24" s="32">
        <f t="shared" ca="1" si="11"/>
        <v>1.1839529803554811</v>
      </c>
      <c r="P24" s="32" t="str">
        <f t="shared" ca="1" si="11"/>
        <v/>
      </c>
      <c r="Q24" s="32" t="str">
        <f t="shared" ca="1" si="11"/>
        <v/>
      </c>
      <c r="R24" s="32" t="str">
        <f t="shared" ca="1" si="11"/>
        <v/>
      </c>
      <c r="S24" s="32" t="str">
        <f t="shared" ca="1" si="11"/>
        <v/>
      </c>
      <c r="T24" s="32" t="str">
        <f t="shared" ca="1" si="11"/>
        <v/>
      </c>
      <c r="U24" s="32"/>
      <c r="V24" s="32">
        <f t="shared" ca="1" si="11"/>
        <v>1.0754915443648136</v>
      </c>
    </row>
    <row r="25" spans="1:22" x14ac:dyDescent="0.2">
      <c r="A25" s="31" t="s">
        <v>33</v>
      </c>
      <c r="B25" s="43">
        <f t="shared" ref="B25:V25" ca="1" si="12">IF(B$17&lt;6,B$18,B$20/B$24)</f>
        <v>186.37463387918041</v>
      </c>
      <c r="C25" s="43">
        <f t="shared" ca="1" si="12"/>
        <v>219.16779406557376</v>
      </c>
      <c r="D25" s="43">
        <f t="shared" ca="1" si="12"/>
        <v>251.51845737476123</v>
      </c>
      <c r="E25" s="43">
        <f t="shared" ca="1" si="12"/>
        <v>287.63395144855656</v>
      </c>
      <c r="F25" s="43">
        <f t="shared" ca="1" si="12"/>
        <v>323.46449877371526</v>
      </c>
      <c r="G25" s="43">
        <f t="shared" ca="1" si="12"/>
        <v>377.22703180962031</v>
      </c>
      <c r="H25" s="43">
        <f ca="1">IF(H$17&lt;6,H$18,H$20/H$24)</f>
        <v>435.08186780356334</v>
      </c>
      <c r="I25" s="43">
        <f t="shared" ca="1" si="12"/>
        <v>478.2736332414583</v>
      </c>
      <c r="J25" s="43">
        <f t="shared" ca="1" si="12"/>
        <v>526.12282318404345</v>
      </c>
      <c r="K25" s="43">
        <f t="shared" ca="1" si="12"/>
        <v>600.62129701609695</v>
      </c>
      <c r="L25" s="43">
        <f t="shared" ca="1" si="12"/>
        <v>634.84211278204134</v>
      </c>
      <c r="M25" s="43">
        <f t="shared" ca="1" si="12"/>
        <v>691.79058205866556</v>
      </c>
      <c r="N25" s="43">
        <f t="shared" ca="1" si="12"/>
        <v>863.4641448952425</v>
      </c>
      <c r="O25" s="43">
        <f t="shared" ca="1" si="12"/>
        <v>996.56266161775613</v>
      </c>
      <c r="P25" s="43">
        <f t="shared" ca="1" si="12"/>
        <v>768.6</v>
      </c>
      <c r="Q25" s="43">
        <f t="shared" ca="1" si="12"/>
        <v>816.4</v>
      </c>
      <c r="R25" s="43">
        <f t="shared" ca="1" si="12"/>
        <v>865.7</v>
      </c>
      <c r="S25" s="43" t="str">
        <f t="shared" ca="1" si="12"/>
        <v/>
      </c>
      <c r="T25" s="43" t="str">
        <f t="shared" ca="1" si="12"/>
        <v/>
      </c>
      <c r="U25" s="34"/>
      <c r="V25" s="43">
        <f t="shared" ca="1" si="12"/>
        <v>323.46449877371526</v>
      </c>
    </row>
    <row r="26" spans="1:22" x14ac:dyDescent="0.2">
      <c r="A26" s="31" t="s">
        <v>34</v>
      </c>
      <c r="B26" s="43">
        <f t="shared" ref="B26:T26" ca="1" si="13">IF(B$17=0,"",B$25/$B$2)</f>
        <v>149.09970710334431</v>
      </c>
      <c r="C26" s="43">
        <f t="shared" ca="1" si="13"/>
        <v>175.334235252459</v>
      </c>
      <c r="D26" s="43">
        <f t="shared" ca="1" si="13"/>
        <v>201.21476589980898</v>
      </c>
      <c r="E26" s="43">
        <f t="shared" ca="1" si="13"/>
        <v>230.10716115884526</v>
      </c>
      <c r="F26" s="43">
        <f t="shared" ca="1" si="13"/>
        <v>258.77159901897221</v>
      </c>
      <c r="G26" s="43">
        <f t="shared" ca="1" si="13"/>
        <v>301.78162544769623</v>
      </c>
      <c r="H26" s="43">
        <f ca="1">IF(H$17=0,"",H$25/$B$2)</f>
        <v>348.06549424285066</v>
      </c>
      <c r="I26" s="43">
        <f t="shared" ca="1" si="13"/>
        <v>382.61890659316663</v>
      </c>
      <c r="J26" s="43">
        <f t="shared" ca="1" si="13"/>
        <v>420.89825854723478</v>
      </c>
      <c r="K26" s="43">
        <f t="shared" ca="1" si="13"/>
        <v>480.49703761287753</v>
      </c>
      <c r="L26" s="43">
        <f t="shared" ca="1" si="13"/>
        <v>507.87369022563308</v>
      </c>
      <c r="M26" s="43">
        <f t="shared" ca="1" si="13"/>
        <v>553.43246564693243</v>
      </c>
      <c r="N26" s="43">
        <f t="shared" ca="1" si="13"/>
        <v>690.771315916194</v>
      </c>
      <c r="O26" s="43">
        <f t="shared" ca="1" si="13"/>
        <v>797.25012929420495</v>
      </c>
      <c r="P26" s="43">
        <f t="shared" ca="1" si="13"/>
        <v>614.88</v>
      </c>
      <c r="Q26" s="43">
        <f t="shared" ca="1" si="13"/>
        <v>653.12</v>
      </c>
      <c r="R26" s="43">
        <f t="shared" ca="1" si="13"/>
        <v>692.56000000000006</v>
      </c>
      <c r="S26" s="43" t="str">
        <f t="shared" ca="1" si="13"/>
        <v/>
      </c>
      <c r="T26" s="43" t="str">
        <f t="shared" ca="1" si="13"/>
        <v/>
      </c>
      <c r="U26" s="34"/>
      <c r="V26" s="43">
        <f ca="1">IF(V$17=0,"",V$25/$B$2)</f>
        <v>258.77159901897221</v>
      </c>
    </row>
    <row r="28" spans="1:22" x14ac:dyDescent="0.2">
      <c r="A28" s="31" t="s">
        <v>65</v>
      </c>
    </row>
    <row r="29" spans="1:22" x14ac:dyDescent="0.2">
      <c r="A29" s="31">
        <v>300</v>
      </c>
      <c r="B29" s="45">
        <v>13.913743849183875</v>
      </c>
      <c r="C29" s="45">
        <v>15.7360214444822</v>
      </c>
      <c r="D29" s="45">
        <v>17.880469664363648</v>
      </c>
      <c r="E29" s="45">
        <v>20.759869621575358</v>
      </c>
      <c r="F29" s="45">
        <v>24.555442292445349</v>
      </c>
      <c r="G29" s="45">
        <v>28.149658322950881</v>
      </c>
      <c r="H29" s="45">
        <v>31.381432400800392</v>
      </c>
      <c r="I29" s="44">
        <v>35.166937239652157</v>
      </c>
      <c r="J29" s="46">
        <v>37.462402939806942</v>
      </c>
      <c r="K29" s="46">
        <v>41.419060922968498</v>
      </c>
      <c r="L29" s="46">
        <v>46.432841268043433</v>
      </c>
      <c r="M29" s="46">
        <v>49.64447968185651</v>
      </c>
      <c r="N29" s="46">
        <v>54.607920866840324</v>
      </c>
      <c r="O29" s="46">
        <v>59.400208907514376</v>
      </c>
      <c r="P29" s="46">
        <v>63.356866890675924</v>
      </c>
      <c r="Q29" s="46">
        <v>67.343728369892133</v>
      </c>
      <c r="R29" s="46">
        <v>71.572217817545706</v>
      </c>
      <c r="S29" s="44">
        <v>109.35679138193578</v>
      </c>
      <c r="T29" s="44">
        <v>118.92123179924742</v>
      </c>
    </row>
    <row r="30" spans="1:22" x14ac:dyDescent="0.2">
      <c r="A30" s="31">
        <v>350</v>
      </c>
      <c r="B30" s="44">
        <v>12.752039313856701</v>
      </c>
      <c r="C30" s="44">
        <v>14.431107135344792</v>
      </c>
      <c r="D30" s="44">
        <v>16.494807233120905</v>
      </c>
      <c r="E30" s="44">
        <v>19.372152530737061</v>
      </c>
      <c r="F30" s="44">
        <v>22.168133308369217</v>
      </c>
      <c r="G30" s="44">
        <v>25.223001195041384</v>
      </c>
      <c r="H30" s="44">
        <v>28.004188423585539</v>
      </c>
      <c r="I30" s="45">
        <v>31.280959546577716</v>
      </c>
      <c r="J30" s="45">
        <v>33.315072546177831</v>
      </c>
      <c r="K30" s="45">
        <v>37.168792083602042</v>
      </c>
      <c r="L30" s="45">
        <v>41.836156820866293</v>
      </c>
      <c r="M30" s="46">
        <v>45.120324718402479</v>
      </c>
      <c r="N30" s="46">
        <v>49.432644277554715</v>
      </c>
      <c r="O30" s="46">
        <v>53.685789640354933</v>
      </c>
      <c r="P30" s="46">
        <v>56.851609145187119</v>
      </c>
      <c r="Q30" s="44">
        <v>60.38726737721931</v>
      </c>
      <c r="R30" s="44">
        <v>64.033877227411523</v>
      </c>
      <c r="S30" s="44">
        <v>100.79584671109355</v>
      </c>
      <c r="T30" s="44">
        <v>109.84210197840602</v>
      </c>
    </row>
    <row r="31" spans="1:22" x14ac:dyDescent="0.2">
      <c r="A31" s="31">
        <v>400</v>
      </c>
      <c r="B31" s="44">
        <v>11.892626571525653</v>
      </c>
      <c r="C31" s="44">
        <v>13.466983803375241</v>
      </c>
      <c r="D31" s="44">
        <v>15.562351342167856</v>
      </c>
      <c r="E31" s="44">
        <v>18.059802922188243</v>
      </c>
      <c r="F31" s="44">
        <v>20.268433571185863</v>
      </c>
      <c r="G31" s="44">
        <v>23.043379771208517</v>
      </c>
      <c r="H31" s="44">
        <v>25.478536640616145</v>
      </c>
      <c r="I31" s="44">
        <v>28.276135462679804</v>
      </c>
      <c r="J31" s="44">
        <v>30.371503001472416</v>
      </c>
      <c r="K31" s="44">
        <v>34.092196171706874</v>
      </c>
      <c r="L31" s="44">
        <v>38.571752180314874</v>
      </c>
      <c r="M31" s="44">
        <v>41.731792955034543</v>
      </c>
      <c r="N31" s="44">
        <v>45.441159814248493</v>
      </c>
      <c r="O31" s="44">
        <v>49.377052893872467</v>
      </c>
      <c r="P31" s="44">
        <v>52.055725450220862</v>
      </c>
      <c r="Q31" s="44">
        <v>55.170460980858543</v>
      </c>
      <c r="R31" s="44">
        <v>58.370143844149958</v>
      </c>
      <c r="S31" s="44">
        <v>94.382149733831696</v>
      </c>
      <c r="T31" s="44">
        <v>103.04111450900442</v>
      </c>
    </row>
  </sheetData>
  <phoneticPr fontId="11" type="noConversion"/>
  <dataValidations count="1">
    <dataValidation type="list" allowBlank="1" showInputMessage="1" showErrorMessage="1" sqref="B1">
      <formula1>"0.85,0.9,0.95,0.975,0.98,0.99"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J45" sqref="J45"/>
    </sheetView>
  </sheetViews>
  <sheetFormatPr defaultColWidth="11" defaultRowHeight="12.75" x14ac:dyDescent="0.2"/>
  <cols>
    <col min="1" max="7" width="7.42578125" style="10" customWidth="1"/>
    <col min="8" max="16384" width="11" style="10"/>
  </cols>
  <sheetData>
    <row r="1" spans="1:7" ht="12.75" customHeight="1" thickBot="1" x14ac:dyDescent="0.25">
      <c r="A1" s="62" t="s">
        <v>35</v>
      </c>
      <c r="B1" s="64" t="s">
        <v>36</v>
      </c>
      <c r="C1" s="65"/>
      <c r="D1" s="65"/>
      <c r="E1" s="65"/>
      <c r="F1" s="65"/>
      <c r="G1" s="66"/>
    </row>
    <row r="2" spans="1:7" x14ac:dyDescent="0.2">
      <c r="A2" s="62"/>
      <c r="B2" s="9">
        <v>0.85</v>
      </c>
      <c r="C2" s="9">
        <v>0.9</v>
      </c>
      <c r="D2" s="9">
        <v>0.95</v>
      </c>
      <c r="E2" s="9">
        <v>0.97499999999999998</v>
      </c>
      <c r="F2" s="9">
        <v>0.98</v>
      </c>
      <c r="G2" s="9">
        <v>0.99</v>
      </c>
    </row>
    <row r="3" spans="1:7" ht="13.5" thickBot="1" x14ac:dyDescent="0.25">
      <c r="A3" s="63"/>
      <c r="B3" s="11">
        <v>0.7</v>
      </c>
      <c r="C3" s="11">
        <v>0.8</v>
      </c>
      <c r="D3" s="11">
        <v>0.9</v>
      </c>
      <c r="E3" s="11">
        <v>0.95</v>
      </c>
      <c r="F3" s="11">
        <v>0.96</v>
      </c>
      <c r="G3" s="11">
        <v>0.98</v>
      </c>
    </row>
    <row r="4" spans="1:7" x14ac:dyDescent="0.2">
      <c r="A4" s="12">
        <v>3</v>
      </c>
      <c r="B4" s="8">
        <v>1.25</v>
      </c>
      <c r="C4" s="8">
        <v>1.64</v>
      </c>
      <c r="D4" s="8">
        <v>2.35</v>
      </c>
      <c r="E4" s="8">
        <v>3.18</v>
      </c>
      <c r="F4" s="8">
        <v>3.45</v>
      </c>
      <c r="G4" s="8">
        <v>4.54</v>
      </c>
    </row>
    <row r="5" spans="1:7" x14ac:dyDescent="0.2">
      <c r="A5" s="12">
        <v>4</v>
      </c>
      <c r="B5" s="8">
        <v>1.19</v>
      </c>
      <c r="C5" s="8">
        <v>1.53</v>
      </c>
      <c r="D5" s="8">
        <v>2.13</v>
      </c>
      <c r="E5" s="8">
        <v>2.78</v>
      </c>
      <c r="F5" s="8">
        <v>3.02</v>
      </c>
      <c r="G5" s="8">
        <v>3.75</v>
      </c>
    </row>
    <row r="6" spans="1:7" x14ac:dyDescent="0.2">
      <c r="A6" s="12">
        <v>5</v>
      </c>
      <c r="B6" s="8">
        <v>1.1599999999999999</v>
      </c>
      <c r="C6" s="8">
        <v>1.48</v>
      </c>
      <c r="D6" s="8">
        <v>2.0099999999999998</v>
      </c>
      <c r="E6" s="8">
        <v>2.57</v>
      </c>
      <c r="F6" s="8">
        <v>2.74</v>
      </c>
      <c r="G6" s="8">
        <v>3.36</v>
      </c>
    </row>
    <row r="7" spans="1:7" x14ac:dyDescent="0.2">
      <c r="A7" s="12">
        <v>6</v>
      </c>
      <c r="B7" s="8">
        <v>1.1299999999999999</v>
      </c>
      <c r="C7" s="8">
        <v>1.44</v>
      </c>
      <c r="D7" s="8">
        <v>1.94</v>
      </c>
      <c r="E7" s="8">
        <v>2.4500000000000002</v>
      </c>
      <c r="F7" s="8">
        <v>2.63</v>
      </c>
      <c r="G7" s="8">
        <v>3.14</v>
      </c>
    </row>
    <row r="8" spans="1:7" x14ac:dyDescent="0.2">
      <c r="A8" s="12">
        <v>7</v>
      </c>
      <c r="B8" s="8">
        <v>1.1200000000000001</v>
      </c>
      <c r="C8" s="8">
        <v>1.41</v>
      </c>
      <c r="D8" s="8">
        <v>1.9</v>
      </c>
      <c r="E8" s="8">
        <v>2.37</v>
      </c>
      <c r="F8" s="8">
        <v>2.54</v>
      </c>
      <c r="G8" s="8">
        <v>3</v>
      </c>
    </row>
    <row r="9" spans="1:7" x14ac:dyDescent="0.2">
      <c r="A9" s="12">
        <v>8</v>
      </c>
      <c r="B9" s="8">
        <v>1.1100000000000001</v>
      </c>
      <c r="C9" s="8">
        <v>1.4</v>
      </c>
      <c r="D9" s="8">
        <v>1.86</v>
      </c>
      <c r="E9" s="8">
        <v>2.31</v>
      </c>
      <c r="F9" s="8">
        <v>2.4900000000000002</v>
      </c>
      <c r="G9" s="8">
        <v>2.9</v>
      </c>
    </row>
    <row r="10" spans="1:7" x14ac:dyDescent="0.2">
      <c r="A10" s="12">
        <v>9</v>
      </c>
      <c r="B10" s="8">
        <v>1.1000000000000001</v>
      </c>
      <c r="C10" s="8">
        <v>1.38</v>
      </c>
      <c r="D10" s="8">
        <v>1.83</v>
      </c>
      <c r="E10" s="8">
        <v>2.2599999999999998</v>
      </c>
      <c r="F10" s="8">
        <v>2.44</v>
      </c>
      <c r="G10" s="8">
        <v>2.82</v>
      </c>
    </row>
    <row r="11" spans="1:7" x14ac:dyDescent="0.2">
      <c r="A11" s="12">
        <v>10</v>
      </c>
      <c r="B11" s="8">
        <v>1.1000000000000001</v>
      </c>
      <c r="C11" s="8">
        <v>1.37</v>
      </c>
      <c r="D11" s="8">
        <v>1.81</v>
      </c>
      <c r="E11" s="8">
        <v>2.23</v>
      </c>
      <c r="F11" s="8">
        <v>2.4</v>
      </c>
      <c r="G11" s="8">
        <v>2.76</v>
      </c>
    </row>
    <row r="12" spans="1:7" x14ac:dyDescent="0.2">
      <c r="A12" s="12">
        <v>11</v>
      </c>
      <c r="B12" s="8">
        <v>1.0900000000000001</v>
      </c>
      <c r="C12" s="8">
        <v>1.36</v>
      </c>
      <c r="D12" s="8">
        <v>1.8</v>
      </c>
      <c r="E12" s="8">
        <v>2.2000000000000002</v>
      </c>
      <c r="F12" s="8">
        <v>2.36</v>
      </c>
      <c r="G12" s="8">
        <v>2.72</v>
      </c>
    </row>
    <row r="13" spans="1:7" x14ac:dyDescent="0.2">
      <c r="A13" s="12">
        <v>12</v>
      </c>
      <c r="B13" s="8">
        <v>1.08</v>
      </c>
      <c r="C13" s="8">
        <v>1.36</v>
      </c>
      <c r="D13" s="8">
        <v>1.78</v>
      </c>
      <c r="E13" s="8">
        <v>2.1800000000000002</v>
      </c>
      <c r="F13" s="8">
        <v>2.33</v>
      </c>
      <c r="G13" s="8">
        <v>2.68</v>
      </c>
    </row>
    <row r="14" spans="1:7" x14ac:dyDescent="0.2">
      <c r="A14" s="12">
        <v>13</v>
      </c>
      <c r="B14" s="8">
        <v>1.08</v>
      </c>
      <c r="C14" s="8">
        <v>1.35</v>
      </c>
      <c r="D14" s="8">
        <v>1.77</v>
      </c>
      <c r="E14" s="8">
        <v>2.16</v>
      </c>
      <c r="F14" s="8">
        <v>2.2999999999999998</v>
      </c>
      <c r="G14" s="8">
        <v>2.65</v>
      </c>
    </row>
    <row r="15" spans="1:7" x14ac:dyDescent="0.2">
      <c r="A15" s="12">
        <v>14</v>
      </c>
      <c r="B15" s="8">
        <v>1.08</v>
      </c>
      <c r="C15" s="8">
        <v>1.34</v>
      </c>
      <c r="D15" s="8">
        <v>1.76</v>
      </c>
      <c r="E15" s="8">
        <v>2.15</v>
      </c>
      <c r="F15" s="8">
        <v>2.2799999999999998</v>
      </c>
      <c r="G15" s="8">
        <v>2.62</v>
      </c>
    </row>
    <row r="16" spans="1:7" x14ac:dyDescent="0.2">
      <c r="A16" s="12">
        <v>15</v>
      </c>
      <c r="B16" s="8">
        <v>1.07</v>
      </c>
      <c r="C16" s="8">
        <v>1.34</v>
      </c>
      <c r="D16" s="8">
        <v>1.75</v>
      </c>
      <c r="E16" s="8">
        <v>2.13</v>
      </c>
      <c r="F16" s="8">
        <v>2.27</v>
      </c>
      <c r="G16" s="8">
        <v>2.6</v>
      </c>
    </row>
    <row r="17" spans="1:7" x14ac:dyDescent="0.2">
      <c r="A17" s="12">
        <v>16</v>
      </c>
      <c r="B17" s="8">
        <v>1.07</v>
      </c>
      <c r="C17" s="8">
        <v>1.34</v>
      </c>
      <c r="D17" s="8">
        <v>1.75</v>
      </c>
      <c r="E17" s="8">
        <v>2.12</v>
      </c>
      <c r="F17" s="8">
        <v>2.2599999999999998</v>
      </c>
      <c r="G17" s="8">
        <v>2.58</v>
      </c>
    </row>
    <row r="18" spans="1:7" x14ac:dyDescent="0.2">
      <c r="A18" s="12">
        <v>17</v>
      </c>
      <c r="B18" s="8">
        <v>1.07</v>
      </c>
      <c r="C18" s="8">
        <v>1.33</v>
      </c>
      <c r="D18" s="8">
        <v>1.74</v>
      </c>
      <c r="E18" s="8">
        <v>2.11</v>
      </c>
      <c r="F18" s="8">
        <v>2.25</v>
      </c>
      <c r="G18" s="8">
        <v>2.57</v>
      </c>
    </row>
    <row r="19" spans="1:7" x14ac:dyDescent="0.2">
      <c r="A19" s="12">
        <v>18</v>
      </c>
      <c r="B19" s="8">
        <v>1.07</v>
      </c>
      <c r="C19" s="8">
        <v>1.33</v>
      </c>
      <c r="D19" s="8">
        <v>1.73</v>
      </c>
      <c r="E19" s="8">
        <v>2.1</v>
      </c>
      <c r="F19" s="8">
        <v>2.2400000000000002</v>
      </c>
      <c r="G19" s="8">
        <v>2.5499999999999998</v>
      </c>
    </row>
    <row r="20" spans="1:7" x14ac:dyDescent="0.2">
      <c r="A20" s="12">
        <v>19</v>
      </c>
      <c r="B20" s="8">
        <v>1.07</v>
      </c>
      <c r="C20" s="8">
        <v>1.33</v>
      </c>
      <c r="D20" s="8">
        <v>1.73</v>
      </c>
      <c r="E20" s="8">
        <v>2.09</v>
      </c>
      <c r="F20" s="8">
        <v>2.23</v>
      </c>
      <c r="G20" s="8">
        <v>2.54</v>
      </c>
    </row>
    <row r="21" spans="1:7" x14ac:dyDescent="0.2">
      <c r="A21" s="12">
        <v>20</v>
      </c>
      <c r="B21" s="8">
        <v>1.06</v>
      </c>
      <c r="C21" s="8">
        <v>1.32</v>
      </c>
      <c r="D21" s="8">
        <v>1.72</v>
      </c>
      <c r="E21" s="8">
        <v>2.09</v>
      </c>
      <c r="F21" s="8">
        <v>2.2200000000000002</v>
      </c>
      <c r="G21" s="8">
        <v>2.5299999999999998</v>
      </c>
    </row>
    <row r="22" spans="1:7" x14ac:dyDescent="0.2">
      <c r="A22" s="12">
        <v>25</v>
      </c>
      <c r="B22" s="8">
        <v>1.06</v>
      </c>
      <c r="C22" s="8">
        <v>1.32</v>
      </c>
      <c r="D22" s="8">
        <v>1.71</v>
      </c>
      <c r="E22" s="8">
        <v>2.06</v>
      </c>
      <c r="F22" s="8">
        <v>2.19</v>
      </c>
      <c r="G22" s="8">
        <v>2.4900000000000002</v>
      </c>
    </row>
    <row r="23" spans="1:7" x14ac:dyDescent="0.2">
      <c r="A23" s="12">
        <v>30</v>
      </c>
      <c r="B23" s="8">
        <v>1.05</v>
      </c>
      <c r="C23" s="8">
        <v>1.31</v>
      </c>
      <c r="D23" s="8">
        <v>1.7</v>
      </c>
      <c r="E23" s="8">
        <v>2.04</v>
      </c>
      <c r="F23" s="8">
        <v>2.17</v>
      </c>
      <c r="G23" s="8">
        <v>2.46</v>
      </c>
    </row>
    <row r="24" spans="1:7" x14ac:dyDescent="0.2">
      <c r="A24" s="12">
        <v>40</v>
      </c>
      <c r="B24" s="8">
        <v>1.05</v>
      </c>
      <c r="C24" s="8">
        <v>1.3</v>
      </c>
      <c r="D24" s="8">
        <v>1.68</v>
      </c>
      <c r="E24" s="8">
        <v>2.02</v>
      </c>
      <c r="F24" s="8">
        <v>2.14</v>
      </c>
      <c r="G24" s="8">
        <v>2.42</v>
      </c>
    </row>
    <row r="25" spans="1:7" ht="13.5" thickBot="1" x14ac:dyDescent="0.25">
      <c r="A25" s="12">
        <v>60</v>
      </c>
      <c r="B25" s="8">
        <v>1.05</v>
      </c>
      <c r="C25" s="8">
        <v>1.3</v>
      </c>
      <c r="D25" s="8">
        <v>1.67</v>
      </c>
      <c r="E25" s="8">
        <v>2</v>
      </c>
      <c r="F25" s="8">
        <v>2.12</v>
      </c>
      <c r="G25" s="8">
        <v>2.39</v>
      </c>
    </row>
    <row r="26" spans="1:7" ht="13.5" customHeight="1" thickBot="1" x14ac:dyDescent="0.25">
      <c r="A26" s="59" t="s">
        <v>37</v>
      </c>
      <c r="B26" s="60"/>
      <c r="C26" s="60"/>
      <c r="D26" s="60"/>
      <c r="E26" s="60"/>
      <c r="F26" s="60"/>
      <c r="G26" s="61"/>
    </row>
  </sheetData>
  <mergeCells count="3">
    <mergeCell ref="A26:G26"/>
    <mergeCell ref="A1:A3"/>
    <mergeCell ref="B1:G1"/>
  </mergeCells>
  <phoneticPr fontId="1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>
      <selection activeCell="P40" sqref="P40"/>
    </sheetView>
  </sheetViews>
  <sheetFormatPr defaultRowHeight="12.75" x14ac:dyDescent="0.2"/>
  <sheetData>
    <row r="1" spans="1:2" ht="13.5" thickBot="1" x14ac:dyDescent="0.25">
      <c r="A1" t="s">
        <v>28</v>
      </c>
      <c r="B1" t="s">
        <v>66</v>
      </c>
    </row>
    <row r="2" spans="1:2" ht="14.25" x14ac:dyDescent="0.2">
      <c r="A2" s="67">
        <v>3</v>
      </c>
      <c r="B2" s="67">
        <v>1.41</v>
      </c>
    </row>
    <row r="3" spans="1:2" ht="14.25" x14ac:dyDescent="0.2">
      <c r="A3" s="68">
        <v>4</v>
      </c>
      <c r="B3" s="68">
        <v>1.71</v>
      </c>
    </row>
    <row r="4" spans="1:2" ht="14.25" x14ac:dyDescent="0.2">
      <c r="A4" s="68">
        <v>5</v>
      </c>
      <c r="B4" s="68">
        <v>1.92</v>
      </c>
    </row>
    <row r="5" spans="1:2" ht="14.25" x14ac:dyDescent="0.2">
      <c r="A5" s="68">
        <v>6</v>
      </c>
      <c r="B5" s="68">
        <v>2.0699999999999998</v>
      </c>
    </row>
    <row r="6" spans="1:2" ht="14.25" x14ac:dyDescent="0.2">
      <c r="A6" s="68">
        <v>7</v>
      </c>
      <c r="B6" s="68">
        <v>2.1800000000000002</v>
      </c>
    </row>
    <row r="7" spans="1:2" ht="14.25" x14ac:dyDescent="0.2">
      <c r="A7" s="68">
        <v>8</v>
      </c>
      <c r="B7" s="68">
        <v>2.27</v>
      </c>
    </row>
    <row r="8" spans="1:2" ht="14.25" x14ac:dyDescent="0.2">
      <c r="A8" s="68">
        <v>9</v>
      </c>
      <c r="B8" s="68">
        <v>2.35</v>
      </c>
    </row>
    <row r="9" spans="1:2" ht="14.25" x14ac:dyDescent="0.2">
      <c r="A9" s="68">
        <v>10</v>
      </c>
      <c r="B9" s="68">
        <v>2.41</v>
      </c>
    </row>
    <row r="10" spans="1:2" ht="14.25" x14ac:dyDescent="0.2">
      <c r="A10" s="68">
        <v>11</v>
      </c>
      <c r="B10" s="68">
        <v>2.4700000000000002</v>
      </c>
    </row>
    <row r="11" spans="1:2" ht="14.25" x14ac:dyDescent="0.2">
      <c r="A11" s="68">
        <v>12</v>
      </c>
      <c r="B11" s="68">
        <v>2.52</v>
      </c>
    </row>
    <row r="12" spans="1:2" ht="14.25" x14ac:dyDescent="0.2">
      <c r="A12" s="68">
        <v>13</v>
      </c>
      <c r="B12" s="68">
        <v>2.56</v>
      </c>
    </row>
    <row r="13" spans="1:2" ht="14.25" x14ac:dyDescent="0.2">
      <c r="A13" s="68">
        <v>14</v>
      </c>
      <c r="B13" s="68">
        <v>2.6</v>
      </c>
    </row>
    <row r="14" spans="1:2" ht="14.25" x14ac:dyDescent="0.2">
      <c r="A14" s="68">
        <v>15</v>
      </c>
      <c r="B14" s="68">
        <v>2.64</v>
      </c>
    </row>
    <row r="15" spans="1:2" ht="14.25" x14ac:dyDescent="0.2">
      <c r="A15" s="68">
        <v>16</v>
      </c>
      <c r="B15" s="68">
        <v>2.67</v>
      </c>
    </row>
    <row r="16" spans="1:2" ht="14.25" x14ac:dyDescent="0.2">
      <c r="A16" s="68">
        <v>17</v>
      </c>
      <c r="B16" s="68">
        <v>2.7</v>
      </c>
    </row>
    <row r="17" spans="1:2" ht="14.25" x14ac:dyDescent="0.2">
      <c r="A17" s="68">
        <v>18</v>
      </c>
      <c r="B17" s="68">
        <v>2.73</v>
      </c>
    </row>
    <row r="18" spans="1:2" ht="14.25" x14ac:dyDescent="0.2">
      <c r="A18" s="68">
        <v>19</v>
      </c>
      <c r="B18" s="68">
        <v>2.75</v>
      </c>
    </row>
    <row r="19" spans="1:2" ht="14.25" x14ac:dyDescent="0.2">
      <c r="A19" s="68">
        <v>20</v>
      </c>
      <c r="B19" s="68">
        <v>2.78</v>
      </c>
    </row>
    <row r="20" spans="1:2" ht="14.25" x14ac:dyDescent="0.2">
      <c r="A20" s="68">
        <v>21</v>
      </c>
      <c r="B20" s="68">
        <v>2.8</v>
      </c>
    </row>
    <row r="21" spans="1:2" ht="14.25" x14ac:dyDescent="0.2">
      <c r="A21" s="68">
        <v>22</v>
      </c>
      <c r="B21" s="68">
        <v>2.82</v>
      </c>
    </row>
    <row r="22" spans="1:2" ht="14.25" x14ac:dyDescent="0.2">
      <c r="A22" s="68">
        <v>23</v>
      </c>
      <c r="B22" s="68">
        <v>2.84</v>
      </c>
    </row>
    <row r="23" spans="1:2" ht="14.25" x14ac:dyDescent="0.2">
      <c r="A23" s="68">
        <v>24</v>
      </c>
      <c r="B23" s="68">
        <v>2.86</v>
      </c>
    </row>
    <row r="24" spans="1:2" ht="14.25" x14ac:dyDescent="0.2">
      <c r="A24" s="68">
        <v>25</v>
      </c>
      <c r="B24" s="68">
        <v>2.88</v>
      </c>
    </row>
    <row r="25" spans="1:2" ht="14.25" x14ac:dyDescent="0.2">
      <c r="A25" s="68">
        <v>26</v>
      </c>
      <c r="B25" s="68">
        <v>2.9</v>
      </c>
    </row>
    <row r="26" spans="1:2" ht="14.25" x14ac:dyDescent="0.2">
      <c r="A26" s="68">
        <v>27</v>
      </c>
      <c r="B26" s="68">
        <v>2.91</v>
      </c>
    </row>
    <row r="27" spans="1:2" ht="14.25" x14ac:dyDescent="0.2">
      <c r="A27" s="68">
        <v>28</v>
      </c>
      <c r="B27" s="68">
        <v>2.93</v>
      </c>
    </row>
    <row r="28" spans="1:2" ht="14.25" x14ac:dyDescent="0.2">
      <c r="A28" s="68">
        <v>29</v>
      </c>
      <c r="B28" s="68">
        <v>2.94</v>
      </c>
    </row>
    <row r="29" spans="1:2" ht="14.25" x14ac:dyDescent="0.2">
      <c r="A29" s="68">
        <v>30</v>
      </c>
      <c r="B29" s="68">
        <v>2.96</v>
      </c>
    </row>
    <row r="30" spans="1:2" ht="14.25" x14ac:dyDescent="0.2">
      <c r="A30" s="68">
        <v>31</v>
      </c>
      <c r="B30" s="68">
        <v>2.97</v>
      </c>
    </row>
    <row r="31" spans="1:2" ht="14.25" x14ac:dyDescent="0.2">
      <c r="A31" s="68">
        <v>32</v>
      </c>
      <c r="B31" s="68">
        <v>2.98</v>
      </c>
    </row>
    <row r="32" spans="1:2" ht="14.25" x14ac:dyDescent="0.2">
      <c r="A32" s="68">
        <v>33</v>
      </c>
      <c r="B32" s="68">
        <v>3</v>
      </c>
    </row>
    <row r="33" spans="1:2" ht="14.25" x14ac:dyDescent="0.2">
      <c r="A33" s="68">
        <v>34</v>
      </c>
      <c r="B33" s="68">
        <v>3.01</v>
      </c>
    </row>
    <row r="34" spans="1:2" ht="14.25" x14ac:dyDescent="0.2">
      <c r="A34" s="68">
        <v>35</v>
      </c>
      <c r="B34" s="68">
        <v>3.02</v>
      </c>
    </row>
    <row r="35" spans="1:2" ht="14.25" x14ac:dyDescent="0.2">
      <c r="A35" s="68">
        <v>36</v>
      </c>
      <c r="B35" s="68">
        <v>3.03</v>
      </c>
    </row>
    <row r="36" spans="1:2" ht="14.25" x14ac:dyDescent="0.2">
      <c r="A36" s="68">
        <v>37</v>
      </c>
      <c r="B36" s="68">
        <v>3.04</v>
      </c>
    </row>
    <row r="37" spans="1:2" ht="14.25" x14ac:dyDescent="0.2">
      <c r="A37" s="68">
        <v>38</v>
      </c>
      <c r="B37" s="68">
        <v>3.05</v>
      </c>
    </row>
    <row r="38" spans="1:2" ht="14.25" x14ac:dyDescent="0.2">
      <c r="A38" s="68">
        <v>39</v>
      </c>
      <c r="B38" s="68">
        <v>3.06</v>
      </c>
    </row>
    <row r="39" spans="1:2" ht="14.25" x14ac:dyDescent="0.2">
      <c r="A39" s="68">
        <v>40</v>
      </c>
      <c r="B39" s="68">
        <v>3.07</v>
      </c>
    </row>
    <row r="40" spans="1:2" ht="14.25" x14ac:dyDescent="0.2">
      <c r="A40" s="68">
        <v>41</v>
      </c>
      <c r="B40" s="68">
        <v>3.08</v>
      </c>
    </row>
    <row r="41" spans="1:2" ht="14.25" x14ac:dyDescent="0.2">
      <c r="A41" s="68">
        <v>42</v>
      </c>
      <c r="B41" s="68">
        <v>3.09</v>
      </c>
    </row>
    <row r="42" spans="1:2" ht="14.25" x14ac:dyDescent="0.2">
      <c r="A42" s="68">
        <v>43</v>
      </c>
      <c r="B42" s="68">
        <v>3.1</v>
      </c>
    </row>
    <row r="43" spans="1:2" ht="14.25" x14ac:dyDescent="0.2">
      <c r="A43" s="68">
        <v>44</v>
      </c>
      <c r="B43" s="68">
        <v>3.11</v>
      </c>
    </row>
    <row r="44" spans="1:2" ht="14.25" x14ac:dyDescent="0.2">
      <c r="A44" s="68">
        <v>45</v>
      </c>
      <c r="B44" s="68">
        <v>3.12</v>
      </c>
    </row>
    <row r="45" spans="1:2" ht="14.25" x14ac:dyDescent="0.2">
      <c r="A45" s="68">
        <v>46</v>
      </c>
      <c r="B45" s="68">
        <v>3.13</v>
      </c>
    </row>
    <row r="46" spans="1:2" ht="14.25" x14ac:dyDescent="0.2">
      <c r="A46" s="68">
        <v>47</v>
      </c>
      <c r="B46" s="68">
        <v>3.14</v>
      </c>
    </row>
    <row r="47" spans="1:2" ht="14.25" x14ac:dyDescent="0.2">
      <c r="A47" s="68">
        <v>48</v>
      </c>
      <c r="B47" s="68">
        <v>3.14</v>
      </c>
    </row>
    <row r="48" spans="1:2" ht="14.25" x14ac:dyDescent="0.2">
      <c r="A48" s="68">
        <v>49</v>
      </c>
      <c r="B48" s="68">
        <v>3.15</v>
      </c>
    </row>
    <row r="49" spans="1:2" ht="15" thickBot="1" x14ac:dyDescent="0.25">
      <c r="A49" s="69">
        <v>50</v>
      </c>
      <c r="B49" s="69">
        <v>3.16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Сз-06927</vt:lpstr>
      <vt:lpstr>Сз-06928</vt:lpstr>
      <vt:lpstr>Сз-06930</vt:lpstr>
      <vt:lpstr>Статистика</vt:lpstr>
      <vt:lpstr>Student</vt:lpstr>
      <vt:lpstr>v_criteria</vt:lpstr>
      <vt:lpstr>'Сз-06927'!Print_Area</vt:lpstr>
      <vt:lpstr>'Сз-06928'!Print_Area</vt:lpstr>
      <vt:lpstr>'Сз-06930'!Print_Area</vt:lpstr>
    </vt:vector>
  </TitlesOfParts>
  <Company>***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</dc:creator>
  <cp:lastModifiedBy>Pavel Nedviga</cp:lastModifiedBy>
  <cp:lastPrinted>2018-05-13T03:57:43Z</cp:lastPrinted>
  <dcterms:created xsi:type="dcterms:W3CDTF">2018-05-07T01:20:34Z</dcterms:created>
  <dcterms:modified xsi:type="dcterms:W3CDTF">2020-09-08T10:53:47Z</dcterms:modified>
</cp:coreProperties>
</file>