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lip Gaji Bulanan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<sst xmlns="http://schemas.openxmlformats.org/spreadsheetml/2006/main" uniqueCount="406">
  <si>
    <t>PT. AMBICO</t>
  </si>
  <si>
    <t>NAMA</t>
  </si>
  <si>
    <t>:</t>
  </si>
  <si>
    <t>TUTIK RIYANAH</t>
  </si>
  <si>
    <t>DYAH EKA TRISYANTI</t>
  </si>
  <si>
    <t>DARTATIK</t>
  </si>
  <si>
    <t>NIP</t>
  </si>
  <si>
    <t>0142</t>
  </si>
  <si>
    <t>0725</t>
  </si>
  <si>
    <t>0571</t>
  </si>
  <si>
    <t>DIVISI</t>
  </si>
  <si>
    <t>ADMINISTRASI</t>
  </si>
  <si>
    <t>STATUS</t>
  </si>
  <si>
    <t>BULANAN</t>
  </si>
  <si>
    <t>PERIODE</t>
  </si>
  <si>
    <t>APRIL 2018</t>
  </si>
  <si>
    <t>GAJI</t>
  </si>
  <si>
    <t>TUNJANGAN</t>
  </si>
  <si>
    <t>PREMI HADIR</t>
  </si>
  <si>
    <t>PREMI MALAM</t>
  </si>
  <si>
    <t>POTONGAN</t>
  </si>
  <si>
    <t>ABSENSI</t>
  </si>
  <si>
    <t>ASTEK</t>
  </si>
  <si>
    <t>BPJS</t>
  </si>
  <si>
    <t>JML POTONGAN</t>
  </si>
  <si>
    <t>JML TERIMA</t>
  </si>
  <si>
    <t>VIKI VIRNAWATI</t>
  </si>
  <si>
    <t>SAMMY  FRIDAYANI</t>
  </si>
  <si>
    <t>KUSDI</t>
  </si>
  <si>
    <t>0029</t>
  </si>
  <si>
    <t>0038</t>
  </si>
  <si>
    <t>BENGKEL</t>
  </si>
  <si>
    <t>M IMRON</t>
  </si>
  <si>
    <t>HENDRA DWI WIJAYA</t>
  </si>
  <si>
    <t>EDI TANTO</t>
  </si>
  <si>
    <t>0105</t>
  </si>
  <si>
    <t>SLAMET BUDIONO</t>
  </si>
  <si>
    <t>BUDIONO</t>
  </si>
  <si>
    <t>FATIK RIDONI</t>
  </si>
  <si>
    <t>0780</t>
  </si>
  <si>
    <t>0907</t>
  </si>
  <si>
    <t>BOILER</t>
  </si>
  <si>
    <t>DIDIK HERY PURWANTO</t>
  </si>
  <si>
    <t>WINARSIH</t>
  </si>
  <si>
    <t>RIRIN MARIA ULF</t>
  </si>
  <si>
    <t>0200</t>
  </si>
  <si>
    <t>0086</t>
  </si>
  <si>
    <t>0092</t>
  </si>
  <si>
    <t>GUDANG</t>
  </si>
  <si>
    <t>LIANATUS SOLIKHA</t>
  </si>
  <si>
    <t>TRI WAHYU BUDI SANTOSO</t>
  </si>
  <si>
    <t>BUADI</t>
  </si>
  <si>
    <t>0542</t>
  </si>
  <si>
    <t>0569</t>
  </si>
  <si>
    <t>0632</t>
  </si>
  <si>
    <t>EKO NONONG SUNARTO</t>
  </si>
  <si>
    <t>DWI PRATIWI</t>
  </si>
  <si>
    <t>MOCH YASIN</t>
  </si>
  <si>
    <t>0712</t>
  </si>
  <si>
    <t>0729</t>
  </si>
  <si>
    <t>KEAMANAN</t>
  </si>
  <si>
    <t>THOMAS NOMA</t>
  </si>
  <si>
    <t>STEFANUS BARENDS</t>
  </si>
  <si>
    <t>AGUS SULISTYONO</t>
  </si>
  <si>
    <t>0730</t>
  </si>
  <si>
    <t>0732</t>
  </si>
  <si>
    <t>0801</t>
  </si>
  <si>
    <t>HERI SANTOSO</t>
  </si>
  <si>
    <t>SAJAD SUTOMO</t>
  </si>
  <si>
    <t>HADI MULYONO</t>
  </si>
  <si>
    <t>0803</t>
  </si>
  <si>
    <t>0812</t>
  </si>
  <si>
    <t>0989</t>
  </si>
  <si>
    <t>EKO CAHYONO</t>
  </si>
  <si>
    <t>SOLIKIN</t>
  </si>
  <si>
    <t>JOKO WAHYUDI</t>
  </si>
  <si>
    <t>0991</t>
  </si>
  <si>
    <t>0573</t>
  </si>
  <si>
    <t>0992</t>
  </si>
  <si>
    <t>YUSEP  KRISWANDOYO</t>
  </si>
  <si>
    <t>MUJIANTO</t>
  </si>
  <si>
    <t>MOHAMMAD SHOLEH</t>
  </si>
  <si>
    <t>0695</t>
  </si>
  <si>
    <t>0727</t>
  </si>
  <si>
    <t>0477</t>
  </si>
  <si>
    <t>KEBERSIHAN</t>
  </si>
  <si>
    <t>SAIFUL HUDA</t>
  </si>
  <si>
    <t>UMAR</t>
  </si>
  <si>
    <t>SUGIANTO</t>
  </si>
  <si>
    <t>0608</t>
  </si>
  <si>
    <t>0686</t>
  </si>
  <si>
    <t>0701</t>
  </si>
  <si>
    <t>PUJI SANTOSO</t>
  </si>
  <si>
    <t>IMAM SAFI'I</t>
  </si>
  <si>
    <t>TEGUH PRIBADI</t>
  </si>
  <si>
    <t>0741</t>
  </si>
  <si>
    <t>0358</t>
  </si>
  <si>
    <t>0617</t>
  </si>
  <si>
    <t>LEGIMAN</t>
  </si>
  <si>
    <t>MAHFUD</t>
  </si>
  <si>
    <t>ARJUN WAHYUDI</t>
  </si>
  <si>
    <t>0689</t>
  </si>
  <si>
    <t>0400</t>
  </si>
  <si>
    <t>0683</t>
  </si>
  <si>
    <t>KENDARAAN</t>
  </si>
  <si>
    <t>SUWANTORO</t>
  </si>
  <si>
    <t>IKE YULIK SETYOWATI</t>
  </si>
  <si>
    <t>TATIK SULIYATI</t>
  </si>
  <si>
    <t>0720</t>
  </si>
  <si>
    <t>0110</t>
  </si>
  <si>
    <t>0143</t>
  </si>
  <si>
    <t>LABORAT</t>
  </si>
  <si>
    <t>ENDANG SRI WAHYUNI</t>
  </si>
  <si>
    <t>NUR KHAMIDAH</t>
  </si>
  <si>
    <t>INSIH KASETYANINGTYAS</t>
  </si>
  <si>
    <t>0568</t>
  </si>
  <si>
    <t>0602</t>
  </si>
  <si>
    <t>0698</t>
  </si>
  <si>
    <t>ASGIANTO</t>
  </si>
  <si>
    <t>NUR ANNAHDIA AKMALIYAH</t>
  </si>
  <si>
    <t>KASTIAMAH</t>
  </si>
  <si>
    <t>0036</t>
  </si>
  <si>
    <t>SUJIONO</t>
  </si>
  <si>
    <t>MISKAN</t>
  </si>
  <si>
    <t>KIKI ARIFIANTO</t>
  </si>
  <si>
    <t>0037</t>
  </si>
  <si>
    <t>0107</t>
  </si>
  <si>
    <t>LIMBAH</t>
  </si>
  <si>
    <t>HELLEN KARTIKA D</t>
  </si>
  <si>
    <t>MIFTAKUL HUDA</t>
  </si>
  <si>
    <t>JAINUL YAHYA</t>
  </si>
  <si>
    <t>0700</t>
  </si>
  <si>
    <t>0990</t>
  </si>
  <si>
    <t>PPIC</t>
  </si>
  <si>
    <t>SOFWAN MASCHUN</t>
  </si>
  <si>
    <t>WINARDI</t>
  </si>
  <si>
    <t>ASTUTI LISA W</t>
  </si>
  <si>
    <t>B    2036</t>
  </si>
  <si>
    <t>NORIS DIAN KUSUMA PUTRI</t>
  </si>
  <si>
    <t>FITRIANA ROSALIA</t>
  </si>
  <si>
    <t>BAGUS HARYO KUS</t>
  </si>
  <si>
    <t>IVANA PUTRI CHRISTANTIA T</t>
  </si>
  <si>
    <t>MEGA RYAN KEVIN</t>
  </si>
  <si>
    <t>PARMAN (A)</t>
  </si>
  <si>
    <t>0181</t>
  </si>
  <si>
    <t>MARIYANI</t>
  </si>
  <si>
    <t>SITI CHOTIMAH</t>
  </si>
  <si>
    <t>MARYAH ULFA</t>
  </si>
  <si>
    <t>0743</t>
  </si>
  <si>
    <t>0160</t>
  </si>
  <si>
    <t>0287</t>
  </si>
  <si>
    <t>SANITASI</t>
  </si>
  <si>
    <t>SUDARYATI</t>
  </si>
  <si>
    <t>NGATINAH</t>
  </si>
  <si>
    <t>ANNA MASFIATIN</t>
  </si>
  <si>
    <t>0584</t>
  </si>
  <si>
    <t>0742</t>
  </si>
  <si>
    <t>SANTINA FREITAS XIMENES</t>
  </si>
  <si>
    <t>LILIK YULIATIN</t>
  </si>
  <si>
    <t>SITI SAROFAH</t>
  </si>
  <si>
    <t>0670</t>
  </si>
  <si>
    <t>0738</t>
  </si>
  <si>
    <t>0704</t>
  </si>
  <si>
    <t>AYAK GDK</t>
  </si>
  <si>
    <t>PURNOMO HADI CAHYONO</t>
  </si>
  <si>
    <t>ACH SYAHRUL YULIANTOKO</t>
  </si>
  <si>
    <t>YOHANES DARMINTO</t>
  </si>
  <si>
    <t>0623</t>
  </si>
  <si>
    <t>0202</t>
  </si>
  <si>
    <t>0431</t>
  </si>
  <si>
    <t>CUCI UMBI</t>
  </si>
  <si>
    <t>OVEN GDK</t>
  </si>
  <si>
    <t>WINARYO</t>
  </si>
  <si>
    <t>MOHAMAD IMAM FAUZI</t>
  </si>
  <si>
    <t>HAYUL ASIH</t>
  </si>
  <si>
    <t>0233</t>
  </si>
  <si>
    <t>0146</t>
  </si>
  <si>
    <t>0627</t>
  </si>
  <si>
    <t>PACKING GDK</t>
  </si>
  <si>
    <t>SUMARLIS</t>
  </si>
  <si>
    <t>FITRI NOVIANA</t>
  </si>
  <si>
    <t>NUR ASTUTIK</t>
  </si>
  <si>
    <t>0633</t>
  </si>
  <si>
    <t>0467</t>
  </si>
  <si>
    <t>0243</t>
  </si>
  <si>
    <t>LUDIANA</t>
  </si>
  <si>
    <t>SUTRIAMI</t>
  </si>
  <si>
    <t>SUHERNI RATNASARI</t>
  </si>
  <si>
    <t>0618</t>
  </si>
  <si>
    <t>0655</t>
  </si>
  <si>
    <t>0716</t>
  </si>
  <si>
    <t>WIJIASIH</t>
  </si>
  <si>
    <t>SUYONO</t>
  </si>
  <si>
    <t>SENIDA MULYATI</t>
  </si>
  <si>
    <t>0674</t>
  </si>
  <si>
    <t>0656</t>
  </si>
  <si>
    <t>0079</t>
  </si>
  <si>
    <t>PACKING SHIRATAKI</t>
  </si>
  <si>
    <t>YULIATIN</t>
  </si>
  <si>
    <t>MURNIASIH</t>
  </si>
  <si>
    <t>HENIK NURYANINGSIH</t>
  </si>
  <si>
    <t>0676</t>
  </si>
  <si>
    <t>0458</t>
  </si>
  <si>
    <t>0628</t>
  </si>
  <si>
    <t>YUYUN SURYA NINGSIH</t>
  </si>
  <si>
    <t>BAETI</t>
  </si>
  <si>
    <t>SEPTENI FIRMANINGTYAS</t>
  </si>
  <si>
    <t>0713</t>
  </si>
  <si>
    <t>0211</t>
  </si>
  <si>
    <t>0723</t>
  </si>
  <si>
    <t>YULIATI (B</t>
  </si>
  <si>
    <t>SUKANTHI</t>
  </si>
  <si>
    <t>MISLAILAH</t>
  </si>
  <si>
    <t>0497</t>
  </si>
  <si>
    <t>0118</t>
  </si>
  <si>
    <t>0117</t>
  </si>
  <si>
    <t>SRI UTAMI  (C)</t>
  </si>
  <si>
    <t>LULUK YULIANI</t>
  </si>
  <si>
    <t>RIATI</t>
  </si>
  <si>
    <t>0601</t>
  </si>
  <si>
    <t>0486</t>
  </si>
  <si>
    <t>0133</t>
  </si>
  <si>
    <t>SRI ATIM</t>
  </si>
  <si>
    <t>SUMILAH</t>
  </si>
  <si>
    <t>MUJIATI</t>
  </si>
  <si>
    <t>0214</t>
  </si>
  <si>
    <t>0588</t>
  </si>
  <si>
    <t>0530</t>
  </si>
  <si>
    <t>ARI SIJAMI</t>
  </si>
  <si>
    <t>JUWARIYAH</t>
  </si>
  <si>
    <t>SITI SUNDARI</t>
  </si>
  <si>
    <t>0476</t>
  </si>
  <si>
    <t>0719</t>
  </si>
  <si>
    <t>0462</t>
  </si>
  <si>
    <t>SUYIATI</t>
  </si>
  <si>
    <t>KARTI</t>
  </si>
  <si>
    <t>PONITI</t>
  </si>
  <si>
    <t>0703</t>
  </si>
  <si>
    <t>0286</t>
  </si>
  <si>
    <t>0282</t>
  </si>
  <si>
    <t>NURUL HAYATI</t>
  </si>
  <si>
    <t>HERMONO</t>
  </si>
  <si>
    <t>ULUL AZMI</t>
  </si>
  <si>
    <t>0591</t>
  </si>
  <si>
    <t>0494</t>
  </si>
  <si>
    <t>0691</t>
  </si>
  <si>
    <t>SAATI WAHYUNINGSIH</t>
  </si>
  <si>
    <t>MUSAIDAH</t>
  </si>
  <si>
    <t>NISWATIN</t>
  </si>
  <si>
    <t>0374</t>
  </si>
  <si>
    <t>0722</t>
  </si>
  <si>
    <t>0159</t>
  </si>
  <si>
    <t>LULUK JUMAROH</t>
  </si>
  <si>
    <t>SUMARLIK (A)</t>
  </si>
  <si>
    <t>TUMINI</t>
  </si>
  <si>
    <t>0677</t>
  </si>
  <si>
    <t>0074</t>
  </si>
  <si>
    <t>0504</t>
  </si>
  <si>
    <t>HERNIK SUPRAPTI</t>
  </si>
  <si>
    <t>SRI WIJIATI</t>
  </si>
  <si>
    <t>NASALUKHA</t>
  </si>
  <si>
    <t>0097</t>
  </si>
  <si>
    <t>0626</t>
  </si>
  <si>
    <t>0590</t>
  </si>
  <si>
    <t>WINIS TRI HARTATIK</t>
  </si>
  <si>
    <t>SUHARTATIK</t>
  </si>
  <si>
    <t>EKO SETYOADI</t>
  </si>
  <si>
    <t>0175</t>
  </si>
  <si>
    <t>0508</t>
  </si>
  <si>
    <t>0799</t>
  </si>
  <si>
    <t>LILIK MASRUROH</t>
  </si>
  <si>
    <t>SALAMAH (A</t>
  </si>
  <si>
    <t>SAKUR</t>
  </si>
  <si>
    <t>0637</t>
  </si>
  <si>
    <t>0127</t>
  </si>
  <si>
    <t>0236</t>
  </si>
  <si>
    <t>PENETRAL</t>
  </si>
  <si>
    <t>DIWANTO</t>
  </si>
  <si>
    <t>MOHAMAD OTTO DAWUD SAMBIRIN</t>
  </si>
  <si>
    <t>SAMUKIT</t>
  </si>
  <si>
    <t>0490</t>
  </si>
  <si>
    <t>0616</t>
  </si>
  <si>
    <t>0589</t>
  </si>
  <si>
    <t>MISTO</t>
  </si>
  <si>
    <t>SRI ASTUTIK (A)</t>
  </si>
  <si>
    <t>TANTOJO</t>
  </si>
  <si>
    <t>0746</t>
  </si>
  <si>
    <t>0170</t>
  </si>
  <si>
    <t>0521</t>
  </si>
  <si>
    <t>PRE PACK</t>
  </si>
  <si>
    <t>YULI ASTUTIK</t>
  </si>
  <si>
    <t>LILIK ULIYAH</t>
  </si>
  <si>
    <t>ALFIYAH</t>
  </si>
  <si>
    <t>0629</t>
  </si>
  <si>
    <t>0284</t>
  </si>
  <si>
    <t>0517</t>
  </si>
  <si>
    <t>PROSES LOKAL</t>
  </si>
  <si>
    <t>SUSILOWATI</t>
  </si>
  <si>
    <t>SUNARSIH</t>
  </si>
  <si>
    <t>MARDIYANINGSIH</t>
  </si>
  <si>
    <t>0032</t>
  </si>
  <si>
    <t>0095</t>
  </si>
  <si>
    <t>0065</t>
  </si>
  <si>
    <t>SAYUTI ( B )</t>
  </si>
  <si>
    <t>RUSTIN KHASANAH</t>
  </si>
  <si>
    <t>SRI RAHARJO</t>
  </si>
  <si>
    <t>0600</t>
  </si>
  <si>
    <t>0129</t>
  </si>
  <si>
    <t>0566</t>
  </si>
  <si>
    <t>PROSES GDK</t>
  </si>
  <si>
    <t>SUPRIADI</t>
  </si>
  <si>
    <t>JATI SISWA SETIAWAN</t>
  </si>
  <si>
    <t>DIAN KURNIAWAN</t>
  </si>
  <si>
    <t>0783</t>
  </si>
  <si>
    <t>0748</t>
  </si>
  <si>
    <t>JOKO PURNOMO</t>
  </si>
  <si>
    <t>EKO SUPRIONO</t>
  </si>
  <si>
    <t>MULYONO</t>
  </si>
  <si>
    <t>0621</t>
  </si>
  <si>
    <t>0654</t>
  </si>
  <si>
    <t>0209</t>
  </si>
  <si>
    <t>PROSES SHIRATAKI</t>
  </si>
  <si>
    <t>SAI'IN</t>
  </si>
  <si>
    <t>PURWANTORO</t>
  </si>
  <si>
    <t>LASMIJI ARIYANTO</t>
  </si>
  <si>
    <t>0039</t>
  </si>
  <si>
    <t>0041</t>
  </si>
  <si>
    <t>0108</t>
  </si>
  <si>
    <t>STAMP MILL</t>
  </si>
  <si>
    <t>SUPRIONO</t>
  </si>
  <si>
    <t>SULAIMAN (A)</t>
  </si>
  <si>
    <t>SUTRISNO</t>
  </si>
  <si>
    <t>0136</t>
  </si>
  <si>
    <t>0413</t>
  </si>
  <si>
    <t>0428</t>
  </si>
  <si>
    <t>PONIDI</t>
  </si>
  <si>
    <t>TAUFIQ HIDAYAT</t>
  </si>
  <si>
    <t>WIRYO KHODIM</t>
  </si>
  <si>
    <t>0495</t>
  </si>
  <si>
    <t>0624</t>
  </si>
  <si>
    <t>0598</t>
  </si>
  <si>
    <t>SITI NGAISAH</t>
  </si>
  <si>
    <t>FITRIYAH</t>
  </si>
  <si>
    <t>SRI BUDI HARTINI</t>
  </si>
  <si>
    <t>0433</t>
  </si>
  <si>
    <t>0644</t>
  </si>
  <si>
    <t>0692</t>
  </si>
  <si>
    <t>TIMBANG GDK</t>
  </si>
  <si>
    <t>SUHARTINI</t>
  </si>
  <si>
    <t>SITI NURYANI</t>
  </si>
  <si>
    <t>SAMIN</t>
  </si>
  <si>
    <t>0702</t>
  </si>
  <si>
    <t>0706</t>
  </si>
  <si>
    <t>0710</t>
  </si>
  <si>
    <t>RASIDAH</t>
  </si>
  <si>
    <t>LAILIL UMAROH</t>
  </si>
  <si>
    <t>SURIP</t>
  </si>
  <si>
    <t>0634</t>
  </si>
  <si>
    <t>0595</t>
  </si>
  <si>
    <t>0325</t>
  </si>
  <si>
    <t>TIMBANG SHIRATAKI</t>
  </si>
  <si>
    <t>SOLATI</t>
  </si>
  <si>
    <t>SAMULIK</t>
  </si>
  <si>
    <t>SULIYANI</t>
  </si>
  <si>
    <t>0665</t>
  </si>
  <si>
    <t>0195</t>
  </si>
  <si>
    <t>0645</t>
  </si>
  <si>
    <t>TITI RAHAYU</t>
  </si>
  <si>
    <t>SARIANAH</t>
  </si>
  <si>
    <t>MUSLIMA RUSLIN</t>
  </si>
  <si>
    <t>0179</t>
  </si>
  <si>
    <t>0213</t>
  </si>
  <si>
    <t>0466</t>
  </si>
  <si>
    <t>SALAMAH (B</t>
  </si>
  <si>
    <t>SUGENG SARIONO</t>
  </si>
  <si>
    <t>SHOKEH</t>
  </si>
  <si>
    <t>0502</t>
  </si>
  <si>
    <t>0098</t>
  </si>
  <si>
    <t>0414</t>
  </si>
  <si>
    <t>TURBO MILL</t>
  </si>
  <si>
    <t>ABU</t>
  </si>
  <si>
    <t>ARIF SUDHARMAWAN</t>
  </si>
  <si>
    <t>SUKADI</t>
  </si>
  <si>
    <t>0649</t>
  </si>
  <si>
    <t>0718</t>
  </si>
  <si>
    <t>0709</t>
  </si>
  <si>
    <t>BELINJO</t>
  </si>
  <si>
    <t>SIH WIDI RAHAYU</t>
  </si>
  <si>
    <t>KRISTONI YUDI SUBROTO</t>
  </si>
  <si>
    <t>RIDA FIANTI</t>
  </si>
  <si>
    <t>0614</t>
  </si>
  <si>
    <t>0757</t>
  </si>
  <si>
    <t>0764</t>
  </si>
  <si>
    <t>ASHITABA</t>
  </si>
  <si>
    <t>SUNAMI</t>
  </si>
  <si>
    <t>TITIK HARIYATI</t>
  </si>
  <si>
    <t>IMAM KHOIRI</t>
  </si>
  <si>
    <t>0635</t>
  </si>
  <si>
    <t>0705</t>
  </si>
  <si>
    <t>0739</t>
  </si>
  <si>
    <t>IWAN PURNOMO</t>
  </si>
  <si>
    <t>SITI MUKROTIN</t>
  </si>
  <si>
    <t>RUMADI</t>
  </si>
  <si>
    <t>0740</t>
  </si>
  <si>
    <t>0751</t>
  </si>
  <si>
    <t>0239</t>
  </si>
</sst>
</file>

<file path=xl/styles.xml><?xml version="1.0" encoding="utf-8"?>
<styleSheet xmlns="http://schemas.openxmlformats.org/spreadsheetml/2006/main" xml:space="preserve">
  <numFmts count="1">
    <numFmt numFmtId="164" formatCode="_(&quot;Rp&quot;* #,##0_);_(&quot;Rp&quot;* \(#,##0\);_(&quot;Rp&quot;* &quot;-&quot;??_);_(@_)"/>
  </numFmts>
  <fonts count="2"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single"/>
      <sz val="10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0">
    <border/>
    <border>
      <bottom style="thin">
        <color rgb="FF000000"/>
      </bottom>
    </border>
    <border>
      <left style="dotted">
        <color rgb="FF000000"/>
      </left>
      <top style="dotted">
        <color rgb="FF000000"/>
      </top>
    </border>
    <border>
      <left style="dotted">
        <color rgb="FF000000"/>
      </left>
    </border>
    <border>
      <left style="dotted">
        <color rgb="FF000000"/>
      </left>
      <bottom style="dotted">
        <color rgb="FF000000"/>
      </bottom>
    </border>
    <border>
      <top style="dotted">
        <color rgb="FF000000"/>
      </top>
    </border>
    <border>
      <bottom style="dotted">
        <color rgb="FF000000"/>
      </bottom>
    </border>
    <border>
      <right style="dotted">
        <color rgb="FF000000"/>
      </right>
      <top style="dotted">
        <color rgb="FF000000"/>
      </top>
    </border>
    <border>
      <right style="dotted">
        <color rgb="FF000000"/>
      </right>
    </border>
    <border>
      <right style="dotted">
        <color rgb="FF000000"/>
      </right>
      <bottom style="dotted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164" fillId="0" borderId="6" applyFont="0" applyNumberFormat="1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134"/>
  <sheetViews>
    <sheetView tabSelected="1" workbookViewId="0" showGridLines="false" showRowColHeaders="1">
      <selection activeCell="U1134" sqref="U1134"/>
    </sheetView>
  </sheetViews>
  <sheetFormatPr customHeight="true" defaultRowHeight="15" outlineLevelRow="0" outlineLevelCol="0"/>
  <cols>
    <col min="1" max="1" width="2" customWidth="true" style="0"/>
    <col min="2" max="2" width="10" customWidth="true" style="0"/>
    <col min="3" max="3" width="5" customWidth="true" style="0"/>
    <col min="4" max="4" width="5" customWidth="true" style="0"/>
    <col min="5" max="5" width="5" customWidth="true" style="0"/>
    <col min="6" max="6" width="18" customWidth="true" style="0"/>
    <col min="7" max="7" width="2" customWidth="true" style="0"/>
    <col min="8" max="8" width="2" customWidth="true" style="0"/>
    <col min="9" max="9" width="10" customWidth="true" style="0"/>
    <col min="10" max="10" width="5" customWidth="true" style="0"/>
    <col min="11" max="11" width="5" customWidth="true" style="0"/>
    <col min="12" max="12" width="5" customWidth="true" style="0"/>
    <col min="13" max="13" width="18" customWidth="true" style="0"/>
    <col min="14" max="14" width="2" customWidth="true" style="0"/>
    <col min="15" max="15" width="2" customWidth="true" style="0"/>
    <col min="16" max="16" width="10" customWidth="true" style="0"/>
    <col min="17" max="17" width="5" customWidth="true" style="0"/>
    <col min="18" max="18" width="5" customWidth="true" style="0"/>
    <col min="19" max="19" width="5" customWidth="true" style="0"/>
    <col min="20" max="20" width="18" customWidth="true" style="0"/>
    <col min="21" max="21" width="2" customWidth="true" style="0"/>
  </cols>
  <sheetData>
    <row r="1" spans="1:21">
      <c r="A1" s="7"/>
      <c r="B1" s="10"/>
      <c r="C1" s="10"/>
      <c r="D1" s="10"/>
      <c r="E1" s="10"/>
      <c r="F1" s="10"/>
      <c r="G1" s="14"/>
      <c r="H1" s="7"/>
      <c r="I1" s="10"/>
      <c r="J1" s="10"/>
      <c r="K1" s="10"/>
      <c r="L1" s="10"/>
      <c r="M1" s="10"/>
      <c r="N1" s="14"/>
      <c r="O1" s="7"/>
      <c r="P1" s="10"/>
      <c r="Q1" s="10"/>
      <c r="R1" s="10"/>
      <c r="S1" s="10"/>
      <c r="T1" s="10"/>
      <c r="U1" s="14"/>
    </row>
    <row r="2" spans="1:21">
      <c r="A2" s="8"/>
      <c r="B2" s="1" t="s">
        <v>0</v>
      </c>
      <c r="C2"/>
      <c r="D2"/>
      <c r="E2"/>
      <c r="F2"/>
      <c r="G2" s="15"/>
      <c r="H2" s="8"/>
      <c r="I2" s="1" t="s">
        <v>0</v>
      </c>
      <c r="J2"/>
      <c r="K2"/>
      <c r="L2"/>
      <c r="M2"/>
      <c r="N2" s="15"/>
      <c r="O2" s="8"/>
      <c r="P2" s="1" t="s">
        <v>0</v>
      </c>
      <c r="Q2"/>
      <c r="R2"/>
      <c r="S2"/>
      <c r="T2"/>
      <c r="U2" s="15"/>
    </row>
    <row r="3" spans="1:21">
      <c r="A3" s="8"/>
      <c r="B3" t="s">
        <v>1</v>
      </c>
      <c r="C3" s="2" t="s">
        <v>2</v>
      </c>
      <c r="D3" t="s">
        <v>3</v>
      </c>
      <c r="E3"/>
      <c r="F3"/>
      <c r="G3" s="15"/>
      <c r="H3" s="8"/>
      <c r="I3" t="s">
        <v>1</v>
      </c>
      <c r="J3" s="2" t="s">
        <v>2</v>
      </c>
      <c r="K3" t="s">
        <v>4</v>
      </c>
      <c r="L3"/>
      <c r="M3"/>
      <c r="N3" s="15"/>
      <c r="O3" s="8"/>
      <c r="P3" t="s">
        <v>1</v>
      </c>
      <c r="Q3" s="2" t="s">
        <v>2</v>
      </c>
      <c r="R3" t="s">
        <v>5</v>
      </c>
      <c r="S3"/>
      <c r="T3"/>
      <c r="U3" s="15"/>
    </row>
    <row r="4" spans="1:21">
      <c r="A4" s="8"/>
      <c r="B4" t="s">
        <v>6</v>
      </c>
      <c r="C4" s="2" t="s">
        <v>2</v>
      </c>
      <c r="D4" t="s">
        <v>7</v>
      </c>
      <c r="E4"/>
      <c r="F4"/>
      <c r="G4" s="15"/>
      <c r="H4" s="8"/>
      <c r="I4" t="s">
        <v>6</v>
      </c>
      <c r="J4" s="2" t="s">
        <v>2</v>
      </c>
      <c r="K4" t="s">
        <v>8</v>
      </c>
      <c r="L4"/>
      <c r="M4"/>
      <c r="N4" s="15"/>
      <c r="O4" s="8"/>
      <c r="P4" t="s">
        <v>6</v>
      </c>
      <c r="Q4" s="2" t="s">
        <v>2</v>
      </c>
      <c r="R4" t="s">
        <v>9</v>
      </c>
      <c r="S4"/>
      <c r="T4"/>
      <c r="U4" s="15"/>
    </row>
    <row r="5" spans="1:21">
      <c r="A5" s="8"/>
      <c r="B5" t="s">
        <v>10</v>
      </c>
      <c r="C5" s="2" t="s">
        <v>2</v>
      </c>
      <c r="D5" t="s">
        <v>11</v>
      </c>
      <c r="E5"/>
      <c r="F5"/>
      <c r="G5" s="15"/>
      <c r="H5" s="8"/>
      <c r="I5" t="s">
        <v>10</v>
      </c>
      <c r="J5" s="2" t="s">
        <v>2</v>
      </c>
      <c r="K5" t="s">
        <v>11</v>
      </c>
      <c r="L5"/>
      <c r="M5"/>
      <c r="N5" s="15"/>
      <c r="O5" s="8"/>
      <c r="P5" t="s">
        <v>10</v>
      </c>
      <c r="Q5" s="2" t="s">
        <v>2</v>
      </c>
      <c r="R5" t="s">
        <v>11</v>
      </c>
      <c r="S5"/>
      <c r="T5"/>
      <c r="U5" s="15"/>
    </row>
    <row r="6" spans="1:21">
      <c r="A6" s="8"/>
      <c r="B6" t="s">
        <v>12</v>
      </c>
      <c r="C6" s="2" t="s">
        <v>2</v>
      </c>
      <c r="D6" t="s">
        <v>13</v>
      </c>
      <c r="E6"/>
      <c r="F6"/>
      <c r="G6" s="15"/>
      <c r="H6" s="8"/>
      <c r="I6" t="s">
        <v>12</v>
      </c>
      <c r="J6" s="2" t="s">
        <v>2</v>
      </c>
      <c r="K6" t="s">
        <v>13</v>
      </c>
      <c r="L6"/>
      <c r="M6"/>
      <c r="N6" s="15"/>
      <c r="O6" s="8"/>
      <c r="P6" t="s">
        <v>12</v>
      </c>
      <c r="Q6" s="2" t="s">
        <v>2</v>
      </c>
      <c r="R6" t="s">
        <v>13</v>
      </c>
      <c r="S6"/>
      <c r="T6"/>
      <c r="U6" s="15"/>
    </row>
    <row r="7" spans="1:21">
      <c r="A7" s="8"/>
      <c r="B7" s="3" t="s">
        <v>14</v>
      </c>
      <c r="C7" s="4" t="s">
        <v>2</v>
      </c>
      <c r="D7" s="3" t="s">
        <v>15</v>
      </c>
      <c r="E7" s="3"/>
      <c r="F7" s="3"/>
      <c r="G7" s="15"/>
      <c r="H7" s="8"/>
      <c r="I7" s="3" t="s">
        <v>14</v>
      </c>
      <c r="J7" s="4" t="s">
        <v>2</v>
      </c>
      <c r="K7" s="3" t="s">
        <v>15</v>
      </c>
      <c r="L7" s="3"/>
      <c r="M7" s="3"/>
      <c r="N7" s="15"/>
      <c r="O7" s="8"/>
      <c r="P7" s="3" t="s">
        <v>14</v>
      </c>
      <c r="Q7" s="4" t="s">
        <v>2</v>
      </c>
      <c r="R7" s="3" t="s">
        <v>15</v>
      </c>
      <c r="S7" s="3"/>
      <c r="T7" s="3"/>
      <c r="U7" s="15"/>
    </row>
    <row r="8" spans="1:21">
      <c r="A8" s="8"/>
      <c r="B8" t="s">
        <v>16</v>
      </c>
      <c r="C8"/>
      <c r="D8"/>
      <c r="E8" s="2" t="s">
        <v>2</v>
      </c>
      <c r="F8" s="5">
        <v>4516000</v>
      </c>
      <c r="G8" s="15"/>
      <c r="H8" s="8"/>
      <c r="I8" t="s">
        <v>16</v>
      </c>
      <c r="J8"/>
      <c r="K8"/>
      <c r="L8" s="2" t="s">
        <v>2</v>
      </c>
      <c r="M8" s="5">
        <v>4306000</v>
      </c>
      <c r="N8" s="15"/>
      <c r="O8" s="8"/>
      <c r="P8" t="s">
        <v>16</v>
      </c>
      <c r="Q8"/>
      <c r="R8"/>
      <c r="S8" s="2" t="s">
        <v>2</v>
      </c>
      <c r="T8" s="5">
        <v>4411000</v>
      </c>
      <c r="U8" s="15"/>
    </row>
    <row r="9" spans="1:21">
      <c r="A9" s="8"/>
      <c r="B9" t="s">
        <v>17</v>
      </c>
      <c r="C9"/>
      <c r="D9"/>
      <c r="E9" s="2" t="s">
        <v>2</v>
      </c>
      <c r="F9" s="5">
        <v>200000</v>
      </c>
      <c r="G9" s="15"/>
      <c r="H9" s="8"/>
      <c r="I9" t="s">
        <v>17</v>
      </c>
      <c r="J9"/>
      <c r="K9"/>
      <c r="L9" s="2" t="s">
        <v>2</v>
      </c>
      <c r="M9" s="5">
        <v>200000</v>
      </c>
      <c r="N9" s="15"/>
      <c r="O9" s="8"/>
      <c r="P9" t="s">
        <v>17</v>
      </c>
      <c r="Q9"/>
      <c r="R9"/>
      <c r="S9" s="2" t="s">
        <v>2</v>
      </c>
      <c r="T9" s="5">
        <v>200000</v>
      </c>
      <c r="U9" s="15"/>
    </row>
    <row r="10" spans="1:21">
      <c r="A10" s="8"/>
      <c r="B10" t="s">
        <v>18</v>
      </c>
      <c r="C10"/>
      <c r="D10"/>
      <c r="E10" s="2" t="s">
        <v>2</v>
      </c>
      <c r="F10" s="5">
        <v>0</v>
      </c>
      <c r="G10" s="15"/>
      <c r="H10" s="8"/>
      <c r="I10" t="s">
        <v>18</v>
      </c>
      <c r="J10"/>
      <c r="K10"/>
      <c r="L10" s="2" t="s">
        <v>2</v>
      </c>
      <c r="M10" s="5">
        <v>0</v>
      </c>
      <c r="N10" s="15"/>
      <c r="O10" s="8"/>
      <c r="P10" t="s">
        <v>18</v>
      </c>
      <c r="Q10"/>
      <c r="R10"/>
      <c r="S10" s="2" t="s">
        <v>2</v>
      </c>
      <c r="T10" s="5">
        <v>0</v>
      </c>
      <c r="U10" s="15"/>
    </row>
    <row r="11" spans="1:21">
      <c r="A11" s="8"/>
      <c r="B11" t="s">
        <v>19</v>
      </c>
      <c r="C11"/>
      <c r="D11"/>
      <c r="E11" s="2" t="s">
        <v>2</v>
      </c>
      <c r="F11" s="5">
        <v>0</v>
      </c>
      <c r="G11" s="15"/>
      <c r="H11" s="8"/>
      <c r="I11" t="s">
        <v>19</v>
      </c>
      <c r="J11"/>
      <c r="K11"/>
      <c r="L11" s="2" t="s">
        <v>2</v>
      </c>
      <c r="M11" s="5">
        <v>0</v>
      </c>
      <c r="N11" s="15"/>
      <c r="O11" s="8"/>
      <c r="P11" t="s">
        <v>19</v>
      </c>
      <c r="Q11"/>
      <c r="R11"/>
      <c r="S11" s="2" t="s">
        <v>2</v>
      </c>
      <c r="T11" s="5">
        <v>0</v>
      </c>
      <c r="U11" s="15"/>
    </row>
    <row r="12" spans="1:21">
      <c r="A12" s="8"/>
      <c r="B12"/>
      <c r="C12"/>
      <c r="D12"/>
      <c r="E12"/>
      <c r="F12"/>
      <c r="G12" s="15"/>
      <c r="H12" s="8"/>
      <c r="I12"/>
      <c r="J12"/>
      <c r="K12"/>
      <c r="L12"/>
      <c r="M12"/>
      <c r="N12" s="15"/>
      <c r="O12" s="8"/>
      <c r="P12"/>
      <c r="Q12"/>
      <c r="R12"/>
      <c r="S12"/>
      <c r="T12"/>
      <c r="U12" s="15"/>
    </row>
    <row r="13" spans="1:21">
      <c r="A13" s="8"/>
      <c r="B13" s="2" t="s">
        <v>20</v>
      </c>
      <c r="C13"/>
      <c r="D13"/>
      <c r="E13"/>
      <c r="F13"/>
      <c r="G13" s="15"/>
      <c r="H13" s="8"/>
      <c r="I13" s="2" t="s">
        <v>20</v>
      </c>
      <c r="J13"/>
      <c r="K13"/>
      <c r="L13"/>
      <c r="M13"/>
      <c r="N13" s="15"/>
      <c r="O13" s="8"/>
      <c r="P13" s="2" t="s">
        <v>20</v>
      </c>
      <c r="Q13"/>
      <c r="R13"/>
      <c r="S13"/>
      <c r="T13"/>
      <c r="U13" s="15"/>
    </row>
    <row r="14" spans="1:21">
      <c r="A14" s="8"/>
      <c r="B14" t="s">
        <v>21</v>
      </c>
      <c r="C14"/>
      <c r="D14"/>
      <c r="E14" s="2" t="s">
        <v>2</v>
      </c>
      <c r="F14" s="5">
        <v>2709600</v>
      </c>
      <c r="G14" s="15"/>
      <c r="H14" s="8"/>
      <c r="I14" t="s">
        <v>21</v>
      </c>
      <c r="J14"/>
      <c r="K14"/>
      <c r="L14" s="2" t="s">
        <v>2</v>
      </c>
      <c r="M14" s="5">
        <v>2583600</v>
      </c>
      <c r="N14" s="15"/>
      <c r="O14" s="8"/>
      <c r="P14" t="s">
        <v>21</v>
      </c>
      <c r="Q14"/>
      <c r="R14"/>
      <c r="S14" s="2" t="s">
        <v>2</v>
      </c>
      <c r="T14" s="5">
        <v>2823040</v>
      </c>
      <c r="U14" s="15"/>
    </row>
    <row r="15" spans="1:21">
      <c r="A15" s="8"/>
      <c r="B15" t="s">
        <v>22</v>
      </c>
      <c r="C15"/>
      <c r="D15"/>
      <c r="E15" s="2" t="s">
        <v>2</v>
      </c>
      <c r="F15" s="5">
        <v>135480</v>
      </c>
      <c r="G15" s="15"/>
      <c r="H15" s="8"/>
      <c r="I15" t="s">
        <v>22</v>
      </c>
      <c r="J15"/>
      <c r="K15"/>
      <c r="L15" s="2" t="s">
        <v>2</v>
      </c>
      <c r="M15" s="5">
        <v>129180</v>
      </c>
      <c r="N15" s="15"/>
      <c r="O15" s="8"/>
      <c r="P15" t="s">
        <v>22</v>
      </c>
      <c r="Q15"/>
      <c r="R15"/>
      <c r="S15" s="2" t="s">
        <v>2</v>
      </c>
      <c r="T15" s="5">
        <v>132330</v>
      </c>
      <c r="U15" s="15"/>
    </row>
    <row r="16" spans="1:21">
      <c r="A16" s="8"/>
      <c r="B16" s="3" t="s">
        <v>23</v>
      </c>
      <c r="C16" s="3"/>
      <c r="D16" s="3"/>
      <c r="E16" s="4" t="s">
        <v>2</v>
      </c>
      <c r="F16" s="6">
        <v>40800</v>
      </c>
      <c r="G16" s="15"/>
      <c r="H16" s="8"/>
      <c r="I16" s="3" t="s">
        <v>23</v>
      </c>
      <c r="J16" s="3"/>
      <c r="K16" s="3"/>
      <c r="L16" s="4" t="s">
        <v>2</v>
      </c>
      <c r="M16" s="6">
        <v>43060</v>
      </c>
      <c r="N16" s="15"/>
      <c r="O16" s="8"/>
      <c r="P16" s="3" t="s">
        <v>23</v>
      </c>
      <c r="Q16" s="3"/>
      <c r="R16" s="3"/>
      <c r="S16" s="4" t="s">
        <v>2</v>
      </c>
      <c r="T16" s="6">
        <v>44110</v>
      </c>
      <c r="U16" s="15"/>
    </row>
    <row r="17" spans="1:21">
      <c r="A17" s="8"/>
      <c r="B17" t="s">
        <v>24</v>
      </c>
      <c r="C17"/>
      <c r="D17"/>
      <c r="E17" s="2" t="s">
        <v>2</v>
      </c>
      <c r="F17" s="5" t="str">
        <f>sum(f14:f16)</f>
        <v>0</v>
      </c>
      <c r="G17" s="15"/>
      <c r="H17" s="8"/>
      <c r="I17" t="s">
        <v>24</v>
      </c>
      <c r="J17"/>
      <c r="K17"/>
      <c r="L17" s="2" t="s">
        <v>2</v>
      </c>
      <c r="M17" s="5" t="str">
        <f>sum(m14:m16)</f>
        <v>0</v>
      </c>
      <c r="N17" s="15"/>
      <c r="O17" s="8"/>
      <c r="P17" t="s">
        <v>24</v>
      </c>
      <c r="Q17"/>
      <c r="R17"/>
      <c r="S17" s="2" t="s">
        <v>2</v>
      </c>
      <c r="T17" s="5" t="str">
        <f>sum(t14:t16)</f>
        <v>0</v>
      </c>
      <c r="U17" s="15"/>
    </row>
    <row r="18" spans="1:21">
      <c r="A18" s="9"/>
      <c r="B18" s="11" t="s">
        <v>25</v>
      </c>
      <c r="C18" s="11"/>
      <c r="D18" s="11"/>
      <c r="E18" s="12" t="s">
        <v>2</v>
      </c>
      <c r="F18" s="13" t="str">
        <f>sum(f8:f11)-f17</f>
        <v>0</v>
      </c>
      <c r="G18" s="16"/>
      <c r="H18" s="9"/>
      <c r="I18" s="11" t="s">
        <v>25</v>
      </c>
      <c r="J18" s="11"/>
      <c r="K18" s="11"/>
      <c r="L18" s="12" t="s">
        <v>2</v>
      </c>
      <c r="M18" s="13" t="str">
        <f>sum(m8:m11)-m17</f>
        <v>0</v>
      </c>
      <c r="N18" s="16"/>
      <c r="O18" s="9"/>
      <c r="P18" s="11" t="s">
        <v>25</v>
      </c>
      <c r="Q18" s="11"/>
      <c r="R18" s="11"/>
      <c r="S18" s="12" t="s">
        <v>2</v>
      </c>
      <c r="T18" s="13" t="str">
        <f>sum(t8:t11)-t17</f>
        <v>0</v>
      </c>
      <c r="U18" s="16"/>
    </row>
    <row r="19" spans="1:21">
      <c r="A19" s="7"/>
      <c r="B19" s="10"/>
      <c r="C19" s="10"/>
      <c r="D19" s="10"/>
      <c r="E19" s="10"/>
      <c r="F19" s="10"/>
      <c r="G19" s="14"/>
      <c r="H19" s="7"/>
      <c r="I19" s="10"/>
      <c r="J19" s="10"/>
      <c r="K19" s="10"/>
      <c r="L19" s="10"/>
      <c r="M19" s="10"/>
      <c r="N19" s="14"/>
      <c r="O19" s="7"/>
      <c r="P19" s="10"/>
      <c r="Q19" s="10"/>
      <c r="R19" s="10"/>
      <c r="S19" s="10"/>
      <c r="T19" s="10"/>
      <c r="U19" s="14"/>
    </row>
    <row r="20" spans="1:21">
      <c r="A20" s="8"/>
      <c r="B20" s="1" t="s">
        <v>0</v>
      </c>
      <c r="C20"/>
      <c r="D20"/>
      <c r="E20"/>
      <c r="F20"/>
      <c r="G20" s="15"/>
      <c r="H20" s="8"/>
      <c r="I20" s="1" t="s">
        <v>0</v>
      </c>
      <c r="J20"/>
      <c r="K20"/>
      <c r="L20"/>
      <c r="M20"/>
      <c r="N20" s="15"/>
      <c r="O20" s="8"/>
      <c r="P20" s="1" t="s">
        <v>0</v>
      </c>
      <c r="Q20"/>
      <c r="R20"/>
      <c r="S20"/>
      <c r="T20"/>
      <c r="U20" s="15"/>
    </row>
    <row r="21" spans="1:21">
      <c r="A21" s="8"/>
      <c r="B21" t="s">
        <v>1</v>
      </c>
      <c r="C21" s="2" t="s">
        <v>2</v>
      </c>
      <c r="D21" t="s">
        <v>26</v>
      </c>
      <c r="E21"/>
      <c r="F21"/>
      <c r="G21" s="15"/>
      <c r="H21" s="8"/>
      <c r="I21" t="s">
        <v>1</v>
      </c>
      <c r="J21" s="2" t="s">
        <v>2</v>
      </c>
      <c r="K21" t="s">
        <v>27</v>
      </c>
      <c r="L21"/>
      <c r="M21"/>
      <c r="N21" s="15"/>
      <c r="O21" s="8"/>
      <c r="P21" t="s">
        <v>1</v>
      </c>
      <c r="Q21" s="2" t="s">
        <v>2</v>
      </c>
      <c r="R21" t="s">
        <v>28</v>
      </c>
      <c r="S21"/>
      <c r="T21"/>
      <c r="U21" s="15"/>
    </row>
    <row r="22" spans="1:21">
      <c r="A22" s="8"/>
      <c r="B22" t="s">
        <v>6</v>
      </c>
      <c r="C22" s="2" t="s">
        <v>2</v>
      </c>
      <c r="D22">
        <v>2368</v>
      </c>
      <c r="E22"/>
      <c r="F22"/>
      <c r="G22" s="15"/>
      <c r="H22" s="8"/>
      <c r="I22" t="s">
        <v>6</v>
      </c>
      <c r="J22" s="2" t="s">
        <v>2</v>
      </c>
      <c r="K22" t="s">
        <v>29</v>
      </c>
      <c r="L22"/>
      <c r="M22"/>
      <c r="N22" s="15"/>
      <c r="O22" s="8"/>
      <c r="P22" t="s">
        <v>6</v>
      </c>
      <c r="Q22" s="2" t="s">
        <v>2</v>
      </c>
      <c r="R22" t="s">
        <v>30</v>
      </c>
      <c r="S22"/>
      <c r="T22"/>
      <c r="U22" s="15"/>
    </row>
    <row r="23" spans="1:21">
      <c r="A23" s="8"/>
      <c r="B23" t="s">
        <v>10</v>
      </c>
      <c r="C23" s="2" t="s">
        <v>2</v>
      </c>
      <c r="D23" t="s">
        <v>11</v>
      </c>
      <c r="E23"/>
      <c r="F23"/>
      <c r="G23" s="15"/>
      <c r="H23" s="8"/>
      <c r="I23" t="s">
        <v>10</v>
      </c>
      <c r="J23" s="2" t="s">
        <v>2</v>
      </c>
      <c r="K23" t="s">
        <v>11</v>
      </c>
      <c r="L23"/>
      <c r="M23"/>
      <c r="N23" s="15"/>
      <c r="O23" s="8"/>
      <c r="P23" t="s">
        <v>10</v>
      </c>
      <c r="Q23" s="2" t="s">
        <v>2</v>
      </c>
      <c r="R23" t="s">
        <v>31</v>
      </c>
      <c r="S23"/>
      <c r="T23"/>
      <c r="U23" s="15"/>
    </row>
    <row r="24" spans="1:21">
      <c r="A24" s="8"/>
      <c r="B24" t="s">
        <v>12</v>
      </c>
      <c r="C24" s="2" t="s">
        <v>2</v>
      </c>
      <c r="D24" t="s">
        <v>13</v>
      </c>
      <c r="E24"/>
      <c r="F24"/>
      <c r="G24" s="15"/>
      <c r="H24" s="8"/>
      <c r="I24" t="s">
        <v>12</v>
      </c>
      <c r="J24" s="2" t="s">
        <v>2</v>
      </c>
      <c r="K24" t="s">
        <v>13</v>
      </c>
      <c r="L24"/>
      <c r="M24"/>
      <c r="N24" s="15"/>
      <c r="O24" s="8"/>
      <c r="P24" t="s">
        <v>12</v>
      </c>
      <c r="Q24" s="2" t="s">
        <v>2</v>
      </c>
      <c r="R24" t="s">
        <v>13</v>
      </c>
      <c r="S24"/>
      <c r="T24"/>
      <c r="U24" s="15"/>
    </row>
    <row r="25" spans="1:21">
      <c r="A25" s="8"/>
      <c r="B25" s="3" t="s">
        <v>14</v>
      </c>
      <c r="C25" s="4" t="s">
        <v>2</v>
      </c>
      <c r="D25" s="3" t="s">
        <v>15</v>
      </c>
      <c r="E25" s="3"/>
      <c r="F25" s="3"/>
      <c r="G25" s="15"/>
      <c r="H25" s="8"/>
      <c r="I25" s="3" t="s">
        <v>14</v>
      </c>
      <c r="J25" s="4" t="s">
        <v>2</v>
      </c>
      <c r="K25" s="3" t="s">
        <v>15</v>
      </c>
      <c r="L25" s="3"/>
      <c r="M25" s="3"/>
      <c r="N25" s="15"/>
      <c r="O25" s="8"/>
      <c r="P25" s="3" t="s">
        <v>14</v>
      </c>
      <c r="Q25" s="4" t="s">
        <v>2</v>
      </c>
      <c r="R25" s="3" t="s">
        <v>15</v>
      </c>
      <c r="S25" s="3"/>
      <c r="T25" s="3"/>
      <c r="U25" s="15"/>
    </row>
    <row r="26" spans="1:21">
      <c r="A26" s="8"/>
      <c r="B26" t="s">
        <v>16</v>
      </c>
      <c r="C26"/>
      <c r="D26"/>
      <c r="E26" s="2" t="s">
        <v>2</v>
      </c>
      <c r="F26" s="5">
        <v>3574500</v>
      </c>
      <c r="G26" s="15"/>
      <c r="H26" s="8"/>
      <c r="I26" t="s">
        <v>16</v>
      </c>
      <c r="J26"/>
      <c r="K26"/>
      <c r="L26" s="2" t="s">
        <v>2</v>
      </c>
      <c r="M26" s="5">
        <v>4466000</v>
      </c>
      <c r="N26" s="15"/>
      <c r="O26" s="8"/>
      <c r="P26" t="s">
        <v>16</v>
      </c>
      <c r="Q26"/>
      <c r="R26"/>
      <c r="S26" s="2" t="s">
        <v>2</v>
      </c>
      <c r="T26" s="5">
        <v>6226000</v>
      </c>
      <c r="U26" s="15"/>
    </row>
    <row r="27" spans="1:21">
      <c r="A27" s="8"/>
      <c r="B27" t="s">
        <v>17</v>
      </c>
      <c r="C27"/>
      <c r="D27"/>
      <c r="E27" s="2" t="s">
        <v>2</v>
      </c>
      <c r="F27" s="5">
        <v>100000</v>
      </c>
      <c r="G27" s="15"/>
      <c r="H27" s="8"/>
      <c r="I27" t="s">
        <v>17</v>
      </c>
      <c r="J27"/>
      <c r="K27"/>
      <c r="L27" s="2" t="s">
        <v>2</v>
      </c>
      <c r="M27" s="5">
        <v>200000</v>
      </c>
      <c r="N27" s="15"/>
      <c r="O27" s="8"/>
      <c r="P27" t="s">
        <v>17</v>
      </c>
      <c r="Q27"/>
      <c r="R27"/>
      <c r="S27" s="2" t="s">
        <v>2</v>
      </c>
      <c r="T27" s="5">
        <v>350000</v>
      </c>
      <c r="U27" s="15"/>
    </row>
    <row r="28" spans="1:21">
      <c r="A28" s="8"/>
      <c r="B28" t="s">
        <v>18</v>
      </c>
      <c r="C28"/>
      <c r="D28"/>
      <c r="E28" s="2" t="s">
        <v>2</v>
      </c>
      <c r="F28" s="5">
        <v>0</v>
      </c>
      <c r="G28" s="15"/>
      <c r="H28" s="8"/>
      <c r="I28" t="s">
        <v>18</v>
      </c>
      <c r="J28"/>
      <c r="K28"/>
      <c r="L28" s="2" t="s">
        <v>2</v>
      </c>
      <c r="M28" s="5">
        <v>0</v>
      </c>
      <c r="N28" s="15"/>
      <c r="O28" s="8"/>
      <c r="P28" t="s">
        <v>18</v>
      </c>
      <c r="Q28"/>
      <c r="R28"/>
      <c r="S28" s="2" t="s">
        <v>2</v>
      </c>
      <c r="T28" s="5">
        <v>0</v>
      </c>
      <c r="U28" s="15"/>
    </row>
    <row r="29" spans="1:21">
      <c r="A29" s="8"/>
      <c r="B29" t="s">
        <v>19</v>
      </c>
      <c r="C29"/>
      <c r="D29"/>
      <c r="E29" s="2" t="s">
        <v>2</v>
      </c>
      <c r="F29" s="5">
        <v>0</v>
      </c>
      <c r="G29" s="15"/>
      <c r="H29" s="8"/>
      <c r="I29" t="s">
        <v>19</v>
      </c>
      <c r="J29"/>
      <c r="K29"/>
      <c r="L29" s="2" t="s">
        <v>2</v>
      </c>
      <c r="M29" s="5">
        <v>0</v>
      </c>
      <c r="N29" s="15"/>
      <c r="O29" s="8"/>
      <c r="P29" t="s">
        <v>19</v>
      </c>
      <c r="Q29"/>
      <c r="R29"/>
      <c r="S29" s="2" t="s">
        <v>2</v>
      </c>
      <c r="T29" s="5">
        <v>0</v>
      </c>
      <c r="U29" s="15"/>
    </row>
    <row r="30" spans="1:21">
      <c r="A30" s="8"/>
      <c r="B30"/>
      <c r="C30"/>
      <c r="D30"/>
      <c r="E30"/>
      <c r="F30"/>
      <c r="G30" s="15"/>
      <c r="H30" s="8"/>
      <c r="I30"/>
      <c r="J30"/>
      <c r="K30"/>
      <c r="L30"/>
      <c r="M30"/>
      <c r="N30" s="15"/>
      <c r="O30" s="8"/>
      <c r="P30"/>
      <c r="Q30"/>
      <c r="R30"/>
      <c r="S30"/>
      <c r="T30"/>
      <c r="U30" s="15"/>
    </row>
    <row r="31" spans="1:21">
      <c r="A31" s="8"/>
      <c r="B31" s="2" t="s">
        <v>20</v>
      </c>
      <c r="C31"/>
      <c r="D31"/>
      <c r="E31"/>
      <c r="F31"/>
      <c r="G31" s="15"/>
      <c r="H31" s="8"/>
      <c r="I31" s="2" t="s">
        <v>20</v>
      </c>
      <c r="J31"/>
      <c r="K31"/>
      <c r="L31"/>
      <c r="M31"/>
      <c r="N31" s="15"/>
      <c r="O31" s="8"/>
      <c r="P31" s="2" t="s">
        <v>20</v>
      </c>
      <c r="Q31"/>
      <c r="R31"/>
      <c r="S31"/>
      <c r="T31"/>
      <c r="U31" s="15"/>
    </row>
    <row r="32" spans="1:21">
      <c r="A32" s="8"/>
      <c r="B32" t="s">
        <v>21</v>
      </c>
      <c r="C32"/>
      <c r="D32"/>
      <c r="E32" s="2" t="s">
        <v>2</v>
      </c>
      <c r="F32" s="5">
        <v>2144700</v>
      </c>
      <c r="G32" s="15"/>
      <c r="H32" s="8"/>
      <c r="I32" t="s">
        <v>21</v>
      </c>
      <c r="J32"/>
      <c r="K32"/>
      <c r="L32" s="2" t="s">
        <v>2</v>
      </c>
      <c r="M32" s="5">
        <v>2858240</v>
      </c>
      <c r="N32" s="15"/>
      <c r="O32" s="8"/>
      <c r="P32" t="s">
        <v>21</v>
      </c>
      <c r="Q32"/>
      <c r="R32"/>
      <c r="S32" s="2" t="s">
        <v>2</v>
      </c>
      <c r="T32" s="5">
        <v>3984640</v>
      </c>
      <c r="U32" s="15"/>
    </row>
    <row r="33" spans="1:21">
      <c r="A33" s="8"/>
      <c r="B33" t="s">
        <v>22</v>
      </c>
      <c r="C33"/>
      <c r="D33"/>
      <c r="E33" s="2" t="s">
        <v>2</v>
      </c>
      <c r="F33" s="5">
        <v>107235</v>
      </c>
      <c r="G33" s="15"/>
      <c r="H33" s="8"/>
      <c r="I33" t="s">
        <v>22</v>
      </c>
      <c r="J33"/>
      <c r="K33"/>
      <c r="L33" s="2" t="s">
        <v>2</v>
      </c>
      <c r="M33" s="5">
        <v>133980</v>
      </c>
      <c r="N33" s="15"/>
      <c r="O33" s="8"/>
      <c r="P33" t="s">
        <v>22</v>
      </c>
      <c r="Q33"/>
      <c r="R33"/>
      <c r="S33" s="2" t="s">
        <v>2</v>
      </c>
      <c r="T33" s="5">
        <v>186780</v>
      </c>
      <c r="U33" s="15"/>
    </row>
    <row r="34" spans="1:21">
      <c r="A34" s="8"/>
      <c r="B34" s="3" t="s">
        <v>23</v>
      </c>
      <c r="C34" s="3"/>
      <c r="D34" s="3"/>
      <c r="E34" s="4" t="s">
        <v>2</v>
      </c>
      <c r="F34" s="6">
        <v>35745</v>
      </c>
      <c r="G34" s="15"/>
      <c r="H34" s="8"/>
      <c r="I34" s="3" t="s">
        <v>23</v>
      </c>
      <c r="J34" s="3"/>
      <c r="K34" s="3"/>
      <c r="L34" s="4" t="s">
        <v>2</v>
      </c>
      <c r="M34" s="6">
        <v>40800</v>
      </c>
      <c r="N34" s="15"/>
      <c r="O34" s="8"/>
      <c r="P34" s="3" t="s">
        <v>23</v>
      </c>
      <c r="Q34" s="3"/>
      <c r="R34" s="3"/>
      <c r="S34" s="4" t="s">
        <v>2</v>
      </c>
      <c r="T34" s="6">
        <v>54900</v>
      </c>
      <c r="U34" s="15"/>
    </row>
    <row r="35" spans="1:21">
      <c r="A35" s="8"/>
      <c r="B35" t="s">
        <v>24</v>
      </c>
      <c r="C35"/>
      <c r="D35"/>
      <c r="E35" s="2" t="s">
        <v>2</v>
      </c>
      <c r="F35" s="5" t="str">
        <f>sum(f32:f34)</f>
        <v>0</v>
      </c>
      <c r="G35" s="15"/>
      <c r="H35" s="8"/>
      <c r="I35" t="s">
        <v>24</v>
      </c>
      <c r="J35"/>
      <c r="K35"/>
      <c r="L35" s="2" t="s">
        <v>2</v>
      </c>
      <c r="M35" s="5" t="str">
        <f>sum(m32:m34)</f>
        <v>0</v>
      </c>
      <c r="N35" s="15"/>
      <c r="O35" s="8"/>
      <c r="P35" t="s">
        <v>24</v>
      </c>
      <c r="Q35"/>
      <c r="R35"/>
      <c r="S35" s="2" t="s">
        <v>2</v>
      </c>
      <c r="T35" s="5" t="str">
        <f>sum(t32:t34)</f>
        <v>0</v>
      </c>
      <c r="U35" s="15"/>
    </row>
    <row r="36" spans="1:21">
      <c r="A36" s="9"/>
      <c r="B36" s="11" t="s">
        <v>25</v>
      </c>
      <c r="C36" s="11"/>
      <c r="D36" s="11"/>
      <c r="E36" s="12" t="s">
        <v>2</v>
      </c>
      <c r="F36" s="13" t="str">
        <f>sum(f26:f29)-f35</f>
        <v>0</v>
      </c>
      <c r="G36" s="16"/>
      <c r="H36" s="9"/>
      <c r="I36" s="11" t="s">
        <v>25</v>
      </c>
      <c r="J36" s="11"/>
      <c r="K36" s="11"/>
      <c r="L36" s="12" t="s">
        <v>2</v>
      </c>
      <c r="M36" s="13" t="str">
        <f>sum(m26:m29)-m35</f>
        <v>0</v>
      </c>
      <c r="N36" s="16"/>
      <c r="O36" s="9"/>
      <c r="P36" s="11" t="s">
        <v>25</v>
      </c>
      <c r="Q36" s="11"/>
      <c r="R36" s="11"/>
      <c r="S36" s="12" t="s">
        <v>2</v>
      </c>
      <c r="T36" s="13" t="str">
        <f>sum(t26:t29)-t35</f>
        <v>0</v>
      </c>
      <c r="U36" s="16"/>
    </row>
    <row r="37" spans="1:21">
      <c r="A37" s="7"/>
      <c r="B37" s="10"/>
      <c r="C37" s="10"/>
      <c r="D37" s="10"/>
      <c r="E37" s="10"/>
      <c r="F37" s="10"/>
      <c r="G37" s="14"/>
      <c r="H37" s="7"/>
      <c r="I37" s="10"/>
      <c r="J37" s="10"/>
      <c r="K37" s="10"/>
      <c r="L37" s="10"/>
      <c r="M37" s="10"/>
      <c r="N37" s="14"/>
      <c r="O37" s="7"/>
      <c r="P37" s="10"/>
      <c r="Q37" s="10"/>
      <c r="R37" s="10"/>
      <c r="S37" s="10"/>
      <c r="T37" s="10"/>
      <c r="U37" s="14"/>
    </row>
    <row r="38" spans="1:21">
      <c r="A38" s="8"/>
      <c r="B38" s="1" t="s">
        <v>0</v>
      </c>
      <c r="C38"/>
      <c r="D38"/>
      <c r="E38"/>
      <c r="F38"/>
      <c r="G38" s="15"/>
      <c r="H38" s="8"/>
      <c r="I38" s="1" t="s">
        <v>0</v>
      </c>
      <c r="J38"/>
      <c r="K38"/>
      <c r="L38"/>
      <c r="M38"/>
      <c r="N38" s="15"/>
      <c r="O38" s="8"/>
      <c r="P38" s="1" t="s">
        <v>0</v>
      </c>
      <c r="Q38"/>
      <c r="R38"/>
      <c r="S38"/>
      <c r="T38"/>
      <c r="U38" s="15"/>
    </row>
    <row r="39" spans="1:21">
      <c r="A39" s="8"/>
      <c r="B39" t="s">
        <v>1</v>
      </c>
      <c r="C39" s="2" t="s">
        <v>2</v>
      </c>
      <c r="D39" t="s">
        <v>32</v>
      </c>
      <c r="E39"/>
      <c r="F39"/>
      <c r="G39" s="15"/>
      <c r="H39" s="8"/>
      <c r="I39" t="s">
        <v>1</v>
      </c>
      <c r="J39" s="2" t="s">
        <v>2</v>
      </c>
      <c r="K39" t="s">
        <v>33</v>
      </c>
      <c r="L39"/>
      <c r="M39"/>
      <c r="N39" s="15"/>
      <c r="O39" s="8"/>
      <c r="P39" t="s">
        <v>1</v>
      </c>
      <c r="Q39" s="2" t="s">
        <v>2</v>
      </c>
      <c r="R39" t="s">
        <v>34</v>
      </c>
      <c r="S39"/>
      <c r="T39"/>
      <c r="U39" s="15"/>
    </row>
    <row r="40" spans="1:21">
      <c r="A40" s="8"/>
      <c r="B40" t="s">
        <v>6</v>
      </c>
      <c r="C40" s="2" t="s">
        <v>2</v>
      </c>
      <c r="D40">
        <v>1986</v>
      </c>
      <c r="E40"/>
      <c r="F40"/>
      <c r="G40" s="15"/>
      <c r="H40" s="8"/>
      <c r="I40" t="s">
        <v>6</v>
      </c>
      <c r="J40" s="2" t="s">
        <v>2</v>
      </c>
      <c r="K40">
        <v>2611</v>
      </c>
      <c r="L40"/>
      <c r="M40"/>
      <c r="N40" s="15"/>
      <c r="O40" s="8"/>
      <c r="P40" t="s">
        <v>6</v>
      </c>
      <c r="Q40" s="2" t="s">
        <v>2</v>
      </c>
      <c r="R40" t="s">
        <v>35</v>
      </c>
      <c r="S40"/>
      <c r="T40"/>
      <c r="U40" s="15"/>
    </row>
    <row r="41" spans="1:21">
      <c r="A41" s="8"/>
      <c r="B41" t="s">
        <v>10</v>
      </c>
      <c r="C41" s="2" t="s">
        <v>2</v>
      </c>
      <c r="D41" t="s">
        <v>31</v>
      </c>
      <c r="E41"/>
      <c r="F41"/>
      <c r="G41" s="15"/>
      <c r="H41" s="8"/>
      <c r="I41" t="s">
        <v>10</v>
      </c>
      <c r="J41" s="2" t="s">
        <v>2</v>
      </c>
      <c r="K41" t="s">
        <v>31</v>
      </c>
      <c r="L41"/>
      <c r="M41"/>
      <c r="N41" s="15"/>
      <c r="O41" s="8"/>
      <c r="P41" t="s">
        <v>10</v>
      </c>
      <c r="Q41" s="2" t="s">
        <v>2</v>
      </c>
      <c r="R41" t="s">
        <v>31</v>
      </c>
      <c r="S41"/>
      <c r="T41"/>
      <c r="U41" s="15"/>
    </row>
    <row r="42" spans="1:21">
      <c r="A42" s="8"/>
      <c r="B42" t="s">
        <v>12</v>
      </c>
      <c r="C42" s="2" t="s">
        <v>2</v>
      </c>
      <c r="D42" t="s">
        <v>13</v>
      </c>
      <c r="E42"/>
      <c r="F42"/>
      <c r="G42" s="15"/>
      <c r="H42" s="8"/>
      <c r="I42" t="s">
        <v>12</v>
      </c>
      <c r="J42" s="2" t="s">
        <v>2</v>
      </c>
      <c r="K42" t="s">
        <v>13</v>
      </c>
      <c r="L42"/>
      <c r="M42"/>
      <c r="N42" s="15"/>
      <c r="O42" s="8"/>
      <c r="P42" t="s">
        <v>12</v>
      </c>
      <c r="Q42" s="2" t="s">
        <v>2</v>
      </c>
      <c r="R42" t="s">
        <v>13</v>
      </c>
      <c r="S42"/>
      <c r="T42"/>
      <c r="U42" s="15"/>
    </row>
    <row r="43" spans="1:21">
      <c r="A43" s="8"/>
      <c r="B43" s="3" t="s">
        <v>14</v>
      </c>
      <c r="C43" s="4" t="s">
        <v>2</v>
      </c>
      <c r="D43" s="3" t="s">
        <v>15</v>
      </c>
      <c r="E43" s="3"/>
      <c r="F43" s="3"/>
      <c r="G43" s="15"/>
      <c r="H43" s="8"/>
      <c r="I43" s="3" t="s">
        <v>14</v>
      </c>
      <c r="J43" s="4" t="s">
        <v>2</v>
      </c>
      <c r="K43" s="3" t="s">
        <v>15</v>
      </c>
      <c r="L43" s="3"/>
      <c r="M43" s="3"/>
      <c r="N43" s="15"/>
      <c r="O43" s="8"/>
      <c r="P43" s="3" t="s">
        <v>14</v>
      </c>
      <c r="Q43" s="4" t="s">
        <v>2</v>
      </c>
      <c r="R43" s="3" t="s">
        <v>15</v>
      </c>
      <c r="S43" s="3"/>
      <c r="T43" s="3"/>
      <c r="U43" s="15"/>
    </row>
    <row r="44" spans="1:21">
      <c r="A44" s="8"/>
      <c r="B44" t="s">
        <v>16</v>
      </c>
      <c r="C44"/>
      <c r="D44"/>
      <c r="E44" s="2" t="s">
        <v>2</v>
      </c>
      <c r="F44" s="5">
        <v>3595000</v>
      </c>
      <c r="G44" s="15"/>
      <c r="H44" s="8"/>
      <c r="I44" t="s">
        <v>16</v>
      </c>
      <c r="J44"/>
      <c r="K44"/>
      <c r="L44" s="2" t="s">
        <v>2</v>
      </c>
      <c r="M44" s="5">
        <v>4025000</v>
      </c>
      <c r="N44" s="15"/>
      <c r="O44" s="8"/>
      <c r="P44" t="s">
        <v>16</v>
      </c>
      <c r="Q44"/>
      <c r="R44"/>
      <c r="S44" s="2" t="s">
        <v>2</v>
      </c>
      <c r="T44" s="5">
        <v>3597000</v>
      </c>
      <c r="U44" s="15"/>
    </row>
    <row r="45" spans="1:21">
      <c r="A45" s="8"/>
      <c r="B45" t="s">
        <v>17</v>
      </c>
      <c r="C45"/>
      <c r="D45"/>
      <c r="E45" s="2" t="s">
        <v>2</v>
      </c>
      <c r="F45" s="5">
        <v>50000</v>
      </c>
      <c r="G45" s="15"/>
      <c r="H45" s="8"/>
      <c r="I45" t="s">
        <v>17</v>
      </c>
      <c r="J45"/>
      <c r="K45"/>
      <c r="L45" s="2" t="s">
        <v>2</v>
      </c>
      <c r="M45" s="5">
        <v>250000</v>
      </c>
      <c r="N45" s="15"/>
      <c r="O45" s="8"/>
      <c r="P45" t="s">
        <v>17</v>
      </c>
      <c r="Q45"/>
      <c r="R45"/>
      <c r="S45" s="2" t="s">
        <v>2</v>
      </c>
      <c r="T45" s="5">
        <v>50000</v>
      </c>
      <c r="U45" s="15"/>
    </row>
    <row r="46" spans="1:21">
      <c r="A46" s="8"/>
      <c r="B46" t="s">
        <v>18</v>
      </c>
      <c r="C46"/>
      <c r="D46"/>
      <c r="E46" s="2" t="s">
        <v>2</v>
      </c>
      <c r="F46" s="5">
        <v>0</v>
      </c>
      <c r="G46" s="15"/>
      <c r="H46" s="8"/>
      <c r="I46" t="s">
        <v>18</v>
      </c>
      <c r="J46"/>
      <c r="K46"/>
      <c r="L46" s="2" t="s">
        <v>2</v>
      </c>
      <c r="M46" s="5">
        <v>0</v>
      </c>
      <c r="N46" s="15"/>
      <c r="O46" s="8"/>
      <c r="P46" t="s">
        <v>18</v>
      </c>
      <c r="Q46"/>
      <c r="R46"/>
      <c r="S46" s="2" t="s">
        <v>2</v>
      </c>
      <c r="T46" s="5">
        <v>25000</v>
      </c>
      <c r="U46" s="15"/>
    </row>
    <row r="47" spans="1:21">
      <c r="A47" s="8"/>
      <c r="B47" t="s">
        <v>19</v>
      </c>
      <c r="C47"/>
      <c r="D47"/>
      <c r="E47" s="2" t="s">
        <v>2</v>
      </c>
      <c r="F47" s="5">
        <v>0</v>
      </c>
      <c r="G47" s="15"/>
      <c r="H47" s="8"/>
      <c r="I47" t="s">
        <v>19</v>
      </c>
      <c r="J47"/>
      <c r="K47"/>
      <c r="L47" s="2" t="s">
        <v>2</v>
      </c>
      <c r="M47" s="5">
        <v>0</v>
      </c>
      <c r="N47" s="15"/>
      <c r="O47" s="8"/>
      <c r="P47" t="s">
        <v>19</v>
      </c>
      <c r="Q47"/>
      <c r="R47"/>
      <c r="S47" s="2" t="s">
        <v>2</v>
      </c>
      <c r="T47" s="5">
        <v>26000</v>
      </c>
      <c r="U47" s="15"/>
    </row>
    <row r="48" spans="1:21">
      <c r="A48" s="8"/>
      <c r="B48"/>
      <c r="C48"/>
      <c r="D48"/>
      <c r="E48"/>
      <c r="F48"/>
      <c r="G48" s="15"/>
      <c r="H48" s="8"/>
      <c r="I48"/>
      <c r="J48"/>
      <c r="K48"/>
      <c r="L48"/>
      <c r="M48"/>
      <c r="N48" s="15"/>
      <c r="O48" s="8"/>
      <c r="P48"/>
      <c r="Q48"/>
      <c r="R48"/>
      <c r="S48"/>
      <c r="T48"/>
      <c r="U48" s="15"/>
    </row>
    <row r="49" spans="1:21">
      <c r="A49" s="8"/>
      <c r="B49" s="2" t="s">
        <v>20</v>
      </c>
      <c r="C49"/>
      <c r="D49"/>
      <c r="E49"/>
      <c r="F49"/>
      <c r="G49" s="15"/>
      <c r="H49" s="8"/>
      <c r="I49" s="2" t="s">
        <v>20</v>
      </c>
      <c r="J49"/>
      <c r="K49"/>
      <c r="L49"/>
      <c r="M49"/>
      <c r="N49" s="15"/>
      <c r="O49" s="8"/>
      <c r="P49" s="2" t="s">
        <v>20</v>
      </c>
      <c r="Q49"/>
      <c r="R49"/>
      <c r="S49"/>
      <c r="T49"/>
      <c r="U49" s="15"/>
    </row>
    <row r="50" spans="1:21">
      <c r="A50" s="8"/>
      <c r="B50" t="s">
        <v>21</v>
      </c>
      <c r="C50"/>
      <c r="D50"/>
      <c r="E50" s="2" t="s">
        <v>2</v>
      </c>
      <c r="F50" s="5">
        <v>2444600</v>
      </c>
      <c r="G50" s="15"/>
      <c r="H50" s="8"/>
      <c r="I50" t="s">
        <v>21</v>
      </c>
      <c r="J50"/>
      <c r="K50"/>
      <c r="L50" s="2" t="s">
        <v>2</v>
      </c>
      <c r="M50" s="5">
        <v>2576000</v>
      </c>
      <c r="N50" s="15"/>
      <c r="O50" s="8"/>
      <c r="P50" t="s">
        <v>21</v>
      </c>
      <c r="Q50"/>
      <c r="R50"/>
      <c r="S50" s="2" t="s">
        <v>2</v>
      </c>
      <c r="T50" s="5">
        <v>0</v>
      </c>
      <c r="U50" s="15"/>
    </row>
    <row r="51" spans="1:21">
      <c r="A51" s="8"/>
      <c r="B51" t="s">
        <v>22</v>
      </c>
      <c r="C51"/>
      <c r="D51"/>
      <c r="E51" s="2" t="s">
        <v>2</v>
      </c>
      <c r="F51" s="5">
        <v>107850</v>
      </c>
      <c r="G51" s="15"/>
      <c r="H51" s="8"/>
      <c r="I51" t="s">
        <v>22</v>
      </c>
      <c r="J51"/>
      <c r="K51"/>
      <c r="L51" s="2" t="s">
        <v>2</v>
      </c>
      <c r="M51" s="5">
        <v>120750</v>
      </c>
      <c r="N51" s="15"/>
      <c r="O51" s="8"/>
      <c r="P51" t="s">
        <v>22</v>
      </c>
      <c r="Q51"/>
      <c r="R51"/>
      <c r="S51" s="2" t="s">
        <v>2</v>
      </c>
      <c r="T51" s="5">
        <v>107910</v>
      </c>
      <c r="U51" s="15"/>
    </row>
    <row r="52" spans="1:21">
      <c r="A52" s="8"/>
      <c r="B52" s="3" t="s">
        <v>23</v>
      </c>
      <c r="C52" s="3"/>
      <c r="D52" s="3"/>
      <c r="E52" s="4" t="s">
        <v>2</v>
      </c>
      <c r="F52" s="6">
        <v>35745</v>
      </c>
      <c r="G52" s="15"/>
      <c r="H52" s="8"/>
      <c r="I52" s="3" t="s">
        <v>23</v>
      </c>
      <c r="J52" s="3"/>
      <c r="K52" s="3"/>
      <c r="L52" s="4" t="s">
        <v>2</v>
      </c>
      <c r="M52" s="6">
        <v>40250</v>
      </c>
      <c r="N52" s="15"/>
      <c r="O52" s="8"/>
      <c r="P52" s="3" t="s">
        <v>23</v>
      </c>
      <c r="Q52" s="3"/>
      <c r="R52" s="3"/>
      <c r="S52" s="4" t="s">
        <v>2</v>
      </c>
      <c r="T52" s="6">
        <v>35745</v>
      </c>
      <c r="U52" s="15"/>
    </row>
    <row r="53" spans="1:21">
      <c r="A53" s="8"/>
      <c r="B53" t="s">
        <v>24</v>
      </c>
      <c r="C53"/>
      <c r="D53"/>
      <c r="E53" s="2" t="s">
        <v>2</v>
      </c>
      <c r="F53" s="5" t="str">
        <f>sum(f50:f52)</f>
        <v>0</v>
      </c>
      <c r="G53" s="15"/>
      <c r="H53" s="8"/>
      <c r="I53" t="s">
        <v>24</v>
      </c>
      <c r="J53"/>
      <c r="K53"/>
      <c r="L53" s="2" t="s">
        <v>2</v>
      </c>
      <c r="M53" s="5" t="str">
        <f>sum(m50:m52)</f>
        <v>0</v>
      </c>
      <c r="N53" s="15"/>
      <c r="O53" s="8"/>
      <c r="P53" t="s">
        <v>24</v>
      </c>
      <c r="Q53"/>
      <c r="R53"/>
      <c r="S53" s="2" t="s">
        <v>2</v>
      </c>
      <c r="T53" s="5" t="str">
        <f>sum(t50:t52)</f>
        <v>0</v>
      </c>
      <c r="U53" s="15"/>
    </row>
    <row r="54" spans="1:21">
      <c r="A54" s="9"/>
      <c r="B54" s="11" t="s">
        <v>25</v>
      </c>
      <c r="C54" s="11"/>
      <c r="D54" s="11"/>
      <c r="E54" s="12" t="s">
        <v>2</v>
      </c>
      <c r="F54" s="13" t="str">
        <f>sum(f44:f47)-f53</f>
        <v>0</v>
      </c>
      <c r="G54" s="16"/>
      <c r="H54" s="9"/>
      <c r="I54" s="11" t="s">
        <v>25</v>
      </c>
      <c r="J54" s="11"/>
      <c r="K54" s="11"/>
      <c r="L54" s="12" t="s">
        <v>2</v>
      </c>
      <c r="M54" s="13" t="str">
        <f>sum(m44:m47)-m53</f>
        <v>0</v>
      </c>
      <c r="N54" s="16"/>
      <c r="O54" s="9"/>
      <c r="P54" s="11" t="s">
        <v>25</v>
      </c>
      <c r="Q54" s="11"/>
      <c r="R54" s="11"/>
      <c r="S54" s="12" t="s">
        <v>2</v>
      </c>
      <c r="T54" s="13" t="str">
        <f>sum(t44:t47)-t53</f>
        <v>0</v>
      </c>
      <c r="U54" s="16"/>
    </row>
    <row r="55" spans="1:21">
      <c r="A55" s="7"/>
      <c r="B55" s="10"/>
      <c r="C55" s="10"/>
      <c r="D55" s="10"/>
      <c r="E55" s="10"/>
      <c r="F55" s="10"/>
      <c r="G55" s="14"/>
      <c r="H55" s="7"/>
      <c r="I55" s="10"/>
      <c r="J55" s="10"/>
      <c r="K55" s="10"/>
      <c r="L55" s="10"/>
      <c r="M55" s="10"/>
      <c r="N55" s="14"/>
      <c r="O55" s="7"/>
      <c r="P55" s="10"/>
      <c r="Q55" s="10"/>
      <c r="R55" s="10"/>
      <c r="S55" s="10"/>
      <c r="T55" s="10"/>
      <c r="U55" s="14"/>
    </row>
    <row r="56" spans="1:21">
      <c r="A56" s="8"/>
      <c r="B56" s="1" t="s">
        <v>0</v>
      </c>
      <c r="C56"/>
      <c r="D56"/>
      <c r="E56"/>
      <c r="F56"/>
      <c r="G56" s="15"/>
      <c r="H56" s="8"/>
      <c r="I56" s="1" t="s">
        <v>0</v>
      </c>
      <c r="J56"/>
      <c r="K56"/>
      <c r="L56"/>
      <c r="M56"/>
      <c r="N56" s="15"/>
      <c r="O56" s="8"/>
      <c r="P56" s="1" t="s">
        <v>0</v>
      </c>
      <c r="Q56"/>
      <c r="R56"/>
      <c r="S56"/>
      <c r="T56"/>
      <c r="U56" s="15"/>
    </row>
    <row r="57" spans="1:21">
      <c r="A57" s="8"/>
      <c r="B57" t="s">
        <v>1</v>
      </c>
      <c r="C57" s="2" t="s">
        <v>2</v>
      </c>
      <c r="D57" t="s">
        <v>36</v>
      </c>
      <c r="E57"/>
      <c r="F57"/>
      <c r="G57" s="15"/>
      <c r="H57" s="8"/>
      <c r="I57" t="s">
        <v>1</v>
      </c>
      <c r="J57" s="2" t="s">
        <v>2</v>
      </c>
      <c r="K57" t="s">
        <v>37</v>
      </c>
      <c r="L57"/>
      <c r="M57"/>
      <c r="N57" s="15"/>
      <c r="O57" s="8"/>
      <c r="P57" t="s">
        <v>1</v>
      </c>
      <c r="Q57" s="2" t="s">
        <v>2</v>
      </c>
      <c r="R57" t="s">
        <v>38</v>
      </c>
      <c r="S57"/>
      <c r="T57"/>
      <c r="U57" s="15"/>
    </row>
    <row r="58" spans="1:21">
      <c r="A58" s="8"/>
      <c r="B58" t="s">
        <v>6</v>
      </c>
      <c r="C58" s="2" t="s">
        <v>2</v>
      </c>
      <c r="D58" t="s">
        <v>39</v>
      </c>
      <c r="E58"/>
      <c r="F58"/>
      <c r="G58" s="15"/>
      <c r="H58" s="8"/>
      <c r="I58" t="s">
        <v>6</v>
      </c>
      <c r="J58" s="2" t="s">
        <v>2</v>
      </c>
      <c r="K58" t="s">
        <v>40</v>
      </c>
      <c r="L58"/>
      <c r="M58"/>
      <c r="N58" s="15"/>
      <c r="O58" s="8"/>
      <c r="P58" t="s">
        <v>6</v>
      </c>
      <c r="Q58" s="2" t="s">
        <v>2</v>
      </c>
      <c r="R58">
        <v>1090</v>
      </c>
      <c r="S58"/>
      <c r="T58"/>
      <c r="U58" s="15"/>
    </row>
    <row r="59" spans="1:21">
      <c r="A59" s="8"/>
      <c r="B59" t="s">
        <v>10</v>
      </c>
      <c r="C59" s="2" t="s">
        <v>2</v>
      </c>
      <c r="D59" t="s">
        <v>31</v>
      </c>
      <c r="E59"/>
      <c r="F59"/>
      <c r="G59" s="15"/>
      <c r="H59" s="8"/>
      <c r="I59" t="s">
        <v>10</v>
      </c>
      <c r="J59" s="2" t="s">
        <v>2</v>
      </c>
      <c r="K59" t="s">
        <v>31</v>
      </c>
      <c r="L59"/>
      <c r="M59"/>
      <c r="N59" s="15"/>
      <c r="O59" s="8"/>
      <c r="P59" t="s">
        <v>10</v>
      </c>
      <c r="Q59" s="2" t="s">
        <v>2</v>
      </c>
      <c r="R59" t="s">
        <v>41</v>
      </c>
      <c r="S59"/>
      <c r="T59"/>
      <c r="U59" s="15"/>
    </row>
    <row r="60" spans="1:21">
      <c r="A60" s="8"/>
      <c r="B60" t="s">
        <v>12</v>
      </c>
      <c r="C60" s="2" t="s">
        <v>2</v>
      </c>
      <c r="D60" t="s">
        <v>13</v>
      </c>
      <c r="E60"/>
      <c r="F60"/>
      <c r="G60" s="15"/>
      <c r="H60" s="8"/>
      <c r="I60" t="s">
        <v>12</v>
      </c>
      <c r="J60" s="2" t="s">
        <v>2</v>
      </c>
      <c r="K60" t="s">
        <v>13</v>
      </c>
      <c r="L60"/>
      <c r="M60"/>
      <c r="N60" s="15"/>
      <c r="O60" s="8"/>
      <c r="P60" t="s">
        <v>12</v>
      </c>
      <c r="Q60" s="2" t="s">
        <v>2</v>
      </c>
      <c r="R60" t="s">
        <v>13</v>
      </c>
      <c r="S60"/>
      <c r="T60"/>
      <c r="U60" s="15"/>
    </row>
    <row r="61" spans="1:21">
      <c r="A61" s="8"/>
      <c r="B61" s="3" t="s">
        <v>14</v>
      </c>
      <c r="C61" s="4" t="s">
        <v>2</v>
      </c>
      <c r="D61" s="3" t="s">
        <v>15</v>
      </c>
      <c r="E61" s="3"/>
      <c r="F61" s="3"/>
      <c r="G61" s="15"/>
      <c r="H61" s="8"/>
      <c r="I61" s="3" t="s">
        <v>14</v>
      </c>
      <c r="J61" s="4" t="s">
        <v>2</v>
      </c>
      <c r="K61" s="3" t="s">
        <v>15</v>
      </c>
      <c r="L61" s="3"/>
      <c r="M61" s="3"/>
      <c r="N61" s="15"/>
      <c r="O61" s="8"/>
      <c r="P61" s="3" t="s">
        <v>14</v>
      </c>
      <c r="Q61" s="4" t="s">
        <v>2</v>
      </c>
      <c r="R61" s="3" t="s">
        <v>15</v>
      </c>
      <c r="S61" s="3"/>
      <c r="T61" s="3"/>
      <c r="U61" s="15"/>
    </row>
    <row r="62" spans="1:21">
      <c r="A62" s="8"/>
      <c r="B62" t="s">
        <v>16</v>
      </c>
      <c r="C62"/>
      <c r="D62"/>
      <c r="E62" s="2" t="s">
        <v>2</v>
      </c>
      <c r="F62" s="5">
        <v>3603000</v>
      </c>
      <c r="G62" s="15"/>
      <c r="H62" s="8"/>
      <c r="I62" t="s">
        <v>16</v>
      </c>
      <c r="J62"/>
      <c r="K62"/>
      <c r="L62" s="2" t="s">
        <v>2</v>
      </c>
      <c r="M62" s="5">
        <v>3588000</v>
      </c>
      <c r="N62" s="15"/>
      <c r="O62" s="8"/>
      <c r="P62" t="s">
        <v>16</v>
      </c>
      <c r="Q62"/>
      <c r="R62"/>
      <c r="S62" s="2" t="s">
        <v>2</v>
      </c>
      <c r="T62" s="5">
        <v>3588000</v>
      </c>
      <c r="U62" s="15"/>
    </row>
    <row r="63" spans="1:21">
      <c r="A63" s="8"/>
      <c r="B63" t="s">
        <v>17</v>
      </c>
      <c r="C63"/>
      <c r="D63"/>
      <c r="E63" s="2" t="s">
        <v>2</v>
      </c>
      <c r="F63" s="5">
        <v>50000</v>
      </c>
      <c r="G63" s="15"/>
      <c r="H63" s="8"/>
      <c r="I63" t="s">
        <v>17</v>
      </c>
      <c r="J63"/>
      <c r="K63"/>
      <c r="L63" s="2" t="s">
        <v>2</v>
      </c>
      <c r="M63" s="5">
        <v>50000</v>
      </c>
      <c r="N63" s="15"/>
      <c r="O63" s="8"/>
      <c r="P63" t="s">
        <v>17</v>
      </c>
      <c r="Q63"/>
      <c r="R63"/>
      <c r="S63" s="2" t="s">
        <v>2</v>
      </c>
      <c r="T63" s="5">
        <v>50000</v>
      </c>
      <c r="U63" s="15"/>
    </row>
    <row r="64" spans="1:21">
      <c r="A64" s="8"/>
      <c r="B64" t="s">
        <v>18</v>
      </c>
      <c r="C64"/>
      <c r="D64"/>
      <c r="E64" s="2" t="s">
        <v>2</v>
      </c>
      <c r="F64" s="5">
        <v>25000</v>
      </c>
      <c r="G64" s="15"/>
      <c r="H64" s="8"/>
      <c r="I64" t="s">
        <v>18</v>
      </c>
      <c r="J64"/>
      <c r="K64"/>
      <c r="L64" s="2" t="s">
        <v>2</v>
      </c>
      <c r="M64" s="5">
        <v>25000</v>
      </c>
      <c r="N64" s="15"/>
      <c r="O64" s="8"/>
      <c r="P64" t="s">
        <v>18</v>
      </c>
      <c r="Q64"/>
      <c r="R64"/>
      <c r="S64" s="2" t="s">
        <v>2</v>
      </c>
      <c r="T64" s="5">
        <v>25000</v>
      </c>
      <c r="U64" s="15"/>
    </row>
    <row r="65" spans="1:21">
      <c r="A65" s="8"/>
      <c r="B65" t="s">
        <v>19</v>
      </c>
      <c r="C65"/>
      <c r="D65"/>
      <c r="E65" s="2" t="s">
        <v>2</v>
      </c>
      <c r="F65" s="5">
        <v>8000</v>
      </c>
      <c r="G65" s="15"/>
      <c r="H65" s="8"/>
      <c r="I65" t="s">
        <v>19</v>
      </c>
      <c r="J65"/>
      <c r="K65"/>
      <c r="L65" s="2" t="s">
        <v>2</v>
      </c>
      <c r="M65" s="5">
        <v>18000</v>
      </c>
      <c r="N65" s="15"/>
      <c r="O65" s="8"/>
      <c r="P65" t="s">
        <v>19</v>
      </c>
      <c r="Q65"/>
      <c r="R65"/>
      <c r="S65" s="2" t="s">
        <v>2</v>
      </c>
      <c r="T65" s="5">
        <v>20000</v>
      </c>
      <c r="U65" s="15"/>
    </row>
    <row r="66" spans="1:21">
      <c r="A66" s="8"/>
      <c r="B66"/>
      <c r="C66"/>
      <c r="D66"/>
      <c r="E66"/>
      <c r="F66"/>
      <c r="G66" s="15"/>
      <c r="H66" s="8"/>
      <c r="I66"/>
      <c r="J66"/>
      <c r="K66"/>
      <c r="L66"/>
      <c r="M66"/>
      <c r="N66" s="15"/>
      <c r="O66" s="8"/>
      <c r="P66"/>
      <c r="Q66"/>
      <c r="R66"/>
      <c r="S66"/>
      <c r="T66"/>
      <c r="U66" s="15"/>
    </row>
    <row r="67" spans="1:21">
      <c r="A67" s="8"/>
      <c r="B67" s="2" t="s">
        <v>20</v>
      </c>
      <c r="C67"/>
      <c r="D67"/>
      <c r="E67"/>
      <c r="F67"/>
      <c r="G67" s="15"/>
      <c r="H67" s="8"/>
      <c r="I67" s="2" t="s">
        <v>20</v>
      </c>
      <c r="J67"/>
      <c r="K67"/>
      <c r="L67"/>
      <c r="M67"/>
      <c r="N67" s="15"/>
      <c r="O67" s="8"/>
      <c r="P67" s="2" t="s">
        <v>20</v>
      </c>
      <c r="Q67"/>
      <c r="R67"/>
      <c r="S67"/>
      <c r="T67"/>
      <c r="U67" s="15"/>
    </row>
    <row r="68" spans="1:21">
      <c r="A68" s="8"/>
      <c r="B68" t="s">
        <v>21</v>
      </c>
      <c r="C68"/>
      <c r="D68"/>
      <c r="E68" s="2" t="s">
        <v>2</v>
      </c>
      <c r="F68" s="5">
        <v>0</v>
      </c>
      <c r="G68" s="15"/>
      <c r="H68" s="8"/>
      <c r="I68" t="s">
        <v>21</v>
      </c>
      <c r="J68"/>
      <c r="K68"/>
      <c r="L68" s="2" t="s">
        <v>2</v>
      </c>
      <c r="M68" s="5">
        <v>0</v>
      </c>
      <c r="N68" s="15"/>
      <c r="O68" s="8"/>
      <c r="P68" t="s">
        <v>21</v>
      </c>
      <c r="Q68"/>
      <c r="R68"/>
      <c r="S68" s="2" t="s">
        <v>2</v>
      </c>
      <c r="T68" s="5">
        <v>0</v>
      </c>
      <c r="U68" s="15"/>
    </row>
    <row r="69" spans="1:21">
      <c r="A69" s="8"/>
      <c r="B69" t="s">
        <v>22</v>
      </c>
      <c r="C69"/>
      <c r="D69"/>
      <c r="E69" s="2" t="s">
        <v>2</v>
      </c>
      <c r="F69" s="5">
        <v>108090</v>
      </c>
      <c r="G69" s="15"/>
      <c r="H69" s="8"/>
      <c r="I69" t="s">
        <v>22</v>
      </c>
      <c r="J69"/>
      <c r="K69"/>
      <c r="L69" s="2" t="s">
        <v>2</v>
      </c>
      <c r="M69" s="5">
        <v>107640</v>
      </c>
      <c r="N69" s="15"/>
      <c r="O69" s="8"/>
      <c r="P69" t="s">
        <v>22</v>
      </c>
      <c r="Q69"/>
      <c r="R69"/>
      <c r="S69" s="2" t="s">
        <v>2</v>
      </c>
      <c r="T69" s="5">
        <v>107640</v>
      </c>
      <c r="U69" s="15"/>
    </row>
    <row r="70" spans="1:21">
      <c r="A70" s="8"/>
      <c r="B70" s="3" t="s">
        <v>23</v>
      </c>
      <c r="C70" s="3"/>
      <c r="D70" s="3"/>
      <c r="E70" s="4" t="s">
        <v>2</v>
      </c>
      <c r="F70" s="6">
        <v>35745</v>
      </c>
      <c r="G70" s="15"/>
      <c r="H70" s="8"/>
      <c r="I70" s="3" t="s">
        <v>23</v>
      </c>
      <c r="J70" s="3"/>
      <c r="K70" s="3"/>
      <c r="L70" s="4" t="s">
        <v>2</v>
      </c>
      <c r="M70" s="6">
        <v>35745</v>
      </c>
      <c r="N70" s="15"/>
      <c r="O70" s="8"/>
      <c r="P70" s="3" t="s">
        <v>23</v>
      </c>
      <c r="Q70" s="3"/>
      <c r="R70" s="3"/>
      <c r="S70" s="4" t="s">
        <v>2</v>
      </c>
      <c r="T70" s="6">
        <v>35745</v>
      </c>
      <c r="U70" s="15"/>
    </row>
    <row r="71" spans="1:21">
      <c r="A71" s="8"/>
      <c r="B71" t="s">
        <v>24</v>
      </c>
      <c r="C71"/>
      <c r="D71"/>
      <c r="E71" s="2" t="s">
        <v>2</v>
      </c>
      <c r="F71" s="5" t="str">
        <f>sum(f68:f70)</f>
        <v>0</v>
      </c>
      <c r="G71" s="15"/>
      <c r="H71" s="8"/>
      <c r="I71" t="s">
        <v>24</v>
      </c>
      <c r="J71"/>
      <c r="K71"/>
      <c r="L71" s="2" t="s">
        <v>2</v>
      </c>
      <c r="M71" s="5" t="str">
        <f>sum(m68:m70)</f>
        <v>0</v>
      </c>
      <c r="N71" s="15"/>
      <c r="O71" s="8"/>
      <c r="P71" t="s">
        <v>24</v>
      </c>
      <c r="Q71"/>
      <c r="R71"/>
      <c r="S71" s="2" t="s">
        <v>2</v>
      </c>
      <c r="T71" s="5" t="str">
        <f>sum(t68:t70)</f>
        <v>0</v>
      </c>
      <c r="U71" s="15"/>
    </row>
    <row r="72" spans="1:21">
      <c r="A72" s="9"/>
      <c r="B72" s="11" t="s">
        <v>25</v>
      </c>
      <c r="C72" s="11"/>
      <c r="D72" s="11"/>
      <c r="E72" s="12" t="s">
        <v>2</v>
      </c>
      <c r="F72" s="13" t="str">
        <f>sum(f62:f65)-f71</f>
        <v>0</v>
      </c>
      <c r="G72" s="16"/>
      <c r="H72" s="9"/>
      <c r="I72" s="11" t="s">
        <v>25</v>
      </c>
      <c r="J72" s="11"/>
      <c r="K72" s="11"/>
      <c r="L72" s="12" t="s">
        <v>2</v>
      </c>
      <c r="M72" s="13" t="str">
        <f>sum(m62:m65)-m71</f>
        <v>0</v>
      </c>
      <c r="N72" s="16"/>
      <c r="O72" s="9"/>
      <c r="P72" s="11" t="s">
        <v>25</v>
      </c>
      <c r="Q72" s="11"/>
      <c r="R72" s="11"/>
      <c r="S72" s="12" t="s">
        <v>2</v>
      </c>
      <c r="T72" s="13" t="str">
        <f>sum(t62:t65)-t71</f>
        <v>0</v>
      </c>
      <c r="U72" s="16"/>
    </row>
    <row r="73" spans="1:21">
      <c r="A73" s="7"/>
      <c r="B73" s="10"/>
      <c r="C73" s="10"/>
      <c r="D73" s="10"/>
      <c r="E73" s="10"/>
      <c r="F73" s="10"/>
      <c r="G73" s="14"/>
      <c r="H73" s="7"/>
      <c r="I73" s="10"/>
      <c r="J73" s="10"/>
      <c r="K73" s="10"/>
      <c r="L73" s="10"/>
      <c r="M73" s="10"/>
      <c r="N73" s="14"/>
      <c r="O73" s="7"/>
      <c r="P73" s="10"/>
      <c r="Q73" s="10"/>
      <c r="R73" s="10"/>
      <c r="S73" s="10"/>
      <c r="T73" s="10"/>
      <c r="U73" s="14"/>
    </row>
    <row r="74" spans="1:21">
      <c r="A74" s="8"/>
      <c r="B74" s="1" t="s">
        <v>0</v>
      </c>
      <c r="C74"/>
      <c r="D74"/>
      <c r="E74"/>
      <c r="F74"/>
      <c r="G74" s="15"/>
      <c r="H74" s="8"/>
      <c r="I74" s="1" t="s">
        <v>0</v>
      </c>
      <c r="J74"/>
      <c r="K74"/>
      <c r="L74"/>
      <c r="M74"/>
      <c r="N74" s="15"/>
      <c r="O74" s="8"/>
      <c r="P74" s="1" t="s">
        <v>0</v>
      </c>
      <c r="Q74"/>
      <c r="R74"/>
      <c r="S74"/>
      <c r="T74"/>
      <c r="U74" s="15"/>
    </row>
    <row r="75" spans="1:21">
      <c r="A75" s="8"/>
      <c r="B75" t="s">
        <v>1</v>
      </c>
      <c r="C75" s="2" t="s">
        <v>2</v>
      </c>
      <c r="D75" t="s">
        <v>42</v>
      </c>
      <c r="E75"/>
      <c r="F75"/>
      <c r="G75" s="15"/>
      <c r="H75" s="8"/>
      <c r="I75" t="s">
        <v>1</v>
      </c>
      <c r="J75" s="2" t="s">
        <v>2</v>
      </c>
      <c r="K75" t="s">
        <v>43</v>
      </c>
      <c r="L75"/>
      <c r="M75"/>
      <c r="N75" s="15"/>
      <c r="O75" s="8"/>
      <c r="P75" t="s">
        <v>1</v>
      </c>
      <c r="Q75" s="2" t="s">
        <v>2</v>
      </c>
      <c r="R75" t="s">
        <v>44</v>
      </c>
      <c r="S75"/>
      <c r="T75"/>
      <c r="U75" s="15"/>
    </row>
    <row r="76" spans="1:21">
      <c r="A76" s="8"/>
      <c r="B76" t="s">
        <v>6</v>
      </c>
      <c r="C76" s="2" t="s">
        <v>2</v>
      </c>
      <c r="D76" t="s">
        <v>45</v>
      </c>
      <c r="E76"/>
      <c r="F76"/>
      <c r="G76" s="15"/>
      <c r="H76" s="8"/>
      <c r="I76" t="s">
        <v>6</v>
      </c>
      <c r="J76" s="2" t="s">
        <v>2</v>
      </c>
      <c r="K76" t="s">
        <v>46</v>
      </c>
      <c r="L76"/>
      <c r="M76"/>
      <c r="N76" s="15"/>
      <c r="O76" s="8"/>
      <c r="P76" t="s">
        <v>6</v>
      </c>
      <c r="Q76" s="2" t="s">
        <v>2</v>
      </c>
      <c r="R76" t="s">
        <v>47</v>
      </c>
      <c r="S76"/>
      <c r="T76"/>
      <c r="U76" s="15"/>
    </row>
    <row r="77" spans="1:21">
      <c r="A77" s="8"/>
      <c r="B77" t="s">
        <v>10</v>
      </c>
      <c r="C77" s="2" t="s">
        <v>2</v>
      </c>
      <c r="D77" t="s">
        <v>41</v>
      </c>
      <c r="E77"/>
      <c r="F77"/>
      <c r="G77" s="15"/>
      <c r="H77" s="8"/>
      <c r="I77" t="s">
        <v>10</v>
      </c>
      <c r="J77" s="2" t="s">
        <v>2</v>
      </c>
      <c r="K77" t="s">
        <v>48</v>
      </c>
      <c r="L77"/>
      <c r="M77"/>
      <c r="N77" s="15"/>
      <c r="O77" s="8"/>
      <c r="P77" t="s">
        <v>10</v>
      </c>
      <c r="Q77" s="2" t="s">
        <v>2</v>
      </c>
      <c r="R77" t="s">
        <v>48</v>
      </c>
      <c r="S77"/>
      <c r="T77"/>
      <c r="U77" s="15"/>
    </row>
    <row r="78" spans="1:21">
      <c r="A78" s="8"/>
      <c r="B78" t="s">
        <v>12</v>
      </c>
      <c r="C78" s="2" t="s">
        <v>2</v>
      </c>
      <c r="D78" t="s">
        <v>13</v>
      </c>
      <c r="E78"/>
      <c r="F78"/>
      <c r="G78" s="15"/>
      <c r="H78" s="8"/>
      <c r="I78" t="s">
        <v>12</v>
      </c>
      <c r="J78" s="2" t="s">
        <v>2</v>
      </c>
      <c r="K78" t="s">
        <v>13</v>
      </c>
      <c r="L78"/>
      <c r="M78"/>
      <c r="N78" s="15"/>
      <c r="O78" s="8"/>
      <c r="P78" t="s">
        <v>12</v>
      </c>
      <c r="Q78" s="2" t="s">
        <v>2</v>
      </c>
      <c r="R78" t="s">
        <v>13</v>
      </c>
      <c r="S78"/>
      <c r="T78"/>
      <c r="U78" s="15"/>
    </row>
    <row r="79" spans="1:21">
      <c r="A79" s="8"/>
      <c r="B79" s="3" t="s">
        <v>14</v>
      </c>
      <c r="C79" s="4" t="s">
        <v>2</v>
      </c>
      <c r="D79" s="3" t="s">
        <v>15</v>
      </c>
      <c r="E79" s="3"/>
      <c r="F79" s="3"/>
      <c r="G79" s="15"/>
      <c r="H79" s="8"/>
      <c r="I79" s="3" t="s">
        <v>14</v>
      </c>
      <c r="J79" s="4" t="s">
        <v>2</v>
      </c>
      <c r="K79" s="3" t="s">
        <v>15</v>
      </c>
      <c r="L79" s="3"/>
      <c r="M79" s="3"/>
      <c r="N79" s="15"/>
      <c r="O79" s="8"/>
      <c r="P79" s="3" t="s">
        <v>14</v>
      </c>
      <c r="Q79" s="4" t="s">
        <v>2</v>
      </c>
      <c r="R79" s="3" t="s">
        <v>15</v>
      </c>
      <c r="S79" s="3"/>
      <c r="T79" s="3"/>
      <c r="U79" s="15"/>
    </row>
    <row r="80" spans="1:21">
      <c r="A80" s="8"/>
      <c r="B80" t="s">
        <v>16</v>
      </c>
      <c r="C80"/>
      <c r="D80"/>
      <c r="E80" s="2" t="s">
        <v>2</v>
      </c>
      <c r="F80" s="5">
        <v>3597000</v>
      </c>
      <c r="G80" s="15"/>
      <c r="H80" s="8"/>
      <c r="I80" t="s">
        <v>16</v>
      </c>
      <c r="J80"/>
      <c r="K80"/>
      <c r="L80" s="2" t="s">
        <v>2</v>
      </c>
      <c r="M80" s="5">
        <v>5141000</v>
      </c>
      <c r="N80" s="15"/>
      <c r="O80" s="8"/>
      <c r="P80" t="s">
        <v>16</v>
      </c>
      <c r="Q80"/>
      <c r="R80"/>
      <c r="S80" s="2" t="s">
        <v>2</v>
      </c>
      <c r="T80" s="5">
        <v>4471000</v>
      </c>
      <c r="U80" s="15"/>
    </row>
    <row r="81" spans="1:21">
      <c r="A81" s="8"/>
      <c r="B81" t="s">
        <v>17</v>
      </c>
      <c r="C81"/>
      <c r="D81"/>
      <c r="E81" s="2" t="s">
        <v>2</v>
      </c>
      <c r="F81" s="5">
        <v>50000</v>
      </c>
      <c r="G81" s="15"/>
      <c r="H81" s="8"/>
      <c r="I81" t="s">
        <v>17</v>
      </c>
      <c r="J81"/>
      <c r="K81"/>
      <c r="L81" s="2" t="s">
        <v>2</v>
      </c>
      <c r="M81" s="5">
        <v>250000</v>
      </c>
      <c r="N81" s="15"/>
      <c r="O81" s="8"/>
      <c r="P81" t="s">
        <v>17</v>
      </c>
      <c r="Q81"/>
      <c r="R81"/>
      <c r="S81" s="2" t="s">
        <v>2</v>
      </c>
      <c r="T81" s="5">
        <v>200000</v>
      </c>
      <c r="U81" s="15"/>
    </row>
    <row r="82" spans="1:21">
      <c r="A82" s="8"/>
      <c r="B82" t="s">
        <v>18</v>
      </c>
      <c r="C82"/>
      <c r="D82"/>
      <c r="E82" s="2" t="s">
        <v>2</v>
      </c>
      <c r="F82" s="5">
        <v>0</v>
      </c>
      <c r="G82" s="15"/>
      <c r="H82" s="8"/>
      <c r="I82" t="s">
        <v>18</v>
      </c>
      <c r="J82"/>
      <c r="K82"/>
      <c r="L82" s="2" t="s">
        <v>2</v>
      </c>
      <c r="M82" s="5">
        <v>0</v>
      </c>
      <c r="N82" s="15"/>
      <c r="O82" s="8"/>
      <c r="P82" t="s">
        <v>18</v>
      </c>
      <c r="Q82"/>
      <c r="R82"/>
      <c r="S82" s="2" t="s">
        <v>2</v>
      </c>
      <c r="T82" s="5">
        <v>0</v>
      </c>
      <c r="U82" s="15"/>
    </row>
    <row r="83" spans="1:21">
      <c r="A83" s="8"/>
      <c r="B83" t="s">
        <v>19</v>
      </c>
      <c r="C83"/>
      <c r="D83"/>
      <c r="E83" s="2" t="s">
        <v>2</v>
      </c>
      <c r="F83" s="5">
        <v>10000</v>
      </c>
      <c r="G83" s="15"/>
      <c r="H83" s="8"/>
      <c r="I83" t="s">
        <v>19</v>
      </c>
      <c r="J83"/>
      <c r="K83"/>
      <c r="L83" s="2" t="s">
        <v>2</v>
      </c>
      <c r="M83" s="5">
        <v>0</v>
      </c>
      <c r="N83" s="15"/>
      <c r="O83" s="8"/>
      <c r="P83" t="s">
        <v>19</v>
      </c>
      <c r="Q83"/>
      <c r="R83"/>
      <c r="S83" s="2" t="s">
        <v>2</v>
      </c>
      <c r="T83" s="5">
        <v>0</v>
      </c>
      <c r="U83" s="15"/>
    </row>
    <row r="84" spans="1:21">
      <c r="A84" s="8"/>
      <c r="B84"/>
      <c r="C84"/>
      <c r="D84"/>
      <c r="E84"/>
      <c r="F84"/>
      <c r="G84" s="15"/>
      <c r="H84" s="8"/>
      <c r="I84"/>
      <c r="J84"/>
      <c r="K84"/>
      <c r="L84"/>
      <c r="M84"/>
      <c r="N84" s="15"/>
      <c r="O84" s="8"/>
      <c r="P84"/>
      <c r="Q84"/>
      <c r="R84"/>
      <c r="S84"/>
      <c r="T84"/>
      <c r="U84" s="15"/>
    </row>
    <row r="85" spans="1:21">
      <c r="A85" s="8"/>
      <c r="B85" s="2" t="s">
        <v>20</v>
      </c>
      <c r="C85"/>
      <c r="D85"/>
      <c r="E85"/>
      <c r="F85"/>
      <c r="G85" s="15"/>
      <c r="H85" s="8"/>
      <c r="I85" s="2" t="s">
        <v>20</v>
      </c>
      <c r="J85"/>
      <c r="K85"/>
      <c r="L85"/>
      <c r="M85"/>
      <c r="N85" s="15"/>
      <c r="O85" s="8"/>
      <c r="P85" s="2" t="s">
        <v>20</v>
      </c>
      <c r="Q85"/>
      <c r="R85"/>
      <c r="S85"/>
      <c r="T85"/>
      <c r="U85" s="15"/>
    </row>
    <row r="86" spans="1:21">
      <c r="A86" s="8"/>
      <c r="B86" t="s">
        <v>21</v>
      </c>
      <c r="C86"/>
      <c r="D86"/>
      <c r="E86" s="2" t="s">
        <v>2</v>
      </c>
      <c r="F86" s="5">
        <v>119900</v>
      </c>
      <c r="G86" s="15"/>
      <c r="H86" s="8"/>
      <c r="I86" t="s">
        <v>21</v>
      </c>
      <c r="J86"/>
      <c r="K86"/>
      <c r="L86" s="2" t="s">
        <v>2</v>
      </c>
      <c r="M86" s="5">
        <v>1850760</v>
      </c>
      <c r="N86" s="15"/>
      <c r="O86" s="8"/>
      <c r="P86" t="s">
        <v>21</v>
      </c>
      <c r="Q86"/>
      <c r="R86"/>
      <c r="S86" s="2" t="s">
        <v>2</v>
      </c>
      <c r="T86" s="5">
        <v>2682600</v>
      </c>
      <c r="U86" s="15"/>
    </row>
    <row r="87" spans="1:21">
      <c r="A87" s="8"/>
      <c r="B87" t="s">
        <v>22</v>
      </c>
      <c r="C87"/>
      <c r="D87"/>
      <c r="E87" s="2" t="s">
        <v>2</v>
      </c>
      <c r="F87" s="5">
        <v>107910</v>
      </c>
      <c r="G87" s="15"/>
      <c r="H87" s="8"/>
      <c r="I87" t="s">
        <v>22</v>
      </c>
      <c r="J87"/>
      <c r="K87"/>
      <c r="L87" s="2" t="s">
        <v>2</v>
      </c>
      <c r="M87" s="5">
        <v>154230</v>
      </c>
      <c r="N87" s="15"/>
      <c r="O87" s="8"/>
      <c r="P87" t="s">
        <v>22</v>
      </c>
      <c r="Q87"/>
      <c r="R87"/>
      <c r="S87" s="2" t="s">
        <v>2</v>
      </c>
      <c r="T87" s="5">
        <v>134130</v>
      </c>
      <c r="U87" s="15"/>
    </row>
    <row r="88" spans="1:21">
      <c r="A88" s="8"/>
      <c r="B88" s="3" t="s">
        <v>23</v>
      </c>
      <c r="C88" s="3"/>
      <c r="D88" s="3"/>
      <c r="E88" s="4" t="s">
        <v>2</v>
      </c>
      <c r="F88" s="6">
        <v>35745</v>
      </c>
      <c r="G88" s="15"/>
      <c r="H88" s="8"/>
      <c r="I88" s="3" t="s">
        <v>23</v>
      </c>
      <c r="J88" s="3"/>
      <c r="K88" s="3"/>
      <c r="L88" s="4" t="s">
        <v>2</v>
      </c>
      <c r="M88" s="6">
        <v>44550</v>
      </c>
      <c r="N88" s="15"/>
      <c r="O88" s="8"/>
      <c r="P88" s="3" t="s">
        <v>23</v>
      </c>
      <c r="Q88" s="3"/>
      <c r="R88" s="3"/>
      <c r="S88" s="4" t="s">
        <v>2</v>
      </c>
      <c r="T88" s="6">
        <v>40350</v>
      </c>
      <c r="U88" s="15"/>
    </row>
    <row r="89" spans="1:21">
      <c r="A89" s="8"/>
      <c r="B89" t="s">
        <v>24</v>
      </c>
      <c r="C89"/>
      <c r="D89"/>
      <c r="E89" s="2" t="s">
        <v>2</v>
      </c>
      <c r="F89" s="5" t="str">
        <f>sum(f86:f88)</f>
        <v>0</v>
      </c>
      <c r="G89" s="15"/>
      <c r="H89" s="8"/>
      <c r="I89" t="s">
        <v>24</v>
      </c>
      <c r="J89"/>
      <c r="K89"/>
      <c r="L89" s="2" t="s">
        <v>2</v>
      </c>
      <c r="M89" s="5" t="str">
        <f>sum(m86:m88)</f>
        <v>0</v>
      </c>
      <c r="N89" s="15"/>
      <c r="O89" s="8"/>
      <c r="P89" t="s">
        <v>24</v>
      </c>
      <c r="Q89"/>
      <c r="R89"/>
      <c r="S89" s="2" t="s">
        <v>2</v>
      </c>
      <c r="T89" s="5" t="str">
        <f>sum(t86:t88)</f>
        <v>0</v>
      </c>
      <c r="U89" s="15"/>
    </row>
    <row r="90" spans="1:21">
      <c r="A90" s="9"/>
      <c r="B90" s="11" t="s">
        <v>25</v>
      </c>
      <c r="C90" s="11"/>
      <c r="D90" s="11"/>
      <c r="E90" s="12" t="s">
        <v>2</v>
      </c>
      <c r="F90" s="13" t="str">
        <f>sum(f80:f83)-f89</f>
        <v>0</v>
      </c>
      <c r="G90" s="16"/>
      <c r="H90" s="9"/>
      <c r="I90" s="11" t="s">
        <v>25</v>
      </c>
      <c r="J90" s="11"/>
      <c r="K90" s="11"/>
      <c r="L90" s="12" t="s">
        <v>2</v>
      </c>
      <c r="M90" s="13" t="str">
        <f>sum(m80:m83)-m89</f>
        <v>0</v>
      </c>
      <c r="N90" s="16"/>
      <c r="O90" s="9"/>
      <c r="P90" s="11" t="s">
        <v>25</v>
      </c>
      <c r="Q90" s="11"/>
      <c r="R90" s="11"/>
      <c r="S90" s="12" t="s">
        <v>2</v>
      </c>
      <c r="T90" s="13" t="str">
        <f>sum(t80:t83)-t89</f>
        <v>0</v>
      </c>
      <c r="U90" s="16"/>
    </row>
    <row r="91" spans="1:21">
      <c r="A91" s="7"/>
      <c r="B91" s="10"/>
      <c r="C91" s="10"/>
      <c r="D91" s="10"/>
      <c r="E91" s="10"/>
      <c r="F91" s="10"/>
      <c r="G91" s="14"/>
      <c r="H91" s="7"/>
      <c r="I91" s="10"/>
      <c r="J91" s="10"/>
      <c r="K91" s="10"/>
      <c r="L91" s="10"/>
      <c r="M91" s="10"/>
      <c r="N91" s="14"/>
      <c r="O91" s="7"/>
      <c r="P91" s="10"/>
      <c r="Q91" s="10"/>
      <c r="R91" s="10"/>
      <c r="S91" s="10"/>
      <c r="T91" s="10"/>
      <c r="U91" s="14"/>
    </row>
    <row r="92" spans="1:21">
      <c r="A92" s="8"/>
      <c r="B92" s="1" t="s">
        <v>0</v>
      </c>
      <c r="C92"/>
      <c r="D92"/>
      <c r="E92"/>
      <c r="F92"/>
      <c r="G92" s="15"/>
      <c r="H92" s="8"/>
      <c r="I92" s="1" t="s">
        <v>0</v>
      </c>
      <c r="J92"/>
      <c r="K92"/>
      <c r="L92"/>
      <c r="M92"/>
      <c r="N92" s="15"/>
      <c r="O92" s="8"/>
      <c r="P92" s="1" t="s">
        <v>0</v>
      </c>
      <c r="Q92"/>
      <c r="R92"/>
      <c r="S92"/>
      <c r="T92"/>
      <c r="U92" s="15"/>
    </row>
    <row r="93" spans="1:21">
      <c r="A93" s="8"/>
      <c r="B93" t="s">
        <v>1</v>
      </c>
      <c r="C93" s="2" t="s">
        <v>2</v>
      </c>
      <c r="D93" t="s">
        <v>49</v>
      </c>
      <c r="E93"/>
      <c r="F93"/>
      <c r="G93" s="15"/>
      <c r="H93" s="8"/>
      <c r="I93" t="s">
        <v>1</v>
      </c>
      <c r="J93" s="2" t="s">
        <v>2</v>
      </c>
      <c r="K93" t="s">
        <v>50</v>
      </c>
      <c r="L93"/>
      <c r="M93"/>
      <c r="N93" s="15"/>
      <c r="O93" s="8"/>
      <c r="P93" t="s">
        <v>1</v>
      </c>
      <c r="Q93" s="2" t="s">
        <v>2</v>
      </c>
      <c r="R93" t="s">
        <v>51</v>
      </c>
      <c r="S93"/>
      <c r="T93"/>
      <c r="U93" s="15"/>
    </row>
    <row r="94" spans="1:21">
      <c r="A94" s="8"/>
      <c r="B94" t="s">
        <v>6</v>
      </c>
      <c r="C94" s="2" t="s">
        <v>2</v>
      </c>
      <c r="D94" t="s">
        <v>52</v>
      </c>
      <c r="E94"/>
      <c r="F94"/>
      <c r="G94" s="15"/>
      <c r="H94" s="8"/>
      <c r="I94" t="s">
        <v>6</v>
      </c>
      <c r="J94" s="2" t="s">
        <v>2</v>
      </c>
      <c r="K94" t="s">
        <v>53</v>
      </c>
      <c r="L94"/>
      <c r="M94"/>
      <c r="N94" s="15"/>
      <c r="O94" s="8"/>
      <c r="P94" t="s">
        <v>6</v>
      </c>
      <c r="Q94" s="2" t="s">
        <v>2</v>
      </c>
      <c r="R94" t="s">
        <v>54</v>
      </c>
      <c r="S94"/>
      <c r="T94"/>
      <c r="U94" s="15"/>
    </row>
    <row r="95" spans="1:21">
      <c r="A95" s="8"/>
      <c r="B95" t="s">
        <v>10</v>
      </c>
      <c r="C95" s="2" t="s">
        <v>2</v>
      </c>
      <c r="D95" t="s">
        <v>48</v>
      </c>
      <c r="E95"/>
      <c r="F95"/>
      <c r="G95" s="15"/>
      <c r="H95" s="8"/>
      <c r="I95" t="s">
        <v>10</v>
      </c>
      <c r="J95" s="2" t="s">
        <v>2</v>
      </c>
      <c r="K95" t="s">
        <v>48</v>
      </c>
      <c r="L95"/>
      <c r="M95"/>
      <c r="N95" s="15"/>
      <c r="O95" s="8"/>
      <c r="P95" t="s">
        <v>10</v>
      </c>
      <c r="Q95" s="2" t="s">
        <v>2</v>
      </c>
      <c r="R95" t="s">
        <v>48</v>
      </c>
      <c r="S95"/>
      <c r="T95"/>
      <c r="U95" s="15"/>
    </row>
    <row r="96" spans="1:21">
      <c r="A96" s="8"/>
      <c r="B96" t="s">
        <v>12</v>
      </c>
      <c r="C96" s="2" t="s">
        <v>2</v>
      </c>
      <c r="D96" t="s">
        <v>13</v>
      </c>
      <c r="E96"/>
      <c r="F96"/>
      <c r="G96" s="15"/>
      <c r="H96" s="8"/>
      <c r="I96" t="s">
        <v>12</v>
      </c>
      <c r="J96" s="2" t="s">
        <v>2</v>
      </c>
      <c r="K96" t="s">
        <v>13</v>
      </c>
      <c r="L96"/>
      <c r="M96"/>
      <c r="N96" s="15"/>
      <c r="O96" s="8"/>
      <c r="P96" t="s">
        <v>12</v>
      </c>
      <c r="Q96" s="2" t="s">
        <v>2</v>
      </c>
      <c r="R96" t="s">
        <v>13</v>
      </c>
      <c r="S96"/>
      <c r="T96"/>
      <c r="U96" s="15"/>
    </row>
    <row r="97" spans="1:21">
      <c r="A97" s="8"/>
      <c r="B97" s="3" t="s">
        <v>14</v>
      </c>
      <c r="C97" s="4" t="s">
        <v>2</v>
      </c>
      <c r="D97" s="3" t="s">
        <v>15</v>
      </c>
      <c r="E97" s="3"/>
      <c r="F97" s="3"/>
      <c r="G97" s="15"/>
      <c r="H97" s="8"/>
      <c r="I97" s="3" t="s">
        <v>14</v>
      </c>
      <c r="J97" s="4" t="s">
        <v>2</v>
      </c>
      <c r="K97" s="3" t="s">
        <v>15</v>
      </c>
      <c r="L97" s="3"/>
      <c r="M97" s="3"/>
      <c r="N97" s="15"/>
      <c r="O97" s="8"/>
      <c r="P97" s="3" t="s">
        <v>14</v>
      </c>
      <c r="Q97" s="4" t="s">
        <v>2</v>
      </c>
      <c r="R97" s="3" t="s">
        <v>15</v>
      </c>
      <c r="S97" s="3"/>
      <c r="T97" s="3"/>
      <c r="U97" s="15"/>
    </row>
    <row r="98" spans="1:21">
      <c r="A98" s="8"/>
      <c r="B98" t="s">
        <v>16</v>
      </c>
      <c r="C98"/>
      <c r="D98"/>
      <c r="E98" s="2" t="s">
        <v>2</v>
      </c>
      <c r="F98" s="5">
        <v>4336000</v>
      </c>
      <c r="G98" s="15"/>
      <c r="H98" s="8"/>
      <c r="I98" t="s">
        <v>16</v>
      </c>
      <c r="J98"/>
      <c r="K98"/>
      <c r="L98" s="2" t="s">
        <v>2</v>
      </c>
      <c r="M98" s="5">
        <v>3595000</v>
      </c>
      <c r="N98" s="15"/>
      <c r="O98" s="8"/>
      <c r="P98" t="s">
        <v>16</v>
      </c>
      <c r="Q98"/>
      <c r="R98"/>
      <c r="S98" s="2" t="s">
        <v>2</v>
      </c>
      <c r="T98" s="5">
        <v>3595000</v>
      </c>
      <c r="U98" s="15"/>
    </row>
    <row r="99" spans="1:21">
      <c r="A99" s="8"/>
      <c r="B99" t="s">
        <v>17</v>
      </c>
      <c r="C99"/>
      <c r="D99"/>
      <c r="E99" s="2" t="s">
        <v>2</v>
      </c>
      <c r="F99" s="5">
        <v>200000</v>
      </c>
      <c r="G99" s="15"/>
      <c r="H99" s="8"/>
      <c r="I99" t="s">
        <v>17</v>
      </c>
      <c r="J99"/>
      <c r="K99"/>
      <c r="L99" s="2" t="s">
        <v>2</v>
      </c>
      <c r="M99" s="5">
        <v>80000</v>
      </c>
      <c r="N99" s="15"/>
      <c r="O99" s="8"/>
      <c r="P99" t="s">
        <v>17</v>
      </c>
      <c r="Q99"/>
      <c r="R99"/>
      <c r="S99" s="2" t="s">
        <v>2</v>
      </c>
      <c r="T99" s="5">
        <v>50000</v>
      </c>
      <c r="U99" s="15"/>
    </row>
    <row r="100" spans="1:21">
      <c r="A100" s="8"/>
      <c r="B100" t="s">
        <v>18</v>
      </c>
      <c r="C100"/>
      <c r="D100"/>
      <c r="E100" s="2" t="s">
        <v>2</v>
      </c>
      <c r="F100" s="5">
        <v>0</v>
      </c>
      <c r="G100" s="15"/>
      <c r="H100" s="8"/>
      <c r="I100" t="s">
        <v>18</v>
      </c>
      <c r="J100"/>
      <c r="K100"/>
      <c r="L100" s="2" t="s">
        <v>2</v>
      </c>
      <c r="M100" s="5">
        <v>0</v>
      </c>
      <c r="N100" s="15"/>
      <c r="O100" s="8"/>
      <c r="P100" t="s">
        <v>18</v>
      </c>
      <c r="Q100"/>
      <c r="R100"/>
      <c r="S100" s="2" t="s">
        <v>2</v>
      </c>
      <c r="T100" s="5">
        <v>0</v>
      </c>
      <c r="U100" s="15"/>
    </row>
    <row r="101" spans="1:21">
      <c r="A101" s="8"/>
      <c r="B101" t="s">
        <v>19</v>
      </c>
      <c r="C101"/>
      <c r="D101"/>
      <c r="E101" s="2" t="s">
        <v>2</v>
      </c>
      <c r="F101" s="5">
        <v>0</v>
      </c>
      <c r="G101" s="15"/>
      <c r="H101" s="8"/>
      <c r="I101" t="s">
        <v>19</v>
      </c>
      <c r="J101"/>
      <c r="K101"/>
      <c r="L101" s="2" t="s">
        <v>2</v>
      </c>
      <c r="M101" s="5">
        <v>0</v>
      </c>
      <c r="N101" s="15"/>
      <c r="O101" s="8"/>
      <c r="P101" t="s">
        <v>19</v>
      </c>
      <c r="Q101"/>
      <c r="R101"/>
      <c r="S101" s="2" t="s">
        <v>2</v>
      </c>
      <c r="T101" s="5">
        <v>0</v>
      </c>
      <c r="U101" s="15"/>
    </row>
    <row r="102" spans="1:21">
      <c r="A102" s="8"/>
      <c r="B102"/>
      <c r="C102"/>
      <c r="D102"/>
      <c r="E102"/>
      <c r="F102"/>
      <c r="G102" s="15"/>
      <c r="H102" s="8"/>
      <c r="I102"/>
      <c r="J102"/>
      <c r="K102"/>
      <c r="L102"/>
      <c r="M102"/>
      <c r="N102" s="15"/>
      <c r="O102" s="8"/>
      <c r="P102"/>
      <c r="Q102"/>
      <c r="R102"/>
      <c r="S102"/>
      <c r="T102"/>
      <c r="U102" s="15"/>
    </row>
    <row r="103" spans="1:21">
      <c r="A103" s="8"/>
      <c r="B103" s="2" t="s">
        <v>20</v>
      </c>
      <c r="C103"/>
      <c r="D103"/>
      <c r="E103"/>
      <c r="F103"/>
      <c r="G103" s="15"/>
      <c r="H103" s="8"/>
      <c r="I103" s="2" t="s">
        <v>20</v>
      </c>
      <c r="J103"/>
      <c r="K103"/>
      <c r="L103"/>
      <c r="M103"/>
      <c r="N103" s="15"/>
      <c r="O103" s="8"/>
      <c r="P103" s="2" t="s">
        <v>20</v>
      </c>
      <c r="Q103"/>
      <c r="R103"/>
      <c r="S103"/>
      <c r="T103"/>
      <c r="U103" s="15"/>
    </row>
    <row r="104" spans="1:21">
      <c r="A104" s="8"/>
      <c r="B104" t="s">
        <v>21</v>
      </c>
      <c r="C104"/>
      <c r="D104"/>
      <c r="E104" s="2" t="s">
        <v>2</v>
      </c>
      <c r="F104" s="5">
        <v>1734400</v>
      </c>
      <c r="G104" s="15"/>
      <c r="H104" s="8"/>
      <c r="I104" t="s">
        <v>21</v>
      </c>
      <c r="J104"/>
      <c r="K104"/>
      <c r="L104" s="2" t="s">
        <v>2</v>
      </c>
      <c r="M104" s="5">
        <v>1509900</v>
      </c>
      <c r="N104" s="15"/>
      <c r="O104" s="8"/>
      <c r="P104" t="s">
        <v>21</v>
      </c>
      <c r="Q104"/>
      <c r="R104"/>
      <c r="S104" s="2" t="s">
        <v>2</v>
      </c>
      <c r="T104" s="5">
        <v>1438000</v>
      </c>
      <c r="U104" s="15"/>
    </row>
    <row r="105" spans="1:21">
      <c r="A105" s="8"/>
      <c r="B105" t="s">
        <v>22</v>
      </c>
      <c r="C105"/>
      <c r="D105"/>
      <c r="E105" s="2" t="s">
        <v>2</v>
      </c>
      <c r="F105" s="5">
        <v>130080</v>
      </c>
      <c r="G105" s="15"/>
      <c r="H105" s="8"/>
      <c r="I105" t="s">
        <v>22</v>
      </c>
      <c r="J105"/>
      <c r="K105"/>
      <c r="L105" s="2" t="s">
        <v>2</v>
      </c>
      <c r="M105" s="5">
        <v>107850</v>
      </c>
      <c r="N105" s="15"/>
      <c r="O105" s="8"/>
      <c r="P105" t="s">
        <v>22</v>
      </c>
      <c r="Q105"/>
      <c r="R105"/>
      <c r="S105" s="2" t="s">
        <v>2</v>
      </c>
      <c r="T105" s="5">
        <v>107850</v>
      </c>
      <c r="U105" s="15"/>
    </row>
    <row r="106" spans="1:21">
      <c r="A106" s="8"/>
      <c r="B106" s="3" t="s">
        <v>23</v>
      </c>
      <c r="C106" s="3"/>
      <c r="D106" s="3"/>
      <c r="E106" s="4" t="s">
        <v>2</v>
      </c>
      <c r="F106" s="6">
        <v>43360</v>
      </c>
      <c r="G106" s="15"/>
      <c r="H106" s="8"/>
      <c r="I106" s="3" t="s">
        <v>23</v>
      </c>
      <c r="J106" s="3"/>
      <c r="K106" s="3"/>
      <c r="L106" s="4" t="s">
        <v>2</v>
      </c>
      <c r="M106" s="6">
        <v>35745</v>
      </c>
      <c r="N106" s="15"/>
      <c r="O106" s="8"/>
      <c r="P106" s="3" t="s">
        <v>23</v>
      </c>
      <c r="Q106" s="3"/>
      <c r="R106" s="3"/>
      <c r="S106" s="4" t="s">
        <v>2</v>
      </c>
      <c r="T106" s="6">
        <v>35745</v>
      </c>
      <c r="U106" s="15"/>
    </row>
    <row r="107" spans="1:21">
      <c r="A107" s="8"/>
      <c r="B107" t="s">
        <v>24</v>
      </c>
      <c r="C107"/>
      <c r="D107"/>
      <c r="E107" s="2" t="s">
        <v>2</v>
      </c>
      <c r="F107" s="5" t="str">
        <f>sum(f104:f106)</f>
        <v>0</v>
      </c>
      <c r="G107" s="15"/>
      <c r="H107" s="8"/>
      <c r="I107" t="s">
        <v>24</v>
      </c>
      <c r="J107"/>
      <c r="K107"/>
      <c r="L107" s="2" t="s">
        <v>2</v>
      </c>
      <c r="M107" s="5" t="str">
        <f>sum(m104:m106)</f>
        <v>0</v>
      </c>
      <c r="N107" s="15"/>
      <c r="O107" s="8"/>
      <c r="P107" t="s">
        <v>24</v>
      </c>
      <c r="Q107"/>
      <c r="R107"/>
      <c r="S107" s="2" t="s">
        <v>2</v>
      </c>
      <c r="T107" s="5" t="str">
        <f>sum(t104:t106)</f>
        <v>0</v>
      </c>
      <c r="U107" s="15"/>
    </row>
    <row r="108" spans="1:21">
      <c r="A108" s="9"/>
      <c r="B108" s="11" t="s">
        <v>25</v>
      </c>
      <c r="C108" s="11"/>
      <c r="D108" s="11"/>
      <c r="E108" s="12" t="s">
        <v>2</v>
      </c>
      <c r="F108" s="13" t="str">
        <f>sum(f98:f101)-f107</f>
        <v>0</v>
      </c>
      <c r="G108" s="16"/>
      <c r="H108" s="9"/>
      <c r="I108" s="11" t="s">
        <v>25</v>
      </c>
      <c r="J108" s="11"/>
      <c r="K108" s="11"/>
      <c r="L108" s="12" t="s">
        <v>2</v>
      </c>
      <c r="M108" s="13" t="str">
        <f>sum(m98:m101)-m107</f>
        <v>0</v>
      </c>
      <c r="N108" s="16"/>
      <c r="O108" s="9"/>
      <c r="P108" s="11" t="s">
        <v>25</v>
      </c>
      <c r="Q108" s="11"/>
      <c r="R108" s="11"/>
      <c r="S108" s="12" t="s">
        <v>2</v>
      </c>
      <c r="T108" s="13" t="str">
        <f>sum(t98:t101)-t107</f>
        <v>0</v>
      </c>
      <c r="U108" s="16"/>
    </row>
    <row r="109" spans="1:21">
      <c r="A109" s="7"/>
      <c r="B109" s="10"/>
      <c r="C109" s="10"/>
      <c r="D109" s="10"/>
      <c r="E109" s="10"/>
      <c r="F109" s="10"/>
      <c r="G109" s="14"/>
      <c r="H109" s="7"/>
      <c r="I109" s="10"/>
      <c r="J109" s="10"/>
      <c r="K109" s="10"/>
      <c r="L109" s="10"/>
      <c r="M109" s="10"/>
      <c r="N109" s="14"/>
      <c r="O109" s="7"/>
      <c r="P109" s="10"/>
      <c r="Q109" s="10"/>
      <c r="R109" s="10"/>
      <c r="S109" s="10"/>
      <c r="T109" s="10"/>
      <c r="U109" s="14"/>
    </row>
    <row r="110" spans="1:21">
      <c r="A110" s="8"/>
      <c r="B110" s="1" t="s">
        <v>0</v>
      </c>
      <c r="C110"/>
      <c r="D110"/>
      <c r="E110"/>
      <c r="F110"/>
      <c r="G110" s="15"/>
      <c r="H110" s="8"/>
      <c r="I110" s="1" t="s">
        <v>0</v>
      </c>
      <c r="J110"/>
      <c r="K110"/>
      <c r="L110"/>
      <c r="M110"/>
      <c r="N110" s="15"/>
      <c r="O110" s="8"/>
      <c r="P110" s="1" t="s">
        <v>0</v>
      </c>
      <c r="Q110"/>
      <c r="R110"/>
      <c r="S110"/>
      <c r="T110"/>
      <c r="U110" s="15"/>
    </row>
    <row r="111" spans="1:21">
      <c r="A111" s="8"/>
      <c r="B111" t="s">
        <v>1</v>
      </c>
      <c r="C111" s="2" t="s">
        <v>2</v>
      </c>
      <c r="D111" t="s">
        <v>55</v>
      </c>
      <c r="E111"/>
      <c r="F111"/>
      <c r="G111" s="15"/>
      <c r="H111" s="8"/>
      <c r="I111" t="s">
        <v>1</v>
      </c>
      <c r="J111" s="2" t="s">
        <v>2</v>
      </c>
      <c r="K111" t="s">
        <v>56</v>
      </c>
      <c r="L111"/>
      <c r="M111"/>
      <c r="N111" s="15"/>
      <c r="O111" s="8"/>
      <c r="P111" t="s">
        <v>1</v>
      </c>
      <c r="Q111" s="2" t="s">
        <v>2</v>
      </c>
      <c r="R111" t="s">
        <v>57</v>
      </c>
      <c r="S111"/>
      <c r="T111"/>
      <c r="U111" s="15"/>
    </row>
    <row r="112" spans="1:21">
      <c r="A112" s="8"/>
      <c r="B112" t="s">
        <v>6</v>
      </c>
      <c r="C112" s="2" t="s">
        <v>2</v>
      </c>
      <c r="D112" t="s">
        <v>58</v>
      </c>
      <c r="E112"/>
      <c r="F112"/>
      <c r="G112" s="15"/>
      <c r="H112" s="8"/>
      <c r="I112" t="s">
        <v>6</v>
      </c>
      <c r="J112" s="2" t="s">
        <v>2</v>
      </c>
      <c r="K112">
        <v>3030</v>
      </c>
      <c r="L112"/>
      <c r="M112"/>
      <c r="N112" s="15"/>
      <c r="O112" s="8"/>
      <c r="P112" t="s">
        <v>6</v>
      </c>
      <c r="Q112" s="2" t="s">
        <v>2</v>
      </c>
      <c r="R112" t="s">
        <v>59</v>
      </c>
      <c r="S112"/>
      <c r="T112"/>
      <c r="U112" s="15"/>
    </row>
    <row r="113" spans="1:21">
      <c r="A113" s="8"/>
      <c r="B113" t="s">
        <v>10</v>
      </c>
      <c r="C113" s="2" t="s">
        <v>2</v>
      </c>
      <c r="D113" t="s">
        <v>48</v>
      </c>
      <c r="E113"/>
      <c r="F113"/>
      <c r="G113" s="15"/>
      <c r="H113" s="8"/>
      <c r="I113" t="s">
        <v>10</v>
      </c>
      <c r="J113" s="2" t="s">
        <v>2</v>
      </c>
      <c r="K113" t="s">
        <v>48</v>
      </c>
      <c r="L113"/>
      <c r="M113"/>
      <c r="N113" s="15"/>
      <c r="O113" s="8"/>
      <c r="P113" t="s">
        <v>10</v>
      </c>
      <c r="Q113" s="2" t="s">
        <v>2</v>
      </c>
      <c r="R113" t="s">
        <v>60</v>
      </c>
      <c r="S113"/>
      <c r="T113"/>
      <c r="U113" s="15"/>
    </row>
    <row r="114" spans="1:21">
      <c r="A114" s="8"/>
      <c r="B114" t="s">
        <v>12</v>
      </c>
      <c r="C114" s="2" t="s">
        <v>2</v>
      </c>
      <c r="D114" t="s">
        <v>13</v>
      </c>
      <c r="E114"/>
      <c r="F114"/>
      <c r="G114" s="15"/>
      <c r="H114" s="8"/>
      <c r="I114" t="s">
        <v>12</v>
      </c>
      <c r="J114" s="2" t="s">
        <v>2</v>
      </c>
      <c r="K114" t="s">
        <v>13</v>
      </c>
      <c r="L114"/>
      <c r="M114"/>
      <c r="N114" s="15"/>
      <c r="O114" s="8"/>
      <c r="P114" t="s">
        <v>12</v>
      </c>
      <c r="Q114" s="2" t="s">
        <v>2</v>
      </c>
      <c r="R114" t="s">
        <v>13</v>
      </c>
      <c r="S114"/>
      <c r="T114"/>
      <c r="U114" s="15"/>
    </row>
    <row r="115" spans="1:21">
      <c r="A115" s="8"/>
      <c r="B115" s="3" t="s">
        <v>14</v>
      </c>
      <c r="C115" s="4" t="s">
        <v>2</v>
      </c>
      <c r="D115" s="3" t="s">
        <v>15</v>
      </c>
      <c r="E115" s="3"/>
      <c r="F115" s="3"/>
      <c r="G115" s="15"/>
      <c r="H115" s="8"/>
      <c r="I115" s="3" t="s">
        <v>14</v>
      </c>
      <c r="J115" s="4" t="s">
        <v>2</v>
      </c>
      <c r="K115" s="3" t="s">
        <v>15</v>
      </c>
      <c r="L115" s="3"/>
      <c r="M115" s="3"/>
      <c r="N115" s="15"/>
      <c r="O115" s="8"/>
      <c r="P115" s="3" t="s">
        <v>14</v>
      </c>
      <c r="Q115" s="4" t="s">
        <v>2</v>
      </c>
      <c r="R115" s="3" t="s">
        <v>15</v>
      </c>
      <c r="S115" s="3"/>
      <c r="T115" s="3"/>
      <c r="U115" s="15"/>
    </row>
    <row r="116" spans="1:21">
      <c r="A116" s="8"/>
      <c r="B116" t="s">
        <v>16</v>
      </c>
      <c r="C116"/>
      <c r="D116"/>
      <c r="E116" s="2" t="s">
        <v>2</v>
      </c>
      <c r="F116" s="5">
        <v>3594000</v>
      </c>
      <c r="G116" s="15"/>
      <c r="H116" s="8"/>
      <c r="I116" t="s">
        <v>16</v>
      </c>
      <c r="J116"/>
      <c r="K116"/>
      <c r="L116" s="2" t="s">
        <v>2</v>
      </c>
      <c r="M116" s="5">
        <v>3574500</v>
      </c>
      <c r="N116" s="15"/>
      <c r="O116" s="8"/>
      <c r="P116" t="s">
        <v>16</v>
      </c>
      <c r="Q116"/>
      <c r="R116"/>
      <c r="S116" s="2" t="s">
        <v>2</v>
      </c>
      <c r="T116" s="5">
        <v>3593000</v>
      </c>
      <c r="U116" s="15"/>
    </row>
    <row r="117" spans="1:21">
      <c r="A117" s="8"/>
      <c r="B117" t="s">
        <v>17</v>
      </c>
      <c r="C117"/>
      <c r="D117"/>
      <c r="E117" s="2" t="s">
        <v>2</v>
      </c>
      <c r="F117" s="5">
        <v>50000</v>
      </c>
      <c r="G117" s="15"/>
      <c r="H117" s="8"/>
      <c r="I117" t="s">
        <v>17</v>
      </c>
      <c r="J117"/>
      <c r="K117"/>
      <c r="L117" s="2" t="s">
        <v>2</v>
      </c>
      <c r="M117" s="5">
        <v>0</v>
      </c>
      <c r="N117" s="15"/>
      <c r="O117" s="8"/>
      <c r="P117" t="s">
        <v>17</v>
      </c>
      <c r="Q117"/>
      <c r="R117"/>
      <c r="S117" s="2" t="s">
        <v>2</v>
      </c>
      <c r="T117" s="5">
        <v>60000</v>
      </c>
      <c r="U117" s="15"/>
    </row>
    <row r="118" spans="1:21">
      <c r="A118" s="8"/>
      <c r="B118" t="s">
        <v>18</v>
      </c>
      <c r="C118"/>
      <c r="D118"/>
      <c r="E118" s="2" t="s">
        <v>2</v>
      </c>
      <c r="F118" s="5">
        <v>0</v>
      </c>
      <c r="G118" s="15"/>
      <c r="H118" s="8"/>
      <c r="I118" t="s">
        <v>18</v>
      </c>
      <c r="J118"/>
      <c r="K118"/>
      <c r="L118" s="2" t="s">
        <v>2</v>
      </c>
      <c r="M118" s="5">
        <v>0</v>
      </c>
      <c r="N118" s="15"/>
      <c r="O118" s="8"/>
      <c r="P118" t="s">
        <v>18</v>
      </c>
      <c r="Q118"/>
      <c r="R118"/>
      <c r="S118" s="2" t="s">
        <v>2</v>
      </c>
      <c r="T118" s="5">
        <v>0</v>
      </c>
      <c r="U118" s="15"/>
    </row>
    <row r="119" spans="1:21">
      <c r="A119" s="8"/>
      <c r="B119" t="s">
        <v>19</v>
      </c>
      <c r="C119"/>
      <c r="D119"/>
      <c r="E119" s="2" t="s">
        <v>2</v>
      </c>
      <c r="F119" s="5">
        <v>0</v>
      </c>
      <c r="G119" s="15"/>
      <c r="H119" s="8"/>
      <c r="I119" t="s">
        <v>19</v>
      </c>
      <c r="J119"/>
      <c r="K119"/>
      <c r="L119" s="2" t="s">
        <v>2</v>
      </c>
      <c r="M119" s="5">
        <v>0</v>
      </c>
      <c r="N119" s="15"/>
      <c r="O119" s="8"/>
      <c r="P119" t="s">
        <v>19</v>
      </c>
      <c r="Q119"/>
      <c r="R119"/>
      <c r="S119" s="2" t="s">
        <v>2</v>
      </c>
      <c r="T119" s="5">
        <v>0</v>
      </c>
      <c r="U119" s="15"/>
    </row>
    <row r="120" spans="1:21">
      <c r="A120" s="8"/>
      <c r="B120"/>
      <c r="C120"/>
      <c r="D120"/>
      <c r="E120"/>
      <c r="F120"/>
      <c r="G120" s="15"/>
      <c r="H120" s="8"/>
      <c r="I120"/>
      <c r="J120"/>
      <c r="K120"/>
      <c r="L120"/>
      <c r="M120"/>
      <c r="N120" s="15"/>
      <c r="O120" s="8"/>
      <c r="P120"/>
      <c r="Q120"/>
      <c r="R120"/>
      <c r="S120"/>
      <c r="T120"/>
      <c r="U120" s="15"/>
    </row>
    <row r="121" spans="1:21">
      <c r="A121" s="8"/>
      <c r="B121" s="2" t="s">
        <v>20</v>
      </c>
      <c r="C121"/>
      <c r="D121"/>
      <c r="E121"/>
      <c r="F121"/>
      <c r="G121" s="15"/>
      <c r="H121" s="8"/>
      <c r="I121" s="2" t="s">
        <v>20</v>
      </c>
      <c r="J121"/>
      <c r="K121"/>
      <c r="L121"/>
      <c r="M121"/>
      <c r="N121" s="15"/>
      <c r="O121" s="8"/>
      <c r="P121" s="2" t="s">
        <v>20</v>
      </c>
      <c r="Q121"/>
      <c r="R121"/>
      <c r="S121"/>
      <c r="T121"/>
      <c r="U121" s="15"/>
    </row>
    <row r="122" spans="1:21">
      <c r="A122" s="8"/>
      <c r="B122" t="s">
        <v>21</v>
      </c>
      <c r="C122"/>
      <c r="D122"/>
      <c r="E122" s="2" t="s">
        <v>2</v>
      </c>
      <c r="F122" s="5">
        <v>1868880</v>
      </c>
      <c r="G122" s="15"/>
      <c r="H122" s="8"/>
      <c r="I122" t="s">
        <v>21</v>
      </c>
      <c r="J122"/>
      <c r="K122"/>
      <c r="L122" s="2" t="s">
        <v>2</v>
      </c>
      <c r="M122" s="5">
        <v>1715760</v>
      </c>
      <c r="N122" s="15"/>
      <c r="O122" s="8"/>
      <c r="P122" t="s">
        <v>21</v>
      </c>
      <c r="Q122"/>
      <c r="R122"/>
      <c r="S122" s="2" t="s">
        <v>2</v>
      </c>
      <c r="T122" s="5">
        <v>0</v>
      </c>
      <c r="U122" s="15"/>
    </row>
    <row r="123" spans="1:21">
      <c r="A123" s="8"/>
      <c r="B123" t="s">
        <v>22</v>
      </c>
      <c r="C123"/>
      <c r="D123"/>
      <c r="E123" s="2" t="s">
        <v>2</v>
      </c>
      <c r="F123" s="5">
        <v>107820</v>
      </c>
      <c r="G123" s="15"/>
      <c r="H123" s="8"/>
      <c r="I123" t="s">
        <v>22</v>
      </c>
      <c r="J123"/>
      <c r="K123"/>
      <c r="L123" s="2" t="s">
        <v>2</v>
      </c>
      <c r="M123" s="5">
        <v>0</v>
      </c>
      <c r="N123" s="15"/>
      <c r="O123" s="8"/>
      <c r="P123" t="s">
        <v>22</v>
      </c>
      <c r="Q123"/>
      <c r="R123"/>
      <c r="S123" s="2" t="s">
        <v>2</v>
      </c>
      <c r="T123" s="5">
        <v>107790</v>
      </c>
      <c r="U123" s="15"/>
    </row>
    <row r="124" spans="1:21">
      <c r="A124" s="8"/>
      <c r="B124" s="3" t="s">
        <v>23</v>
      </c>
      <c r="C124" s="3"/>
      <c r="D124" s="3"/>
      <c r="E124" s="4" t="s">
        <v>2</v>
      </c>
      <c r="F124" s="6">
        <v>35745</v>
      </c>
      <c r="G124" s="15"/>
      <c r="H124" s="8"/>
      <c r="I124" s="3" t="s">
        <v>23</v>
      </c>
      <c r="J124" s="3"/>
      <c r="K124" s="3"/>
      <c r="L124" s="4" t="s">
        <v>2</v>
      </c>
      <c r="M124" s="6">
        <v>0</v>
      </c>
      <c r="N124" s="15"/>
      <c r="O124" s="8"/>
      <c r="P124" s="3" t="s">
        <v>23</v>
      </c>
      <c r="Q124" s="3"/>
      <c r="R124" s="3"/>
      <c r="S124" s="4" t="s">
        <v>2</v>
      </c>
      <c r="T124" s="6">
        <v>35745</v>
      </c>
      <c r="U124" s="15"/>
    </row>
    <row r="125" spans="1:21">
      <c r="A125" s="8"/>
      <c r="B125" t="s">
        <v>24</v>
      </c>
      <c r="C125"/>
      <c r="D125"/>
      <c r="E125" s="2" t="s">
        <v>2</v>
      </c>
      <c r="F125" s="5" t="str">
        <f>sum(f122:f124)</f>
        <v>0</v>
      </c>
      <c r="G125" s="15"/>
      <c r="H125" s="8"/>
      <c r="I125" t="s">
        <v>24</v>
      </c>
      <c r="J125"/>
      <c r="K125"/>
      <c r="L125" s="2" t="s">
        <v>2</v>
      </c>
      <c r="M125" s="5" t="str">
        <f>sum(m122:m124)</f>
        <v>0</v>
      </c>
      <c r="N125" s="15"/>
      <c r="O125" s="8"/>
      <c r="P125" t="s">
        <v>24</v>
      </c>
      <c r="Q125"/>
      <c r="R125"/>
      <c r="S125" s="2" t="s">
        <v>2</v>
      </c>
      <c r="T125" s="5" t="str">
        <f>sum(t122:t124)</f>
        <v>0</v>
      </c>
      <c r="U125" s="15"/>
    </row>
    <row r="126" spans="1:21">
      <c r="A126" s="9"/>
      <c r="B126" s="11" t="s">
        <v>25</v>
      </c>
      <c r="C126" s="11"/>
      <c r="D126" s="11"/>
      <c r="E126" s="12" t="s">
        <v>2</v>
      </c>
      <c r="F126" s="13" t="str">
        <f>sum(f116:f119)-f125</f>
        <v>0</v>
      </c>
      <c r="G126" s="16"/>
      <c r="H126" s="9"/>
      <c r="I126" s="11" t="s">
        <v>25</v>
      </c>
      <c r="J126" s="11"/>
      <c r="K126" s="11"/>
      <c r="L126" s="12" t="s">
        <v>2</v>
      </c>
      <c r="M126" s="13" t="str">
        <f>sum(m116:m119)-m125</f>
        <v>0</v>
      </c>
      <c r="N126" s="16"/>
      <c r="O126" s="9"/>
      <c r="P126" s="11" t="s">
        <v>25</v>
      </c>
      <c r="Q126" s="11"/>
      <c r="R126" s="11"/>
      <c r="S126" s="12" t="s">
        <v>2</v>
      </c>
      <c r="T126" s="13" t="str">
        <f>sum(t116:t119)-t125</f>
        <v>0</v>
      </c>
      <c r="U126" s="16"/>
    </row>
    <row r="127" spans="1:21">
      <c r="A127" s="7"/>
      <c r="B127" s="10"/>
      <c r="C127" s="10"/>
      <c r="D127" s="10"/>
      <c r="E127" s="10"/>
      <c r="F127" s="10"/>
      <c r="G127" s="14"/>
      <c r="H127" s="7"/>
      <c r="I127" s="10"/>
      <c r="J127" s="10"/>
      <c r="K127" s="10"/>
      <c r="L127" s="10"/>
      <c r="M127" s="10"/>
      <c r="N127" s="14"/>
      <c r="O127" s="7"/>
      <c r="P127" s="10"/>
      <c r="Q127" s="10"/>
      <c r="R127" s="10"/>
      <c r="S127" s="10"/>
      <c r="T127" s="10"/>
      <c r="U127" s="14"/>
    </row>
    <row r="128" spans="1:21">
      <c r="A128" s="8"/>
      <c r="B128" s="1" t="s">
        <v>0</v>
      </c>
      <c r="C128"/>
      <c r="D128"/>
      <c r="E128"/>
      <c r="F128"/>
      <c r="G128" s="15"/>
      <c r="H128" s="8"/>
      <c r="I128" s="1" t="s">
        <v>0</v>
      </c>
      <c r="J128"/>
      <c r="K128"/>
      <c r="L128"/>
      <c r="M128"/>
      <c r="N128" s="15"/>
      <c r="O128" s="8"/>
      <c r="P128" s="1" t="s">
        <v>0</v>
      </c>
      <c r="Q128"/>
      <c r="R128"/>
      <c r="S128"/>
      <c r="T128"/>
      <c r="U128" s="15"/>
    </row>
    <row r="129" spans="1:21">
      <c r="A129" s="8"/>
      <c r="B129" t="s">
        <v>1</v>
      </c>
      <c r="C129" s="2" t="s">
        <v>2</v>
      </c>
      <c r="D129" t="s">
        <v>61</v>
      </c>
      <c r="E129"/>
      <c r="F129"/>
      <c r="G129" s="15"/>
      <c r="H129" s="8"/>
      <c r="I129" t="s">
        <v>1</v>
      </c>
      <c r="J129" s="2" t="s">
        <v>2</v>
      </c>
      <c r="K129" t="s">
        <v>62</v>
      </c>
      <c r="L129"/>
      <c r="M129"/>
      <c r="N129" s="15"/>
      <c r="O129" s="8"/>
      <c r="P129" t="s">
        <v>1</v>
      </c>
      <c r="Q129" s="2" t="s">
        <v>2</v>
      </c>
      <c r="R129" t="s">
        <v>63</v>
      </c>
      <c r="S129"/>
      <c r="T129"/>
      <c r="U129" s="15"/>
    </row>
    <row r="130" spans="1:21">
      <c r="A130" s="8"/>
      <c r="B130" t="s">
        <v>6</v>
      </c>
      <c r="C130" s="2" t="s">
        <v>2</v>
      </c>
      <c r="D130" t="s">
        <v>64</v>
      </c>
      <c r="E130"/>
      <c r="F130"/>
      <c r="G130" s="15"/>
      <c r="H130" s="8"/>
      <c r="I130" t="s">
        <v>6</v>
      </c>
      <c r="J130" s="2" t="s">
        <v>2</v>
      </c>
      <c r="K130" t="s">
        <v>65</v>
      </c>
      <c r="L130"/>
      <c r="M130"/>
      <c r="N130" s="15"/>
      <c r="O130" s="8"/>
      <c r="P130" t="s">
        <v>6</v>
      </c>
      <c r="Q130" s="2" t="s">
        <v>2</v>
      </c>
      <c r="R130" t="s">
        <v>66</v>
      </c>
      <c r="S130"/>
      <c r="T130"/>
      <c r="U130" s="15"/>
    </row>
    <row r="131" spans="1:21">
      <c r="A131" s="8"/>
      <c r="B131" t="s">
        <v>10</v>
      </c>
      <c r="C131" s="2" t="s">
        <v>2</v>
      </c>
      <c r="D131" t="s">
        <v>60</v>
      </c>
      <c r="E131"/>
      <c r="F131"/>
      <c r="G131" s="15"/>
      <c r="H131" s="8"/>
      <c r="I131" t="s">
        <v>10</v>
      </c>
      <c r="J131" s="2" t="s">
        <v>2</v>
      </c>
      <c r="K131" t="s">
        <v>60</v>
      </c>
      <c r="L131"/>
      <c r="M131"/>
      <c r="N131" s="15"/>
      <c r="O131" s="8"/>
      <c r="P131" t="s">
        <v>10</v>
      </c>
      <c r="Q131" s="2" t="s">
        <v>2</v>
      </c>
      <c r="R131" t="s">
        <v>60</v>
      </c>
      <c r="S131"/>
      <c r="T131"/>
      <c r="U131" s="15"/>
    </row>
    <row r="132" spans="1:21">
      <c r="A132" s="8"/>
      <c r="B132" t="s">
        <v>12</v>
      </c>
      <c r="C132" s="2" t="s">
        <v>2</v>
      </c>
      <c r="D132" t="s">
        <v>13</v>
      </c>
      <c r="E132"/>
      <c r="F132"/>
      <c r="G132" s="15"/>
      <c r="H132" s="8"/>
      <c r="I132" t="s">
        <v>12</v>
      </c>
      <c r="J132" s="2" t="s">
        <v>2</v>
      </c>
      <c r="K132" t="s">
        <v>13</v>
      </c>
      <c r="L132"/>
      <c r="M132"/>
      <c r="N132" s="15"/>
      <c r="O132" s="8"/>
      <c r="P132" t="s">
        <v>12</v>
      </c>
      <c r="Q132" s="2" t="s">
        <v>2</v>
      </c>
      <c r="R132" t="s">
        <v>13</v>
      </c>
      <c r="S132"/>
      <c r="T132"/>
      <c r="U132" s="15"/>
    </row>
    <row r="133" spans="1:21">
      <c r="A133" s="8"/>
      <c r="B133" s="3" t="s">
        <v>14</v>
      </c>
      <c r="C133" s="4" t="s">
        <v>2</v>
      </c>
      <c r="D133" s="3" t="s">
        <v>15</v>
      </c>
      <c r="E133" s="3"/>
      <c r="F133" s="3"/>
      <c r="G133" s="15"/>
      <c r="H133" s="8"/>
      <c r="I133" s="3" t="s">
        <v>14</v>
      </c>
      <c r="J133" s="4" t="s">
        <v>2</v>
      </c>
      <c r="K133" s="3" t="s">
        <v>15</v>
      </c>
      <c r="L133" s="3"/>
      <c r="M133" s="3"/>
      <c r="N133" s="15"/>
      <c r="O133" s="8"/>
      <c r="P133" s="3" t="s">
        <v>14</v>
      </c>
      <c r="Q133" s="4" t="s">
        <v>2</v>
      </c>
      <c r="R133" s="3" t="s">
        <v>15</v>
      </c>
      <c r="S133" s="3"/>
      <c r="T133" s="3"/>
      <c r="U133" s="15"/>
    </row>
    <row r="134" spans="1:21">
      <c r="A134" s="8"/>
      <c r="B134" t="s">
        <v>16</v>
      </c>
      <c r="C134"/>
      <c r="D134"/>
      <c r="E134" s="2" t="s">
        <v>2</v>
      </c>
      <c r="F134" s="5">
        <v>3593000</v>
      </c>
      <c r="G134" s="15"/>
      <c r="H134" s="8"/>
      <c r="I134" t="s">
        <v>16</v>
      </c>
      <c r="J134"/>
      <c r="K134"/>
      <c r="L134" s="2" t="s">
        <v>2</v>
      </c>
      <c r="M134" s="5">
        <v>3593000</v>
      </c>
      <c r="N134" s="15"/>
      <c r="O134" s="8"/>
      <c r="P134" t="s">
        <v>16</v>
      </c>
      <c r="Q134"/>
      <c r="R134"/>
      <c r="S134" s="2" t="s">
        <v>2</v>
      </c>
      <c r="T134" s="5">
        <v>3593000</v>
      </c>
      <c r="U134" s="15"/>
    </row>
    <row r="135" spans="1:21">
      <c r="A135" s="8"/>
      <c r="B135" t="s">
        <v>17</v>
      </c>
      <c r="C135"/>
      <c r="D135"/>
      <c r="E135" s="2" t="s">
        <v>2</v>
      </c>
      <c r="F135" s="5">
        <v>60000</v>
      </c>
      <c r="G135" s="15"/>
      <c r="H135" s="8"/>
      <c r="I135" t="s">
        <v>17</v>
      </c>
      <c r="J135"/>
      <c r="K135"/>
      <c r="L135" s="2" t="s">
        <v>2</v>
      </c>
      <c r="M135" s="5">
        <v>80000</v>
      </c>
      <c r="N135" s="15"/>
      <c r="O135" s="8"/>
      <c r="P135" t="s">
        <v>17</v>
      </c>
      <c r="Q135"/>
      <c r="R135"/>
      <c r="S135" s="2" t="s">
        <v>2</v>
      </c>
      <c r="T135" s="5">
        <v>0</v>
      </c>
      <c r="U135" s="15"/>
    </row>
    <row r="136" spans="1:21">
      <c r="A136" s="8"/>
      <c r="B136" t="s">
        <v>18</v>
      </c>
      <c r="C136"/>
      <c r="D136"/>
      <c r="E136" s="2" t="s">
        <v>2</v>
      </c>
      <c r="F136" s="5">
        <v>0</v>
      </c>
      <c r="G136" s="15"/>
      <c r="H136" s="8"/>
      <c r="I136" t="s">
        <v>18</v>
      </c>
      <c r="J136"/>
      <c r="K136"/>
      <c r="L136" s="2" t="s">
        <v>2</v>
      </c>
      <c r="M136" s="5">
        <v>0</v>
      </c>
      <c r="N136" s="15"/>
      <c r="O136" s="8"/>
      <c r="P136" t="s">
        <v>18</v>
      </c>
      <c r="Q136"/>
      <c r="R136"/>
      <c r="S136" s="2" t="s">
        <v>2</v>
      </c>
      <c r="T136" s="5">
        <v>0</v>
      </c>
      <c r="U136" s="15"/>
    </row>
    <row r="137" spans="1:21">
      <c r="A137" s="8"/>
      <c r="B137" t="s">
        <v>19</v>
      </c>
      <c r="C137"/>
      <c r="D137"/>
      <c r="E137" s="2" t="s">
        <v>2</v>
      </c>
      <c r="F137" s="5">
        <v>0</v>
      </c>
      <c r="G137" s="15"/>
      <c r="H137" s="8"/>
      <c r="I137" t="s">
        <v>19</v>
      </c>
      <c r="J137"/>
      <c r="K137"/>
      <c r="L137" s="2" t="s">
        <v>2</v>
      </c>
      <c r="M137" s="5">
        <v>0</v>
      </c>
      <c r="N137" s="15"/>
      <c r="O137" s="8"/>
      <c r="P137" t="s">
        <v>19</v>
      </c>
      <c r="Q137"/>
      <c r="R137"/>
      <c r="S137" s="2" t="s">
        <v>2</v>
      </c>
      <c r="T137" s="5">
        <v>0</v>
      </c>
      <c r="U137" s="15"/>
    </row>
    <row r="138" spans="1:21">
      <c r="A138" s="8"/>
      <c r="B138"/>
      <c r="C138"/>
      <c r="D138"/>
      <c r="E138"/>
      <c r="F138"/>
      <c r="G138" s="15"/>
      <c r="H138" s="8"/>
      <c r="I138"/>
      <c r="J138"/>
      <c r="K138"/>
      <c r="L138"/>
      <c r="M138"/>
      <c r="N138" s="15"/>
      <c r="O138" s="8"/>
      <c r="P138"/>
      <c r="Q138"/>
      <c r="R138"/>
      <c r="S138"/>
      <c r="T138"/>
      <c r="U138" s="15"/>
    </row>
    <row r="139" spans="1:21">
      <c r="A139" s="8"/>
      <c r="B139" s="2" t="s">
        <v>20</v>
      </c>
      <c r="C139"/>
      <c r="D139"/>
      <c r="E139"/>
      <c r="F139"/>
      <c r="G139" s="15"/>
      <c r="H139" s="8"/>
      <c r="I139" s="2" t="s">
        <v>20</v>
      </c>
      <c r="J139"/>
      <c r="K139"/>
      <c r="L139"/>
      <c r="M139"/>
      <c r="N139" s="15"/>
      <c r="O139" s="8"/>
      <c r="P139" s="2" t="s">
        <v>20</v>
      </c>
      <c r="Q139"/>
      <c r="R139"/>
      <c r="S139"/>
      <c r="T139"/>
      <c r="U139" s="15"/>
    </row>
    <row r="140" spans="1:21">
      <c r="A140" s="8"/>
      <c r="B140" t="s">
        <v>21</v>
      </c>
      <c r="C140"/>
      <c r="D140"/>
      <c r="E140" s="2" t="s">
        <v>2</v>
      </c>
      <c r="F140" s="5">
        <v>0</v>
      </c>
      <c r="G140" s="15"/>
      <c r="H140" s="8"/>
      <c r="I140" t="s">
        <v>21</v>
      </c>
      <c r="J140"/>
      <c r="K140"/>
      <c r="L140" s="2" t="s">
        <v>2</v>
      </c>
      <c r="M140" s="5">
        <v>59883.33</v>
      </c>
      <c r="N140" s="15"/>
      <c r="O140" s="8"/>
      <c r="P140" t="s">
        <v>21</v>
      </c>
      <c r="Q140"/>
      <c r="R140"/>
      <c r="S140" s="2" t="s">
        <v>2</v>
      </c>
      <c r="T140" s="5">
        <v>0</v>
      </c>
      <c r="U140" s="15"/>
    </row>
    <row r="141" spans="1:21">
      <c r="A141" s="8"/>
      <c r="B141" t="s">
        <v>22</v>
      </c>
      <c r="C141"/>
      <c r="D141"/>
      <c r="E141" s="2" t="s">
        <v>2</v>
      </c>
      <c r="F141" s="5">
        <v>107790</v>
      </c>
      <c r="G141" s="15"/>
      <c r="H141" s="8"/>
      <c r="I141" t="s">
        <v>22</v>
      </c>
      <c r="J141"/>
      <c r="K141"/>
      <c r="L141" s="2" t="s">
        <v>2</v>
      </c>
      <c r="M141" s="5">
        <v>107790</v>
      </c>
      <c r="N141" s="15"/>
      <c r="O141" s="8"/>
      <c r="P141" t="s">
        <v>22</v>
      </c>
      <c r="Q141"/>
      <c r="R141"/>
      <c r="S141" s="2" t="s">
        <v>2</v>
      </c>
      <c r="T141" s="5">
        <v>107790</v>
      </c>
      <c r="U141" s="15"/>
    </row>
    <row r="142" spans="1:21">
      <c r="A142" s="8"/>
      <c r="B142" s="3" t="s">
        <v>23</v>
      </c>
      <c r="C142" s="3"/>
      <c r="D142" s="3"/>
      <c r="E142" s="4" t="s">
        <v>2</v>
      </c>
      <c r="F142" s="6">
        <v>35745</v>
      </c>
      <c r="G142" s="15"/>
      <c r="H142" s="8"/>
      <c r="I142" s="3" t="s">
        <v>23</v>
      </c>
      <c r="J142" s="3"/>
      <c r="K142" s="3"/>
      <c r="L142" s="4" t="s">
        <v>2</v>
      </c>
      <c r="M142" s="6">
        <v>35745</v>
      </c>
      <c r="N142" s="15"/>
      <c r="O142" s="8"/>
      <c r="P142" s="3" t="s">
        <v>23</v>
      </c>
      <c r="Q142" s="3"/>
      <c r="R142" s="3"/>
      <c r="S142" s="4" t="s">
        <v>2</v>
      </c>
      <c r="T142" s="6">
        <v>35745</v>
      </c>
      <c r="U142" s="15"/>
    </row>
    <row r="143" spans="1:21">
      <c r="A143" s="8"/>
      <c r="B143" t="s">
        <v>24</v>
      </c>
      <c r="C143"/>
      <c r="D143"/>
      <c r="E143" s="2" t="s">
        <v>2</v>
      </c>
      <c r="F143" s="5" t="str">
        <f>sum(f140:f142)</f>
        <v>0</v>
      </c>
      <c r="G143" s="15"/>
      <c r="H143" s="8"/>
      <c r="I143" t="s">
        <v>24</v>
      </c>
      <c r="J143"/>
      <c r="K143"/>
      <c r="L143" s="2" t="s">
        <v>2</v>
      </c>
      <c r="M143" s="5" t="str">
        <f>sum(m140:m142)</f>
        <v>0</v>
      </c>
      <c r="N143" s="15"/>
      <c r="O143" s="8"/>
      <c r="P143" t="s">
        <v>24</v>
      </c>
      <c r="Q143"/>
      <c r="R143"/>
      <c r="S143" s="2" t="s">
        <v>2</v>
      </c>
      <c r="T143" s="5" t="str">
        <f>sum(t140:t142)</f>
        <v>0</v>
      </c>
      <c r="U143" s="15"/>
    </row>
    <row r="144" spans="1:21">
      <c r="A144" s="9"/>
      <c r="B144" s="11" t="s">
        <v>25</v>
      </c>
      <c r="C144" s="11"/>
      <c r="D144" s="11"/>
      <c r="E144" s="12" t="s">
        <v>2</v>
      </c>
      <c r="F144" s="13" t="str">
        <f>sum(f134:f137)-f143</f>
        <v>0</v>
      </c>
      <c r="G144" s="16"/>
      <c r="H144" s="9"/>
      <c r="I144" s="11" t="s">
        <v>25</v>
      </c>
      <c r="J144" s="11"/>
      <c r="K144" s="11"/>
      <c r="L144" s="12" t="s">
        <v>2</v>
      </c>
      <c r="M144" s="13" t="str">
        <f>sum(m134:m137)-m143</f>
        <v>0</v>
      </c>
      <c r="N144" s="16"/>
      <c r="O144" s="9"/>
      <c r="P144" s="11" t="s">
        <v>25</v>
      </c>
      <c r="Q144" s="11"/>
      <c r="R144" s="11"/>
      <c r="S144" s="12" t="s">
        <v>2</v>
      </c>
      <c r="T144" s="13" t="str">
        <f>sum(t134:t137)-t143</f>
        <v>0</v>
      </c>
      <c r="U144" s="16"/>
    </row>
    <row r="145" spans="1:21">
      <c r="A145" s="7"/>
      <c r="B145" s="10"/>
      <c r="C145" s="10"/>
      <c r="D145" s="10"/>
      <c r="E145" s="10"/>
      <c r="F145" s="10"/>
      <c r="G145" s="14"/>
      <c r="H145" s="7"/>
      <c r="I145" s="10"/>
      <c r="J145" s="10"/>
      <c r="K145" s="10"/>
      <c r="L145" s="10"/>
      <c r="M145" s="10"/>
      <c r="N145" s="14"/>
      <c r="O145" s="7"/>
      <c r="P145" s="10"/>
      <c r="Q145" s="10"/>
      <c r="R145" s="10"/>
      <c r="S145" s="10"/>
      <c r="T145" s="10"/>
      <c r="U145" s="14"/>
    </row>
    <row r="146" spans="1:21">
      <c r="A146" s="8"/>
      <c r="B146" s="1" t="s">
        <v>0</v>
      </c>
      <c r="C146"/>
      <c r="D146"/>
      <c r="E146"/>
      <c r="F146"/>
      <c r="G146" s="15"/>
      <c r="H146" s="8"/>
      <c r="I146" s="1" t="s">
        <v>0</v>
      </c>
      <c r="J146"/>
      <c r="K146"/>
      <c r="L146"/>
      <c r="M146"/>
      <c r="N146" s="15"/>
      <c r="O146" s="8"/>
      <c r="P146" s="1" t="s">
        <v>0</v>
      </c>
      <c r="Q146"/>
      <c r="R146"/>
      <c r="S146"/>
      <c r="T146"/>
      <c r="U146" s="15"/>
    </row>
    <row r="147" spans="1:21">
      <c r="A147" s="8"/>
      <c r="B147" t="s">
        <v>1</v>
      </c>
      <c r="C147" s="2" t="s">
        <v>2</v>
      </c>
      <c r="D147" t="s">
        <v>67</v>
      </c>
      <c r="E147"/>
      <c r="F147"/>
      <c r="G147" s="15"/>
      <c r="H147" s="8"/>
      <c r="I147" t="s">
        <v>1</v>
      </c>
      <c r="J147" s="2" t="s">
        <v>2</v>
      </c>
      <c r="K147" t="s">
        <v>68</v>
      </c>
      <c r="L147"/>
      <c r="M147"/>
      <c r="N147" s="15"/>
      <c r="O147" s="8"/>
      <c r="P147" t="s">
        <v>1</v>
      </c>
      <c r="Q147" s="2" t="s">
        <v>2</v>
      </c>
      <c r="R147" t="s">
        <v>69</v>
      </c>
      <c r="S147"/>
      <c r="T147"/>
      <c r="U147" s="15"/>
    </row>
    <row r="148" spans="1:21">
      <c r="A148" s="8"/>
      <c r="B148" t="s">
        <v>6</v>
      </c>
      <c r="C148" s="2" t="s">
        <v>2</v>
      </c>
      <c r="D148" t="s">
        <v>70</v>
      </c>
      <c r="E148"/>
      <c r="F148"/>
      <c r="G148" s="15"/>
      <c r="H148" s="8"/>
      <c r="I148" t="s">
        <v>6</v>
      </c>
      <c r="J148" s="2" t="s">
        <v>2</v>
      </c>
      <c r="K148" t="s">
        <v>71</v>
      </c>
      <c r="L148"/>
      <c r="M148"/>
      <c r="N148" s="15"/>
      <c r="O148" s="8"/>
      <c r="P148" t="s">
        <v>6</v>
      </c>
      <c r="Q148" s="2" t="s">
        <v>2</v>
      </c>
      <c r="R148" t="s">
        <v>72</v>
      </c>
      <c r="S148"/>
      <c r="T148"/>
      <c r="U148" s="15"/>
    </row>
    <row r="149" spans="1:21">
      <c r="A149" s="8"/>
      <c r="B149" t="s">
        <v>10</v>
      </c>
      <c r="C149" s="2" t="s">
        <v>2</v>
      </c>
      <c r="D149" t="s">
        <v>60</v>
      </c>
      <c r="E149"/>
      <c r="F149"/>
      <c r="G149" s="15"/>
      <c r="H149" s="8"/>
      <c r="I149" t="s">
        <v>10</v>
      </c>
      <c r="J149" s="2" t="s">
        <v>2</v>
      </c>
      <c r="K149" t="s">
        <v>60</v>
      </c>
      <c r="L149"/>
      <c r="M149"/>
      <c r="N149" s="15"/>
      <c r="O149" s="8"/>
      <c r="P149" t="s">
        <v>10</v>
      </c>
      <c r="Q149" s="2" t="s">
        <v>2</v>
      </c>
      <c r="R149" t="s">
        <v>60</v>
      </c>
      <c r="S149"/>
      <c r="T149"/>
      <c r="U149" s="15"/>
    </row>
    <row r="150" spans="1:21">
      <c r="A150" s="8"/>
      <c r="B150" t="s">
        <v>12</v>
      </c>
      <c r="C150" s="2" t="s">
        <v>2</v>
      </c>
      <c r="D150" t="s">
        <v>13</v>
      </c>
      <c r="E150"/>
      <c r="F150"/>
      <c r="G150" s="15"/>
      <c r="H150" s="8"/>
      <c r="I150" t="s">
        <v>12</v>
      </c>
      <c r="J150" s="2" t="s">
        <v>2</v>
      </c>
      <c r="K150" t="s">
        <v>13</v>
      </c>
      <c r="L150"/>
      <c r="M150"/>
      <c r="N150" s="15"/>
      <c r="O150" s="8"/>
      <c r="P150" t="s">
        <v>12</v>
      </c>
      <c r="Q150" s="2" t="s">
        <v>2</v>
      </c>
      <c r="R150" t="s">
        <v>13</v>
      </c>
      <c r="S150"/>
      <c r="T150"/>
      <c r="U150" s="15"/>
    </row>
    <row r="151" spans="1:21">
      <c r="A151" s="8"/>
      <c r="B151" s="3" t="s">
        <v>14</v>
      </c>
      <c r="C151" s="4" t="s">
        <v>2</v>
      </c>
      <c r="D151" s="3" t="s">
        <v>15</v>
      </c>
      <c r="E151" s="3"/>
      <c r="F151" s="3"/>
      <c r="G151" s="15"/>
      <c r="H151" s="8"/>
      <c r="I151" s="3" t="s">
        <v>14</v>
      </c>
      <c r="J151" s="4" t="s">
        <v>2</v>
      </c>
      <c r="K151" s="3" t="s">
        <v>15</v>
      </c>
      <c r="L151" s="3"/>
      <c r="M151" s="3"/>
      <c r="N151" s="15"/>
      <c r="O151" s="8"/>
      <c r="P151" s="3" t="s">
        <v>14</v>
      </c>
      <c r="Q151" s="4" t="s">
        <v>2</v>
      </c>
      <c r="R151" s="3" t="s">
        <v>15</v>
      </c>
      <c r="S151" s="3"/>
      <c r="T151" s="3"/>
      <c r="U151" s="15"/>
    </row>
    <row r="152" spans="1:21">
      <c r="A152" s="8"/>
      <c r="B152" t="s">
        <v>16</v>
      </c>
      <c r="C152"/>
      <c r="D152"/>
      <c r="E152" s="2" t="s">
        <v>2</v>
      </c>
      <c r="F152" s="5">
        <v>3593000</v>
      </c>
      <c r="G152" s="15"/>
      <c r="H152" s="8"/>
      <c r="I152" t="s">
        <v>16</v>
      </c>
      <c r="J152"/>
      <c r="K152"/>
      <c r="L152" s="2" t="s">
        <v>2</v>
      </c>
      <c r="M152" s="5">
        <v>3593000</v>
      </c>
      <c r="N152" s="15"/>
      <c r="O152" s="8"/>
      <c r="P152" t="s">
        <v>16</v>
      </c>
      <c r="Q152"/>
      <c r="R152"/>
      <c r="S152" s="2" t="s">
        <v>2</v>
      </c>
      <c r="T152" s="5">
        <v>3593000</v>
      </c>
      <c r="U152" s="15"/>
    </row>
    <row r="153" spans="1:21">
      <c r="A153" s="8"/>
      <c r="B153" t="s">
        <v>17</v>
      </c>
      <c r="C153"/>
      <c r="D153"/>
      <c r="E153" s="2" t="s">
        <v>2</v>
      </c>
      <c r="F153" s="5">
        <v>0</v>
      </c>
      <c r="G153" s="15"/>
      <c r="H153" s="8"/>
      <c r="I153" t="s">
        <v>17</v>
      </c>
      <c r="J153"/>
      <c r="K153"/>
      <c r="L153" s="2" t="s">
        <v>2</v>
      </c>
      <c r="M153" s="5">
        <v>0</v>
      </c>
      <c r="N153" s="15"/>
      <c r="O153" s="8"/>
      <c r="P153" t="s">
        <v>17</v>
      </c>
      <c r="Q153"/>
      <c r="R153"/>
      <c r="S153" s="2" t="s">
        <v>2</v>
      </c>
      <c r="T153" s="5">
        <v>0</v>
      </c>
      <c r="U153" s="15"/>
    </row>
    <row r="154" spans="1:21">
      <c r="A154" s="8"/>
      <c r="B154" t="s">
        <v>18</v>
      </c>
      <c r="C154"/>
      <c r="D154"/>
      <c r="E154" s="2" t="s">
        <v>2</v>
      </c>
      <c r="F154" s="5">
        <v>0</v>
      </c>
      <c r="G154" s="15"/>
      <c r="H154" s="8"/>
      <c r="I154" t="s">
        <v>18</v>
      </c>
      <c r="J154"/>
      <c r="K154"/>
      <c r="L154" s="2" t="s">
        <v>2</v>
      </c>
      <c r="M154" s="5">
        <v>0</v>
      </c>
      <c r="N154" s="15"/>
      <c r="O154" s="8"/>
      <c r="P154" t="s">
        <v>18</v>
      </c>
      <c r="Q154"/>
      <c r="R154"/>
      <c r="S154" s="2" t="s">
        <v>2</v>
      </c>
      <c r="T154" s="5">
        <v>0</v>
      </c>
      <c r="U154" s="15"/>
    </row>
    <row r="155" spans="1:21">
      <c r="A155" s="8"/>
      <c r="B155" t="s">
        <v>19</v>
      </c>
      <c r="C155"/>
      <c r="D155"/>
      <c r="E155" s="2" t="s">
        <v>2</v>
      </c>
      <c r="F155" s="5">
        <v>0</v>
      </c>
      <c r="G155" s="15"/>
      <c r="H155" s="8"/>
      <c r="I155" t="s">
        <v>19</v>
      </c>
      <c r="J155"/>
      <c r="K155"/>
      <c r="L155" s="2" t="s">
        <v>2</v>
      </c>
      <c r="M155" s="5">
        <v>0</v>
      </c>
      <c r="N155" s="15"/>
      <c r="O155" s="8"/>
      <c r="P155" t="s">
        <v>19</v>
      </c>
      <c r="Q155"/>
      <c r="R155"/>
      <c r="S155" s="2" t="s">
        <v>2</v>
      </c>
      <c r="T155" s="5">
        <v>0</v>
      </c>
      <c r="U155" s="15"/>
    </row>
    <row r="156" spans="1:21">
      <c r="A156" s="8"/>
      <c r="B156"/>
      <c r="C156"/>
      <c r="D156"/>
      <c r="E156"/>
      <c r="F156"/>
      <c r="G156" s="15"/>
      <c r="H156" s="8"/>
      <c r="I156"/>
      <c r="J156"/>
      <c r="K156"/>
      <c r="L156"/>
      <c r="M156"/>
      <c r="N156" s="15"/>
      <c r="O156" s="8"/>
      <c r="P156"/>
      <c r="Q156"/>
      <c r="R156"/>
      <c r="S156"/>
      <c r="T156"/>
      <c r="U156" s="15"/>
    </row>
    <row r="157" spans="1:21">
      <c r="A157" s="8"/>
      <c r="B157" s="2" t="s">
        <v>20</v>
      </c>
      <c r="C157"/>
      <c r="D157"/>
      <c r="E157"/>
      <c r="F157"/>
      <c r="G157" s="15"/>
      <c r="H157" s="8"/>
      <c r="I157" s="2" t="s">
        <v>20</v>
      </c>
      <c r="J157"/>
      <c r="K157"/>
      <c r="L157"/>
      <c r="M157"/>
      <c r="N157" s="15"/>
      <c r="O157" s="8"/>
      <c r="P157" s="2" t="s">
        <v>20</v>
      </c>
      <c r="Q157"/>
      <c r="R157"/>
      <c r="S157"/>
      <c r="T157"/>
      <c r="U157" s="15"/>
    </row>
    <row r="158" spans="1:21">
      <c r="A158" s="8"/>
      <c r="B158" t="s">
        <v>21</v>
      </c>
      <c r="C158"/>
      <c r="D158"/>
      <c r="E158" s="2" t="s">
        <v>2</v>
      </c>
      <c r="F158" s="5">
        <v>59883.33</v>
      </c>
      <c r="G158" s="15"/>
      <c r="H158" s="8"/>
      <c r="I158" t="s">
        <v>21</v>
      </c>
      <c r="J158"/>
      <c r="K158"/>
      <c r="L158" s="2" t="s">
        <v>2</v>
      </c>
      <c r="M158" s="5">
        <v>0</v>
      </c>
      <c r="N158" s="15"/>
      <c r="O158" s="8"/>
      <c r="P158" t="s">
        <v>21</v>
      </c>
      <c r="Q158"/>
      <c r="R158"/>
      <c r="S158" s="2" t="s">
        <v>2</v>
      </c>
      <c r="T158" s="5">
        <v>0</v>
      </c>
      <c r="U158" s="15"/>
    </row>
    <row r="159" spans="1:21">
      <c r="A159" s="8"/>
      <c r="B159" t="s">
        <v>22</v>
      </c>
      <c r="C159"/>
      <c r="D159"/>
      <c r="E159" s="2" t="s">
        <v>2</v>
      </c>
      <c r="F159" s="5">
        <v>107790</v>
      </c>
      <c r="G159" s="15"/>
      <c r="H159" s="8"/>
      <c r="I159" t="s">
        <v>22</v>
      </c>
      <c r="J159"/>
      <c r="K159"/>
      <c r="L159" s="2" t="s">
        <v>2</v>
      </c>
      <c r="M159" s="5">
        <v>107790</v>
      </c>
      <c r="N159" s="15"/>
      <c r="O159" s="8"/>
      <c r="P159" t="s">
        <v>22</v>
      </c>
      <c r="Q159"/>
      <c r="R159"/>
      <c r="S159" s="2" t="s">
        <v>2</v>
      </c>
      <c r="T159" s="5">
        <v>107790</v>
      </c>
      <c r="U159" s="15"/>
    </row>
    <row r="160" spans="1:21">
      <c r="A160" s="8"/>
      <c r="B160" s="3" t="s">
        <v>23</v>
      </c>
      <c r="C160" s="3"/>
      <c r="D160" s="3"/>
      <c r="E160" s="4" t="s">
        <v>2</v>
      </c>
      <c r="F160" s="6">
        <v>35745</v>
      </c>
      <c r="G160" s="15"/>
      <c r="H160" s="8"/>
      <c r="I160" s="3" t="s">
        <v>23</v>
      </c>
      <c r="J160" s="3"/>
      <c r="K160" s="3"/>
      <c r="L160" s="4" t="s">
        <v>2</v>
      </c>
      <c r="M160" s="6">
        <v>35745</v>
      </c>
      <c r="N160" s="15"/>
      <c r="O160" s="8"/>
      <c r="P160" s="3" t="s">
        <v>23</v>
      </c>
      <c r="Q160" s="3"/>
      <c r="R160" s="3"/>
      <c r="S160" s="4" t="s">
        <v>2</v>
      </c>
      <c r="T160" s="6">
        <v>35745</v>
      </c>
      <c r="U160" s="15"/>
    </row>
    <row r="161" spans="1:21">
      <c r="A161" s="8"/>
      <c r="B161" t="s">
        <v>24</v>
      </c>
      <c r="C161"/>
      <c r="D161"/>
      <c r="E161" s="2" t="s">
        <v>2</v>
      </c>
      <c r="F161" s="5" t="str">
        <f>sum(f158:f160)</f>
        <v>0</v>
      </c>
      <c r="G161" s="15"/>
      <c r="H161" s="8"/>
      <c r="I161" t="s">
        <v>24</v>
      </c>
      <c r="J161"/>
      <c r="K161"/>
      <c r="L161" s="2" t="s">
        <v>2</v>
      </c>
      <c r="M161" s="5" t="str">
        <f>sum(m158:m160)</f>
        <v>0</v>
      </c>
      <c r="N161" s="15"/>
      <c r="O161" s="8"/>
      <c r="P161" t="s">
        <v>24</v>
      </c>
      <c r="Q161"/>
      <c r="R161"/>
      <c r="S161" s="2" t="s">
        <v>2</v>
      </c>
      <c r="T161" s="5" t="str">
        <f>sum(t158:t160)</f>
        <v>0</v>
      </c>
      <c r="U161" s="15"/>
    </row>
    <row r="162" spans="1:21">
      <c r="A162" s="9"/>
      <c r="B162" s="11" t="s">
        <v>25</v>
      </c>
      <c r="C162" s="11"/>
      <c r="D162" s="11"/>
      <c r="E162" s="12" t="s">
        <v>2</v>
      </c>
      <c r="F162" s="13" t="str">
        <f>sum(f152:f155)-f161</f>
        <v>0</v>
      </c>
      <c r="G162" s="16"/>
      <c r="H162" s="9"/>
      <c r="I162" s="11" t="s">
        <v>25</v>
      </c>
      <c r="J162" s="11"/>
      <c r="K162" s="11"/>
      <c r="L162" s="12" t="s">
        <v>2</v>
      </c>
      <c r="M162" s="13" t="str">
        <f>sum(m152:m155)-m161</f>
        <v>0</v>
      </c>
      <c r="N162" s="16"/>
      <c r="O162" s="9"/>
      <c r="P162" s="11" t="s">
        <v>25</v>
      </c>
      <c r="Q162" s="11"/>
      <c r="R162" s="11"/>
      <c r="S162" s="12" t="s">
        <v>2</v>
      </c>
      <c r="T162" s="13" t="str">
        <f>sum(t152:t155)-t161</f>
        <v>0</v>
      </c>
      <c r="U162" s="16"/>
    </row>
    <row r="163" spans="1:21">
      <c r="A163" s="7"/>
      <c r="B163" s="10"/>
      <c r="C163" s="10"/>
      <c r="D163" s="10"/>
      <c r="E163" s="10"/>
      <c r="F163" s="10"/>
      <c r="G163" s="14"/>
      <c r="H163" s="7"/>
      <c r="I163" s="10"/>
      <c r="J163" s="10"/>
      <c r="K163" s="10"/>
      <c r="L163" s="10"/>
      <c r="M163" s="10"/>
      <c r="N163" s="14"/>
      <c r="O163" s="7"/>
      <c r="P163" s="10"/>
      <c r="Q163" s="10"/>
      <c r="R163" s="10"/>
      <c r="S163" s="10"/>
      <c r="T163" s="10"/>
      <c r="U163" s="14"/>
    </row>
    <row r="164" spans="1:21">
      <c r="A164" s="8"/>
      <c r="B164" s="1" t="s">
        <v>0</v>
      </c>
      <c r="C164"/>
      <c r="D164"/>
      <c r="E164"/>
      <c r="F164"/>
      <c r="G164" s="15"/>
      <c r="H164" s="8"/>
      <c r="I164" s="1" t="s">
        <v>0</v>
      </c>
      <c r="J164"/>
      <c r="K164"/>
      <c r="L164"/>
      <c r="M164"/>
      <c r="N164" s="15"/>
      <c r="O164" s="8"/>
      <c r="P164" s="1" t="s">
        <v>0</v>
      </c>
      <c r="Q164"/>
      <c r="R164"/>
      <c r="S164"/>
      <c r="T164"/>
      <c r="U164" s="15"/>
    </row>
    <row r="165" spans="1:21">
      <c r="A165" s="8"/>
      <c r="B165" t="s">
        <v>1</v>
      </c>
      <c r="C165" s="2" t="s">
        <v>2</v>
      </c>
      <c r="D165" t="s">
        <v>73</v>
      </c>
      <c r="E165"/>
      <c r="F165"/>
      <c r="G165" s="15"/>
      <c r="H165" s="8"/>
      <c r="I165" t="s">
        <v>1</v>
      </c>
      <c r="J165" s="2" t="s">
        <v>2</v>
      </c>
      <c r="K165" t="s">
        <v>74</v>
      </c>
      <c r="L165"/>
      <c r="M165"/>
      <c r="N165" s="15"/>
      <c r="O165" s="8"/>
      <c r="P165" t="s">
        <v>1</v>
      </c>
      <c r="Q165" s="2" t="s">
        <v>2</v>
      </c>
      <c r="R165" t="s">
        <v>75</v>
      </c>
      <c r="S165"/>
      <c r="T165"/>
      <c r="U165" s="15"/>
    </row>
    <row r="166" spans="1:21">
      <c r="A166" s="8"/>
      <c r="B166" t="s">
        <v>6</v>
      </c>
      <c r="C166" s="2" t="s">
        <v>2</v>
      </c>
      <c r="D166" t="s">
        <v>76</v>
      </c>
      <c r="E166"/>
      <c r="F166"/>
      <c r="G166" s="15"/>
      <c r="H166" s="8"/>
      <c r="I166" t="s">
        <v>6</v>
      </c>
      <c r="J166" s="2" t="s">
        <v>2</v>
      </c>
      <c r="K166" t="s">
        <v>77</v>
      </c>
      <c r="L166"/>
      <c r="M166"/>
      <c r="N166" s="15"/>
      <c r="O166" s="8"/>
      <c r="P166" t="s">
        <v>6</v>
      </c>
      <c r="Q166" s="2" t="s">
        <v>2</v>
      </c>
      <c r="R166" t="s">
        <v>78</v>
      </c>
      <c r="S166"/>
      <c r="T166"/>
      <c r="U166" s="15"/>
    </row>
    <row r="167" spans="1:21">
      <c r="A167" s="8"/>
      <c r="B167" t="s">
        <v>10</v>
      </c>
      <c r="C167" s="2" t="s">
        <v>2</v>
      </c>
      <c r="D167" t="s">
        <v>60</v>
      </c>
      <c r="E167"/>
      <c r="F167"/>
      <c r="G167" s="15"/>
      <c r="H167" s="8"/>
      <c r="I167" t="s">
        <v>10</v>
      </c>
      <c r="J167" s="2" t="s">
        <v>2</v>
      </c>
      <c r="K167" t="s">
        <v>60</v>
      </c>
      <c r="L167"/>
      <c r="M167"/>
      <c r="N167" s="15"/>
      <c r="O167" s="8"/>
      <c r="P167" t="s">
        <v>10</v>
      </c>
      <c r="Q167" s="2" t="s">
        <v>2</v>
      </c>
      <c r="R167" t="s">
        <v>60</v>
      </c>
      <c r="S167"/>
      <c r="T167"/>
      <c r="U167" s="15"/>
    </row>
    <row r="168" spans="1:21">
      <c r="A168" s="8"/>
      <c r="B168" t="s">
        <v>12</v>
      </c>
      <c r="C168" s="2" t="s">
        <v>2</v>
      </c>
      <c r="D168" t="s">
        <v>13</v>
      </c>
      <c r="E168"/>
      <c r="F168"/>
      <c r="G168" s="15"/>
      <c r="H168" s="8"/>
      <c r="I168" t="s">
        <v>12</v>
      </c>
      <c r="J168" s="2" t="s">
        <v>2</v>
      </c>
      <c r="K168" t="s">
        <v>13</v>
      </c>
      <c r="L168"/>
      <c r="M168"/>
      <c r="N168" s="15"/>
      <c r="O168" s="8"/>
      <c r="P168" t="s">
        <v>12</v>
      </c>
      <c r="Q168" s="2" t="s">
        <v>2</v>
      </c>
      <c r="R168" t="s">
        <v>13</v>
      </c>
      <c r="S168"/>
      <c r="T168"/>
      <c r="U168" s="15"/>
    </row>
    <row r="169" spans="1:21">
      <c r="A169" s="8"/>
      <c r="B169" s="3" t="s">
        <v>14</v>
      </c>
      <c r="C169" s="4" t="s">
        <v>2</v>
      </c>
      <c r="D169" s="3" t="s">
        <v>15</v>
      </c>
      <c r="E169" s="3"/>
      <c r="F169" s="3"/>
      <c r="G169" s="15"/>
      <c r="H169" s="8"/>
      <c r="I169" s="3" t="s">
        <v>14</v>
      </c>
      <c r="J169" s="4" t="s">
        <v>2</v>
      </c>
      <c r="K169" s="3" t="s">
        <v>15</v>
      </c>
      <c r="L169" s="3"/>
      <c r="M169" s="3"/>
      <c r="N169" s="15"/>
      <c r="O169" s="8"/>
      <c r="P169" s="3" t="s">
        <v>14</v>
      </c>
      <c r="Q169" s="4" t="s">
        <v>2</v>
      </c>
      <c r="R169" s="3" t="s">
        <v>15</v>
      </c>
      <c r="S169" s="3"/>
      <c r="T169" s="3"/>
      <c r="U169" s="15"/>
    </row>
    <row r="170" spans="1:21">
      <c r="A170" s="8"/>
      <c r="B170" t="s">
        <v>16</v>
      </c>
      <c r="C170"/>
      <c r="D170"/>
      <c r="E170" s="2" t="s">
        <v>2</v>
      </c>
      <c r="F170" s="5">
        <v>3593000</v>
      </c>
      <c r="G170" s="15"/>
      <c r="H170" s="8"/>
      <c r="I170" t="s">
        <v>16</v>
      </c>
      <c r="J170"/>
      <c r="K170"/>
      <c r="L170" s="2" t="s">
        <v>2</v>
      </c>
      <c r="M170" s="5">
        <v>3590000</v>
      </c>
      <c r="N170" s="15"/>
      <c r="O170" s="8"/>
      <c r="P170" t="s">
        <v>16</v>
      </c>
      <c r="Q170"/>
      <c r="R170"/>
      <c r="S170" s="2" t="s">
        <v>2</v>
      </c>
      <c r="T170" s="5">
        <v>3593000</v>
      </c>
      <c r="U170" s="15"/>
    </row>
    <row r="171" spans="1:21">
      <c r="A171" s="8"/>
      <c r="B171" t="s">
        <v>17</v>
      </c>
      <c r="C171"/>
      <c r="D171"/>
      <c r="E171" s="2" t="s">
        <v>2</v>
      </c>
      <c r="F171" s="5">
        <v>0</v>
      </c>
      <c r="G171" s="15"/>
      <c r="H171" s="8"/>
      <c r="I171" t="s">
        <v>17</v>
      </c>
      <c r="J171"/>
      <c r="K171"/>
      <c r="L171" s="2" t="s">
        <v>2</v>
      </c>
      <c r="M171" s="5">
        <v>60000</v>
      </c>
      <c r="N171" s="15"/>
      <c r="O171" s="8"/>
      <c r="P171" t="s">
        <v>17</v>
      </c>
      <c r="Q171"/>
      <c r="R171"/>
      <c r="S171" s="2" t="s">
        <v>2</v>
      </c>
      <c r="T171" s="5">
        <v>0</v>
      </c>
      <c r="U171" s="15"/>
    </row>
    <row r="172" spans="1:21">
      <c r="A172" s="8"/>
      <c r="B172" t="s">
        <v>18</v>
      </c>
      <c r="C172"/>
      <c r="D172"/>
      <c r="E172" s="2" t="s">
        <v>2</v>
      </c>
      <c r="F172" s="5">
        <v>0</v>
      </c>
      <c r="G172" s="15"/>
      <c r="H172" s="8"/>
      <c r="I172" t="s">
        <v>18</v>
      </c>
      <c r="J172"/>
      <c r="K172"/>
      <c r="L172" s="2" t="s">
        <v>2</v>
      </c>
      <c r="M172" s="5">
        <v>0</v>
      </c>
      <c r="N172" s="15"/>
      <c r="O172" s="8"/>
      <c r="P172" t="s">
        <v>18</v>
      </c>
      <c r="Q172"/>
      <c r="R172"/>
      <c r="S172" s="2" t="s">
        <v>2</v>
      </c>
      <c r="T172" s="5">
        <v>0</v>
      </c>
      <c r="U172" s="15"/>
    </row>
    <row r="173" spans="1:21">
      <c r="A173" s="8"/>
      <c r="B173" t="s">
        <v>19</v>
      </c>
      <c r="C173"/>
      <c r="D173"/>
      <c r="E173" s="2" t="s">
        <v>2</v>
      </c>
      <c r="F173" s="5">
        <v>0</v>
      </c>
      <c r="G173" s="15"/>
      <c r="H173" s="8"/>
      <c r="I173" t="s">
        <v>19</v>
      </c>
      <c r="J173"/>
      <c r="K173"/>
      <c r="L173" s="2" t="s">
        <v>2</v>
      </c>
      <c r="M173" s="5">
        <v>0</v>
      </c>
      <c r="N173" s="15"/>
      <c r="O173" s="8"/>
      <c r="P173" t="s">
        <v>19</v>
      </c>
      <c r="Q173"/>
      <c r="R173"/>
      <c r="S173" s="2" t="s">
        <v>2</v>
      </c>
      <c r="T173" s="5">
        <v>0</v>
      </c>
      <c r="U173" s="15"/>
    </row>
    <row r="174" spans="1:21">
      <c r="A174" s="8"/>
      <c r="B174"/>
      <c r="C174"/>
      <c r="D174"/>
      <c r="E174"/>
      <c r="F174"/>
      <c r="G174" s="15"/>
      <c r="H174" s="8"/>
      <c r="I174"/>
      <c r="J174"/>
      <c r="K174"/>
      <c r="L174"/>
      <c r="M174"/>
      <c r="N174" s="15"/>
      <c r="O174" s="8"/>
      <c r="P174"/>
      <c r="Q174"/>
      <c r="R174"/>
      <c r="S174"/>
      <c r="T174"/>
      <c r="U174" s="15"/>
    </row>
    <row r="175" spans="1:21">
      <c r="A175" s="8"/>
      <c r="B175" s="2" t="s">
        <v>20</v>
      </c>
      <c r="C175"/>
      <c r="D175"/>
      <c r="E175"/>
      <c r="F175"/>
      <c r="G175" s="15"/>
      <c r="H175" s="8"/>
      <c r="I175" s="2" t="s">
        <v>20</v>
      </c>
      <c r="J175"/>
      <c r="K175"/>
      <c r="L175"/>
      <c r="M175"/>
      <c r="N175" s="15"/>
      <c r="O175" s="8"/>
      <c r="P175" s="2" t="s">
        <v>20</v>
      </c>
      <c r="Q175"/>
      <c r="R175"/>
      <c r="S175"/>
      <c r="T175"/>
      <c r="U175" s="15"/>
    </row>
    <row r="176" spans="1:21">
      <c r="A176" s="8"/>
      <c r="B176" t="s">
        <v>21</v>
      </c>
      <c r="C176"/>
      <c r="D176"/>
      <c r="E176" s="2" t="s">
        <v>2</v>
      </c>
      <c r="F176" s="5">
        <v>0</v>
      </c>
      <c r="G176" s="15"/>
      <c r="H176" s="8"/>
      <c r="I176" t="s">
        <v>21</v>
      </c>
      <c r="J176"/>
      <c r="K176"/>
      <c r="L176" s="2" t="s">
        <v>2</v>
      </c>
      <c r="M176" s="5">
        <v>119666.67</v>
      </c>
      <c r="N176" s="15"/>
      <c r="O176" s="8"/>
      <c r="P176" t="s">
        <v>21</v>
      </c>
      <c r="Q176"/>
      <c r="R176"/>
      <c r="S176" s="2" t="s">
        <v>2</v>
      </c>
      <c r="T176" s="5">
        <v>0</v>
      </c>
      <c r="U176" s="15"/>
    </row>
    <row r="177" spans="1:21">
      <c r="A177" s="8"/>
      <c r="B177" t="s">
        <v>22</v>
      </c>
      <c r="C177"/>
      <c r="D177"/>
      <c r="E177" s="2" t="s">
        <v>2</v>
      </c>
      <c r="F177" s="5">
        <v>107790</v>
      </c>
      <c r="G177" s="15"/>
      <c r="H177" s="8"/>
      <c r="I177" t="s">
        <v>22</v>
      </c>
      <c r="J177"/>
      <c r="K177"/>
      <c r="L177" s="2" t="s">
        <v>2</v>
      </c>
      <c r="M177" s="5">
        <v>107700</v>
      </c>
      <c r="N177" s="15"/>
      <c r="O177" s="8"/>
      <c r="P177" t="s">
        <v>22</v>
      </c>
      <c r="Q177"/>
      <c r="R177"/>
      <c r="S177" s="2" t="s">
        <v>2</v>
      </c>
      <c r="T177" s="5">
        <v>107790</v>
      </c>
      <c r="U177" s="15"/>
    </row>
    <row r="178" spans="1:21">
      <c r="A178" s="8"/>
      <c r="B178" s="3" t="s">
        <v>23</v>
      </c>
      <c r="C178" s="3"/>
      <c r="D178" s="3"/>
      <c r="E178" s="4" t="s">
        <v>2</v>
      </c>
      <c r="F178" s="6">
        <v>35745</v>
      </c>
      <c r="G178" s="15"/>
      <c r="H178" s="8"/>
      <c r="I178" s="3" t="s">
        <v>23</v>
      </c>
      <c r="J178" s="3"/>
      <c r="K178" s="3"/>
      <c r="L178" s="4" t="s">
        <v>2</v>
      </c>
      <c r="M178" s="6">
        <v>35745</v>
      </c>
      <c r="N178" s="15"/>
      <c r="O178" s="8"/>
      <c r="P178" s="3" t="s">
        <v>23</v>
      </c>
      <c r="Q178" s="3"/>
      <c r="R178" s="3"/>
      <c r="S178" s="4" t="s">
        <v>2</v>
      </c>
      <c r="T178" s="6">
        <v>35745</v>
      </c>
      <c r="U178" s="15"/>
    </row>
    <row r="179" spans="1:21">
      <c r="A179" s="8"/>
      <c r="B179" t="s">
        <v>24</v>
      </c>
      <c r="C179"/>
      <c r="D179"/>
      <c r="E179" s="2" t="s">
        <v>2</v>
      </c>
      <c r="F179" s="5" t="str">
        <f>sum(f176:f178)</f>
        <v>0</v>
      </c>
      <c r="G179" s="15"/>
      <c r="H179" s="8"/>
      <c r="I179" t="s">
        <v>24</v>
      </c>
      <c r="J179"/>
      <c r="K179"/>
      <c r="L179" s="2" t="s">
        <v>2</v>
      </c>
      <c r="M179" s="5" t="str">
        <f>sum(m176:m178)</f>
        <v>0</v>
      </c>
      <c r="N179" s="15"/>
      <c r="O179" s="8"/>
      <c r="P179" t="s">
        <v>24</v>
      </c>
      <c r="Q179"/>
      <c r="R179"/>
      <c r="S179" s="2" t="s">
        <v>2</v>
      </c>
      <c r="T179" s="5" t="str">
        <f>sum(t176:t178)</f>
        <v>0</v>
      </c>
      <c r="U179" s="15"/>
    </row>
    <row r="180" spans="1:21">
      <c r="A180" s="9"/>
      <c r="B180" s="11" t="s">
        <v>25</v>
      </c>
      <c r="C180" s="11"/>
      <c r="D180" s="11"/>
      <c r="E180" s="12" t="s">
        <v>2</v>
      </c>
      <c r="F180" s="13" t="str">
        <f>sum(f170:f173)-f179</f>
        <v>0</v>
      </c>
      <c r="G180" s="16"/>
      <c r="H180" s="9"/>
      <c r="I180" s="11" t="s">
        <v>25</v>
      </c>
      <c r="J180" s="11"/>
      <c r="K180" s="11"/>
      <c r="L180" s="12" t="s">
        <v>2</v>
      </c>
      <c r="M180" s="13" t="str">
        <f>sum(m170:m173)-m179</f>
        <v>0</v>
      </c>
      <c r="N180" s="16"/>
      <c r="O180" s="9"/>
      <c r="P180" s="11" t="s">
        <v>25</v>
      </c>
      <c r="Q180" s="11"/>
      <c r="R180" s="11"/>
      <c r="S180" s="12" t="s">
        <v>2</v>
      </c>
      <c r="T180" s="13" t="str">
        <f>sum(t170:t173)-t179</f>
        <v>0</v>
      </c>
      <c r="U180" s="16"/>
    </row>
    <row r="181" spans="1:21">
      <c r="A181" s="7"/>
      <c r="B181" s="10"/>
      <c r="C181" s="10"/>
      <c r="D181" s="10"/>
      <c r="E181" s="10"/>
      <c r="F181" s="10"/>
      <c r="G181" s="14"/>
      <c r="H181" s="7"/>
      <c r="I181" s="10"/>
      <c r="J181" s="10"/>
      <c r="K181" s="10"/>
      <c r="L181" s="10"/>
      <c r="M181" s="10"/>
      <c r="N181" s="14"/>
      <c r="O181" s="7"/>
      <c r="P181" s="10"/>
      <c r="Q181" s="10"/>
      <c r="R181" s="10"/>
      <c r="S181" s="10"/>
      <c r="T181" s="10"/>
      <c r="U181" s="14"/>
    </row>
    <row r="182" spans="1:21">
      <c r="A182" s="8"/>
      <c r="B182" s="1" t="s">
        <v>0</v>
      </c>
      <c r="C182"/>
      <c r="D182"/>
      <c r="E182"/>
      <c r="F182"/>
      <c r="G182" s="15"/>
      <c r="H182" s="8"/>
      <c r="I182" s="1" t="s">
        <v>0</v>
      </c>
      <c r="J182"/>
      <c r="K182"/>
      <c r="L182"/>
      <c r="M182"/>
      <c r="N182" s="15"/>
      <c r="O182" s="8"/>
      <c r="P182" s="1" t="s">
        <v>0</v>
      </c>
      <c r="Q182"/>
      <c r="R182"/>
      <c r="S182"/>
      <c r="T182"/>
      <c r="U182" s="15"/>
    </row>
    <row r="183" spans="1:21">
      <c r="A183" s="8"/>
      <c r="B183" t="s">
        <v>1</v>
      </c>
      <c r="C183" s="2" t="s">
        <v>2</v>
      </c>
      <c r="D183" t="s">
        <v>79</v>
      </c>
      <c r="E183"/>
      <c r="F183"/>
      <c r="G183" s="15"/>
      <c r="H183" s="8"/>
      <c r="I183" t="s">
        <v>1</v>
      </c>
      <c r="J183" s="2" t="s">
        <v>2</v>
      </c>
      <c r="K183" t="s">
        <v>80</v>
      </c>
      <c r="L183"/>
      <c r="M183"/>
      <c r="N183" s="15"/>
      <c r="O183" s="8"/>
      <c r="P183" t="s">
        <v>1</v>
      </c>
      <c r="Q183" s="2" t="s">
        <v>2</v>
      </c>
      <c r="R183" t="s">
        <v>81</v>
      </c>
      <c r="S183"/>
      <c r="T183"/>
      <c r="U183" s="15"/>
    </row>
    <row r="184" spans="1:21">
      <c r="A184" s="8"/>
      <c r="B184" t="s">
        <v>6</v>
      </c>
      <c r="C184" s="2" t="s">
        <v>2</v>
      </c>
      <c r="D184" t="s">
        <v>82</v>
      </c>
      <c r="E184"/>
      <c r="F184"/>
      <c r="G184" s="15"/>
      <c r="H184" s="8"/>
      <c r="I184" t="s">
        <v>6</v>
      </c>
      <c r="J184" s="2" t="s">
        <v>2</v>
      </c>
      <c r="K184" t="s">
        <v>83</v>
      </c>
      <c r="L184"/>
      <c r="M184"/>
      <c r="N184" s="15"/>
      <c r="O184" s="8"/>
      <c r="P184" t="s">
        <v>6</v>
      </c>
      <c r="Q184" s="2" t="s">
        <v>2</v>
      </c>
      <c r="R184" t="s">
        <v>84</v>
      </c>
      <c r="S184"/>
      <c r="T184"/>
      <c r="U184" s="15"/>
    </row>
    <row r="185" spans="1:21">
      <c r="A185" s="8"/>
      <c r="B185" t="s">
        <v>10</v>
      </c>
      <c r="C185" s="2" t="s">
        <v>2</v>
      </c>
      <c r="D185" t="s">
        <v>60</v>
      </c>
      <c r="E185"/>
      <c r="F185"/>
      <c r="G185" s="15"/>
      <c r="H185" s="8"/>
      <c r="I185" t="s">
        <v>10</v>
      </c>
      <c r="J185" s="2" t="s">
        <v>2</v>
      </c>
      <c r="K185" t="s">
        <v>60</v>
      </c>
      <c r="L185"/>
      <c r="M185"/>
      <c r="N185" s="15"/>
      <c r="O185" s="8"/>
      <c r="P185" t="s">
        <v>10</v>
      </c>
      <c r="Q185" s="2" t="s">
        <v>2</v>
      </c>
      <c r="R185" t="s">
        <v>85</v>
      </c>
      <c r="S185"/>
      <c r="T185"/>
      <c r="U185" s="15"/>
    </row>
    <row r="186" spans="1:21">
      <c r="A186" s="8"/>
      <c r="B186" t="s">
        <v>12</v>
      </c>
      <c r="C186" s="2" t="s">
        <v>2</v>
      </c>
      <c r="D186" t="s">
        <v>13</v>
      </c>
      <c r="E186"/>
      <c r="F186"/>
      <c r="G186" s="15"/>
      <c r="H186" s="8"/>
      <c r="I186" t="s">
        <v>12</v>
      </c>
      <c r="J186" s="2" t="s">
        <v>2</v>
      </c>
      <c r="K186" t="s">
        <v>13</v>
      </c>
      <c r="L186"/>
      <c r="M186"/>
      <c r="N186" s="15"/>
      <c r="O186" s="8"/>
      <c r="P186" t="s">
        <v>12</v>
      </c>
      <c r="Q186" s="2" t="s">
        <v>2</v>
      </c>
      <c r="R186" t="s">
        <v>13</v>
      </c>
      <c r="S186"/>
      <c r="T186"/>
      <c r="U186" s="15"/>
    </row>
    <row r="187" spans="1:21">
      <c r="A187" s="8"/>
      <c r="B187" s="3" t="s">
        <v>14</v>
      </c>
      <c r="C187" s="4" t="s">
        <v>2</v>
      </c>
      <c r="D187" s="3" t="s">
        <v>15</v>
      </c>
      <c r="E187" s="3"/>
      <c r="F187" s="3"/>
      <c r="G187" s="15"/>
      <c r="H187" s="8"/>
      <c r="I187" s="3" t="s">
        <v>14</v>
      </c>
      <c r="J187" s="4" t="s">
        <v>2</v>
      </c>
      <c r="K187" s="3" t="s">
        <v>15</v>
      </c>
      <c r="L187" s="3"/>
      <c r="M187" s="3"/>
      <c r="N187" s="15"/>
      <c r="O187" s="8"/>
      <c r="P187" s="3" t="s">
        <v>14</v>
      </c>
      <c r="Q187" s="4" t="s">
        <v>2</v>
      </c>
      <c r="R187" s="3" t="s">
        <v>15</v>
      </c>
      <c r="S187" s="3"/>
      <c r="T187" s="3"/>
      <c r="U187" s="15"/>
    </row>
    <row r="188" spans="1:21">
      <c r="A188" s="8"/>
      <c r="B188" t="s">
        <v>16</v>
      </c>
      <c r="C188"/>
      <c r="D188"/>
      <c r="E188" s="2" t="s">
        <v>2</v>
      </c>
      <c r="F188" s="5">
        <v>3584000</v>
      </c>
      <c r="G188" s="15"/>
      <c r="H188" s="8"/>
      <c r="I188" t="s">
        <v>16</v>
      </c>
      <c r="J188"/>
      <c r="K188"/>
      <c r="L188" s="2" t="s">
        <v>2</v>
      </c>
      <c r="M188" s="5">
        <v>3583000</v>
      </c>
      <c r="N188" s="15"/>
      <c r="O188" s="8"/>
      <c r="P188" t="s">
        <v>16</v>
      </c>
      <c r="Q188"/>
      <c r="R188"/>
      <c r="S188" s="2" t="s">
        <v>2</v>
      </c>
      <c r="T188" s="5">
        <v>3596000</v>
      </c>
      <c r="U188" s="15"/>
    </row>
    <row r="189" spans="1:21">
      <c r="A189" s="8"/>
      <c r="B189" t="s">
        <v>17</v>
      </c>
      <c r="C189"/>
      <c r="D189"/>
      <c r="E189" s="2" t="s">
        <v>2</v>
      </c>
      <c r="F189" s="5">
        <v>0</v>
      </c>
      <c r="G189" s="15"/>
      <c r="H189" s="8"/>
      <c r="I189" t="s">
        <v>17</v>
      </c>
      <c r="J189"/>
      <c r="K189"/>
      <c r="L189" s="2" t="s">
        <v>2</v>
      </c>
      <c r="M189" s="5">
        <v>0</v>
      </c>
      <c r="N189" s="15"/>
      <c r="O189" s="8"/>
      <c r="P189" t="s">
        <v>17</v>
      </c>
      <c r="Q189"/>
      <c r="R189"/>
      <c r="S189" s="2" t="s">
        <v>2</v>
      </c>
      <c r="T189" s="5">
        <v>0</v>
      </c>
      <c r="U189" s="15"/>
    </row>
    <row r="190" spans="1:21">
      <c r="A190" s="8"/>
      <c r="B190" t="s">
        <v>18</v>
      </c>
      <c r="C190"/>
      <c r="D190"/>
      <c r="E190" s="2" t="s">
        <v>2</v>
      </c>
      <c r="F190" s="5">
        <v>0</v>
      </c>
      <c r="G190" s="15"/>
      <c r="H190" s="8"/>
      <c r="I190" t="s">
        <v>18</v>
      </c>
      <c r="J190"/>
      <c r="K190"/>
      <c r="L190" s="2" t="s">
        <v>2</v>
      </c>
      <c r="M190" s="5">
        <v>0</v>
      </c>
      <c r="N190" s="15"/>
      <c r="O190" s="8"/>
      <c r="P190" t="s">
        <v>18</v>
      </c>
      <c r="Q190"/>
      <c r="R190"/>
      <c r="S190" s="2" t="s">
        <v>2</v>
      </c>
      <c r="T190" s="5">
        <v>0</v>
      </c>
      <c r="U190" s="15"/>
    </row>
    <row r="191" spans="1:21">
      <c r="A191" s="8"/>
      <c r="B191" t="s">
        <v>19</v>
      </c>
      <c r="C191"/>
      <c r="D191"/>
      <c r="E191" s="2" t="s">
        <v>2</v>
      </c>
      <c r="F191" s="5">
        <v>0</v>
      </c>
      <c r="G191" s="15"/>
      <c r="H191" s="8"/>
      <c r="I191" t="s">
        <v>19</v>
      </c>
      <c r="J191"/>
      <c r="K191"/>
      <c r="L191" s="2" t="s">
        <v>2</v>
      </c>
      <c r="M191" s="5">
        <v>0</v>
      </c>
      <c r="N191" s="15"/>
      <c r="O191" s="8"/>
      <c r="P191" t="s">
        <v>19</v>
      </c>
      <c r="Q191"/>
      <c r="R191"/>
      <c r="S191" s="2" t="s">
        <v>2</v>
      </c>
      <c r="T191" s="5">
        <v>0</v>
      </c>
      <c r="U191" s="15"/>
    </row>
    <row r="192" spans="1:21">
      <c r="A192" s="8"/>
      <c r="B192"/>
      <c r="C192"/>
      <c r="D192"/>
      <c r="E192"/>
      <c r="F192"/>
      <c r="G192" s="15"/>
      <c r="H192" s="8"/>
      <c r="I192"/>
      <c r="J192"/>
      <c r="K192"/>
      <c r="L192"/>
      <c r="M192"/>
      <c r="N192" s="15"/>
      <c r="O192" s="8"/>
      <c r="P192"/>
      <c r="Q192"/>
      <c r="R192"/>
      <c r="S192"/>
      <c r="T192"/>
      <c r="U192" s="15"/>
    </row>
    <row r="193" spans="1:21">
      <c r="A193" s="8"/>
      <c r="B193" s="2" t="s">
        <v>20</v>
      </c>
      <c r="C193"/>
      <c r="D193"/>
      <c r="E193"/>
      <c r="F193"/>
      <c r="G193" s="15"/>
      <c r="H193" s="8"/>
      <c r="I193" s="2" t="s">
        <v>20</v>
      </c>
      <c r="J193"/>
      <c r="K193"/>
      <c r="L193"/>
      <c r="M193"/>
      <c r="N193" s="15"/>
      <c r="O193" s="8"/>
      <c r="P193" s="2" t="s">
        <v>20</v>
      </c>
      <c r="Q193"/>
      <c r="R193"/>
      <c r="S193"/>
      <c r="T193"/>
      <c r="U193" s="15"/>
    </row>
    <row r="194" spans="1:21">
      <c r="A194" s="8"/>
      <c r="B194" t="s">
        <v>21</v>
      </c>
      <c r="C194"/>
      <c r="D194"/>
      <c r="E194" s="2" t="s">
        <v>2</v>
      </c>
      <c r="F194" s="5">
        <v>238933.33</v>
      </c>
      <c r="G194" s="15"/>
      <c r="H194" s="8"/>
      <c r="I194" t="s">
        <v>21</v>
      </c>
      <c r="J194"/>
      <c r="K194"/>
      <c r="L194" s="2" t="s">
        <v>2</v>
      </c>
      <c r="M194" s="5">
        <v>238866.67</v>
      </c>
      <c r="N194" s="15"/>
      <c r="O194" s="8"/>
      <c r="P194" t="s">
        <v>21</v>
      </c>
      <c r="Q194"/>
      <c r="R194"/>
      <c r="S194" s="2" t="s">
        <v>2</v>
      </c>
      <c r="T194" s="5">
        <v>1678133.38</v>
      </c>
      <c r="U194" s="15"/>
    </row>
    <row r="195" spans="1:21">
      <c r="A195" s="8"/>
      <c r="B195" t="s">
        <v>22</v>
      </c>
      <c r="C195"/>
      <c r="D195"/>
      <c r="E195" s="2" t="s">
        <v>2</v>
      </c>
      <c r="F195" s="5">
        <v>107520</v>
      </c>
      <c r="G195" s="15"/>
      <c r="H195" s="8"/>
      <c r="I195" t="s">
        <v>22</v>
      </c>
      <c r="J195"/>
      <c r="K195"/>
      <c r="L195" s="2" t="s">
        <v>2</v>
      </c>
      <c r="M195" s="5">
        <v>107490</v>
      </c>
      <c r="N195" s="15"/>
      <c r="O195" s="8"/>
      <c r="P195" t="s">
        <v>22</v>
      </c>
      <c r="Q195"/>
      <c r="R195"/>
      <c r="S195" s="2" t="s">
        <v>2</v>
      </c>
      <c r="T195" s="5">
        <v>107880</v>
      </c>
      <c r="U195" s="15"/>
    </row>
    <row r="196" spans="1:21">
      <c r="A196" s="8"/>
      <c r="B196" s="3" t="s">
        <v>23</v>
      </c>
      <c r="C196" s="3"/>
      <c r="D196" s="3"/>
      <c r="E196" s="4" t="s">
        <v>2</v>
      </c>
      <c r="F196" s="6">
        <v>35745</v>
      </c>
      <c r="G196" s="15"/>
      <c r="H196" s="8"/>
      <c r="I196" s="3" t="s">
        <v>23</v>
      </c>
      <c r="J196" s="3"/>
      <c r="K196" s="3"/>
      <c r="L196" s="4" t="s">
        <v>2</v>
      </c>
      <c r="M196" s="6">
        <v>35745</v>
      </c>
      <c r="N196" s="15"/>
      <c r="O196" s="8"/>
      <c r="P196" s="3" t="s">
        <v>23</v>
      </c>
      <c r="Q196" s="3"/>
      <c r="R196" s="3"/>
      <c r="S196" s="4" t="s">
        <v>2</v>
      </c>
      <c r="T196" s="6">
        <v>35745</v>
      </c>
      <c r="U196" s="15"/>
    </row>
    <row r="197" spans="1:21">
      <c r="A197" s="8"/>
      <c r="B197" t="s">
        <v>24</v>
      </c>
      <c r="C197"/>
      <c r="D197"/>
      <c r="E197" s="2" t="s">
        <v>2</v>
      </c>
      <c r="F197" s="5" t="str">
        <f>sum(f194:f196)</f>
        <v>0</v>
      </c>
      <c r="G197" s="15"/>
      <c r="H197" s="8"/>
      <c r="I197" t="s">
        <v>24</v>
      </c>
      <c r="J197"/>
      <c r="K197"/>
      <c r="L197" s="2" t="s">
        <v>2</v>
      </c>
      <c r="M197" s="5" t="str">
        <f>sum(m194:m196)</f>
        <v>0</v>
      </c>
      <c r="N197" s="15"/>
      <c r="O197" s="8"/>
      <c r="P197" t="s">
        <v>24</v>
      </c>
      <c r="Q197"/>
      <c r="R197"/>
      <c r="S197" s="2" t="s">
        <v>2</v>
      </c>
      <c r="T197" s="5" t="str">
        <f>sum(t194:t196)</f>
        <v>0</v>
      </c>
      <c r="U197" s="15"/>
    </row>
    <row r="198" spans="1:21">
      <c r="A198" s="9"/>
      <c r="B198" s="11" t="s">
        <v>25</v>
      </c>
      <c r="C198" s="11"/>
      <c r="D198" s="11"/>
      <c r="E198" s="12" t="s">
        <v>2</v>
      </c>
      <c r="F198" s="13" t="str">
        <f>sum(f188:f191)-f197</f>
        <v>0</v>
      </c>
      <c r="G198" s="16"/>
      <c r="H198" s="9"/>
      <c r="I198" s="11" t="s">
        <v>25</v>
      </c>
      <c r="J198" s="11"/>
      <c r="K198" s="11"/>
      <c r="L198" s="12" t="s">
        <v>2</v>
      </c>
      <c r="M198" s="13" t="str">
        <f>sum(m188:m191)-m197</f>
        <v>0</v>
      </c>
      <c r="N198" s="16"/>
      <c r="O198" s="9"/>
      <c r="P198" s="11" t="s">
        <v>25</v>
      </c>
      <c r="Q198" s="11"/>
      <c r="R198" s="11"/>
      <c r="S198" s="12" t="s">
        <v>2</v>
      </c>
      <c r="T198" s="13" t="str">
        <f>sum(t188:t191)-t197</f>
        <v>0</v>
      </c>
      <c r="U198" s="16"/>
    </row>
    <row r="199" spans="1:21">
      <c r="A199" s="7"/>
      <c r="B199" s="10"/>
      <c r="C199" s="10"/>
      <c r="D199" s="10"/>
      <c r="E199" s="10"/>
      <c r="F199" s="10"/>
      <c r="G199" s="14"/>
      <c r="H199" s="7"/>
      <c r="I199" s="10"/>
      <c r="J199" s="10"/>
      <c r="K199" s="10"/>
      <c r="L199" s="10"/>
      <c r="M199" s="10"/>
      <c r="N199" s="14"/>
      <c r="O199" s="7"/>
      <c r="P199" s="10"/>
      <c r="Q199" s="10"/>
      <c r="R199" s="10"/>
      <c r="S199" s="10"/>
      <c r="T199" s="10"/>
      <c r="U199" s="14"/>
    </row>
    <row r="200" spans="1:21">
      <c r="A200" s="8"/>
      <c r="B200" s="1" t="s">
        <v>0</v>
      </c>
      <c r="C200"/>
      <c r="D200"/>
      <c r="E200"/>
      <c r="F200"/>
      <c r="G200" s="15"/>
      <c r="H200" s="8"/>
      <c r="I200" s="1" t="s">
        <v>0</v>
      </c>
      <c r="J200"/>
      <c r="K200"/>
      <c r="L200"/>
      <c r="M200"/>
      <c r="N200" s="15"/>
      <c r="O200" s="8"/>
      <c r="P200" s="1" t="s">
        <v>0</v>
      </c>
      <c r="Q200"/>
      <c r="R200"/>
      <c r="S200"/>
      <c r="T200"/>
      <c r="U200" s="15"/>
    </row>
    <row r="201" spans="1:21">
      <c r="A201" s="8"/>
      <c r="B201" t="s">
        <v>1</v>
      </c>
      <c r="C201" s="2" t="s">
        <v>2</v>
      </c>
      <c r="D201" t="s">
        <v>86</v>
      </c>
      <c r="E201"/>
      <c r="F201"/>
      <c r="G201" s="15"/>
      <c r="H201" s="8"/>
      <c r="I201" t="s">
        <v>1</v>
      </c>
      <c r="J201" s="2" t="s">
        <v>2</v>
      </c>
      <c r="K201" t="s">
        <v>87</v>
      </c>
      <c r="L201"/>
      <c r="M201"/>
      <c r="N201" s="15"/>
      <c r="O201" s="8"/>
      <c r="P201" t="s">
        <v>1</v>
      </c>
      <c r="Q201" s="2" t="s">
        <v>2</v>
      </c>
      <c r="R201" t="s">
        <v>88</v>
      </c>
      <c r="S201"/>
      <c r="T201"/>
      <c r="U201" s="15"/>
    </row>
    <row r="202" spans="1:21">
      <c r="A202" s="8"/>
      <c r="B202" t="s">
        <v>6</v>
      </c>
      <c r="C202" s="2" t="s">
        <v>2</v>
      </c>
      <c r="D202" t="s">
        <v>89</v>
      </c>
      <c r="E202"/>
      <c r="F202"/>
      <c r="G202" s="15"/>
      <c r="H202" s="8"/>
      <c r="I202" t="s">
        <v>6</v>
      </c>
      <c r="J202" s="2" t="s">
        <v>2</v>
      </c>
      <c r="K202" t="s">
        <v>90</v>
      </c>
      <c r="L202"/>
      <c r="M202"/>
      <c r="N202" s="15"/>
      <c r="O202" s="8"/>
      <c r="P202" t="s">
        <v>6</v>
      </c>
      <c r="Q202" s="2" t="s">
        <v>2</v>
      </c>
      <c r="R202" t="s">
        <v>91</v>
      </c>
      <c r="S202"/>
      <c r="T202"/>
      <c r="U202" s="15"/>
    </row>
    <row r="203" spans="1:21">
      <c r="A203" s="8"/>
      <c r="B203" t="s">
        <v>10</v>
      </c>
      <c r="C203" s="2" t="s">
        <v>2</v>
      </c>
      <c r="D203" t="s">
        <v>85</v>
      </c>
      <c r="E203"/>
      <c r="F203"/>
      <c r="G203" s="15"/>
      <c r="H203" s="8"/>
      <c r="I203" t="s">
        <v>10</v>
      </c>
      <c r="J203" s="2" t="s">
        <v>2</v>
      </c>
      <c r="K203" t="s">
        <v>85</v>
      </c>
      <c r="L203"/>
      <c r="M203"/>
      <c r="N203" s="15"/>
      <c r="O203" s="8"/>
      <c r="P203" t="s">
        <v>10</v>
      </c>
      <c r="Q203" s="2" t="s">
        <v>2</v>
      </c>
      <c r="R203" t="s">
        <v>85</v>
      </c>
      <c r="S203"/>
      <c r="T203"/>
      <c r="U203" s="15"/>
    </row>
    <row r="204" spans="1:21">
      <c r="A204" s="8"/>
      <c r="B204" t="s">
        <v>12</v>
      </c>
      <c r="C204" s="2" t="s">
        <v>2</v>
      </c>
      <c r="D204" t="s">
        <v>13</v>
      </c>
      <c r="E204"/>
      <c r="F204"/>
      <c r="G204" s="15"/>
      <c r="H204" s="8"/>
      <c r="I204" t="s">
        <v>12</v>
      </c>
      <c r="J204" s="2" t="s">
        <v>2</v>
      </c>
      <c r="K204" t="s">
        <v>13</v>
      </c>
      <c r="L204"/>
      <c r="M204"/>
      <c r="N204" s="15"/>
      <c r="O204" s="8"/>
      <c r="P204" t="s">
        <v>12</v>
      </c>
      <c r="Q204" s="2" t="s">
        <v>2</v>
      </c>
      <c r="R204" t="s">
        <v>13</v>
      </c>
      <c r="S204"/>
      <c r="T204"/>
      <c r="U204" s="15"/>
    </row>
    <row r="205" spans="1:21">
      <c r="A205" s="8"/>
      <c r="B205" s="3" t="s">
        <v>14</v>
      </c>
      <c r="C205" s="4" t="s">
        <v>2</v>
      </c>
      <c r="D205" s="3" t="s">
        <v>15</v>
      </c>
      <c r="E205" s="3"/>
      <c r="F205" s="3"/>
      <c r="G205" s="15"/>
      <c r="H205" s="8"/>
      <c r="I205" s="3" t="s">
        <v>14</v>
      </c>
      <c r="J205" s="4" t="s">
        <v>2</v>
      </c>
      <c r="K205" s="3" t="s">
        <v>15</v>
      </c>
      <c r="L205" s="3"/>
      <c r="M205" s="3"/>
      <c r="N205" s="15"/>
      <c r="O205" s="8"/>
      <c r="P205" s="3" t="s">
        <v>14</v>
      </c>
      <c r="Q205" s="4" t="s">
        <v>2</v>
      </c>
      <c r="R205" s="3" t="s">
        <v>15</v>
      </c>
      <c r="S205" s="3"/>
      <c r="T205" s="3"/>
      <c r="U205" s="15"/>
    </row>
    <row r="206" spans="1:21">
      <c r="A206" s="8"/>
      <c r="B206" t="s">
        <v>16</v>
      </c>
      <c r="C206"/>
      <c r="D206"/>
      <c r="E206" s="2" t="s">
        <v>2</v>
      </c>
      <c r="F206" s="5">
        <v>3591000</v>
      </c>
      <c r="G206" s="15"/>
      <c r="H206" s="8"/>
      <c r="I206" t="s">
        <v>16</v>
      </c>
      <c r="J206"/>
      <c r="K206"/>
      <c r="L206" s="2" t="s">
        <v>2</v>
      </c>
      <c r="M206" s="5">
        <v>3595000</v>
      </c>
      <c r="N206" s="15"/>
      <c r="O206" s="8"/>
      <c r="P206" t="s">
        <v>16</v>
      </c>
      <c r="Q206"/>
      <c r="R206"/>
      <c r="S206" s="2" t="s">
        <v>2</v>
      </c>
      <c r="T206" s="5">
        <v>3594000</v>
      </c>
      <c r="U206" s="15"/>
    </row>
    <row r="207" spans="1:21">
      <c r="A207" s="8"/>
      <c r="B207" t="s">
        <v>17</v>
      </c>
      <c r="C207"/>
      <c r="D207"/>
      <c r="E207" s="2" t="s">
        <v>2</v>
      </c>
      <c r="F207" s="5">
        <v>0</v>
      </c>
      <c r="G207" s="15"/>
      <c r="H207" s="8"/>
      <c r="I207" t="s">
        <v>17</v>
      </c>
      <c r="J207"/>
      <c r="K207"/>
      <c r="L207" s="2" t="s">
        <v>2</v>
      </c>
      <c r="M207" s="5">
        <v>0</v>
      </c>
      <c r="N207" s="15"/>
      <c r="O207" s="8"/>
      <c r="P207" t="s">
        <v>17</v>
      </c>
      <c r="Q207"/>
      <c r="R207"/>
      <c r="S207" s="2" t="s">
        <v>2</v>
      </c>
      <c r="T207" s="5">
        <v>0</v>
      </c>
      <c r="U207" s="15"/>
    </row>
    <row r="208" spans="1:21">
      <c r="A208" s="8"/>
      <c r="B208" t="s">
        <v>18</v>
      </c>
      <c r="C208"/>
      <c r="D208"/>
      <c r="E208" s="2" t="s">
        <v>2</v>
      </c>
      <c r="F208" s="5">
        <v>0</v>
      </c>
      <c r="G208" s="15"/>
      <c r="H208" s="8"/>
      <c r="I208" t="s">
        <v>18</v>
      </c>
      <c r="J208"/>
      <c r="K208"/>
      <c r="L208" s="2" t="s">
        <v>2</v>
      </c>
      <c r="M208" s="5">
        <v>0</v>
      </c>
      <c r="N208" s="15"/>
      <c r="O208" s="8"/>
      <c r="P208" t="s">
        <v>18</v>
      </c>
      <c r="Q208"/>
      <c r="R208"/>
      <c r="S208" s="2" t="s">
        <v>2</v>
      </c>
      <c r="T208" s="5">
        <v>0</v>
      </c>
      <c r="U208" s="15"/>
    </row>
    <row r="209" spans="1:21">
      <c r="A209" s="8"/>
      <c r="B209" t="s">
        <v>19</v>
      </c>
      <c r="C209"/>
      <c r="D209"/>
      <c r="E209" s="2" t="s">
        <v>2</v>
      </c>
      <c r="F209" s="5">
        <v>2000</v>
      </c>
      <c r="G209" s="15"/>
      <c r="H209" s="8"/>
      <c r="I209" t="s">
        <v>19</v>
      </c>
      <c r="J209"/>
      <c r="K209"/>
      <c r="L209" s="2" t="s">
        <v>2</v>
      </c>
      <c r="M209" s="5">
        <v>6000</v>
      </c>
      <c r="N209" s="15"/>
      <c r="O209" s="8"/>
      <c r="P209" t="s">
        <v>19</v>
      </c>
      <c r="Q209"/>
      <c r="R209"/>
      <c r="S209" s="2" t="s">
        <v>2</v>
      </c>
      <c r="T209" s="5">
        <v>0</v>
      </c>
      <c r="U209" s="15"/>
    </row>
    <row r="210" spans="1:21">
      <c r="A210" s="8"/>
      <c r="B210"/>
      <c r="C210"/>
      <c r="D210"/>
      <c r="E210"/>
      <c r="F210"/>
      <c r="G210" s="15"/>
      <c r="H210" s="8"/>
      <c r="I210"/>
      <c r="J210"/>
      <c r="K210"/>
      <c r="L210"/>
      <c r="M210"/>
      <c r="N210" s="15"/>
      <c r="O210" s="8"/>
      <c r="P210"/>
      <c r="Q210"/>
      <c r="R210"/>
      <c r="S210"/>
      <c r="T210"/>
      <c r="U210" s="15"/>
    </row>
    <row r="211" spans="1:21">
      <c r="A211" s="8"/>
      <c r="B211" s="2" t="s">
        <v>20</v>
      </c>
      <c r="C211"/>
      <c r="D211"/>
      <c r="E211"/>
      <c r="F211"/>
      <c r="G211" s="15"/>
      <c r="H211" s="8"/>
      <c r="I211" s="2" t="s">
        <v>20</v>
      </c>
      <c r="J211"/>
      <c r="K211"/>
      <c r="L211"/>
      <c r="M211"/>
      <c r="N211" s="15"/>
      <c r="O211" s="8"/>
      <c r="P211" s="2" t="s">
        <v>20</v>
      </c>
      <c r="Q211"/>
      <c r="R211"/>
      <c r="S211"/>
      <c r="T211"/>
      <c r="U211" s="15"/>
    </row>
    <row r="212" spans="1:21">
      <c r="A212" s="8"/>
      <c r="B212" t="s">
        <v>21</v>
      </c>
      <c r="C212"/>
      <c r="D212"/>
      <c r="E212" s="2" t="s">
        <v>2</v>
      </c>
      <c r="F212" s="5">
        <v>2094750</v>
      </c>
      <c r="G212" s="15"/>
      <c r="H212" s="8"/>
      <c r="I212" t="s">
        <v>21</v>
      </c>
      <c r="J212"/>
      <c r="K212"/>
      <c r="L212" s="2" t="s">
        <v>2</v>
      </c>
      <c r="M212" s="5">
        <v>359500</v>
      </c>
      <c r="N212" s="15"/>
      <c r="O212" s="8"/>
      <c r="P212" t="s">
        <v>21</v>
      </c>
      <c r="Q212"/>
      <c r="R212"/>
      <c r="S212" s="2" t="s">
        <v>2</v>
      </c>
      <c r="T212" s="5">
        <v>2300160</v>
      </c>
      <c r="U212" s="15"/>
    </row>
    <row r="213" spans="1:21">
      <c r="A213" s="8"/>
      <c r="B213" t="s">
        <v>22</v>
      </c>
      <c r="C213"/>
      <c r="D213"/>
      <c r="E213" s="2" t="s">
        <v>2</v>
      </c>
      <c r="F213" s="5">
        <v>107730</v>
      </c>
      <c r="G213" s="15"/>
      <c r="H213" s="8"/>
      <c r="I213" t="s">
        <v>22</v>
      </c>
      <c r="J213"/>
      <c r="K213"/>
      <c r="L213" s="2" t="s">
        <v>2</v>
      </c>
      <c r="M213" s="5">
        <v>107850</v>
      </c>
      <c r="N213" s="15"/>
      <c r="O213" s="8"/>
      <c r="P213" t="s">
        <v>22</v>
      </c>
      <c r="Q213"/>
      <c r="R213"/>
      <c r="S213" s="2" t="s">
        <v>2</v>
      </c>
      <c r="T213" s="5">
        <v>107820</v>
      </c>
      <c r="U213" s="15"/>
    </row>
    <row r="214" spans="1:21">
      <c r="A214" s="8"/>
      <c r="B214" s="3" t="s">
        <v>23</v>
      </c>
      <c r="C214" s="3"/>
      <c r="D214" s="3"/>
      <c r="E214" s="4" t="s">
        <v>2</v>
      </c>
      <c r="F214" s="6">
        <v>35745</v>
      </c>
      <c r="G214" s="15"/>
      <c r="H214" s="8"/>
      <c r="I214" s="3" t="s">
        <v>23</v>
      </c>
      <c r="J214" s="3"/>
      <c r="K214" s="3"/>
      <c r="L214" s="4" t="s">
        <v>2</v>
      </c>
      <c r="M214" s="6">
        <v>35745</v>
      </c>
      <c r="N214" s="15"/>
      <c r="O214" s="8"/>
      <c r="P214" s="3" t="s">
        <v>23</v>
      </c>
      <c r="Q214" s="3"/>
      <c r="R214" s="3"/>
      <c r="S214" s="4" t="s">
        <v>2</v>
      </c>
      <c r="T214" s="6">
        <v>35745</v>
      </c>
      <c r="U214" s="15"/>
    </row>
    <row r="215" spans="1:21">
      <c r="A215" s="8"/>
      <c r="B215" t="s">
        <v>24</v>
      </c>
      <c r="C215"/>
      <c r="D215"/>
      <c r="E215" s="2" t="s">
        <v>2</v>
      </c>
      <c r="F215" s="5" t="str">
        <f>sum(f212:f214)</f>
        <v>0</v>
      </c>
      <c r="G215" s="15"/>
      <c r="H215" s="8"/>
      <c r="I215" t="s">
        <v>24</v>
      </c>
      <c r="J215"/>
      <c r="K215"/>
      <c r="L215" s="2" t="s">
        <v>2</v>
      </c>
      <c r="M215" s="5" t="str">
        <f>sum(m212:m214)</f>
        <v>0</v>
      </c>
      <c r="N215" s="15"/>
      <c r="O215" s="8"/>
      <c r="P215" t="s">
        <v>24</v>
      </c>
      <c r="Q215"/>
      <c r="R215"/>
      <c r="S215" s="2" t="s">
        <v>2</v>
      </c>
      <c r="T215" s="5" t="str">
        <f>sum(t212:t214)</f>
        <v>0</v>
      </c>
      <c r="U215" s="15"/>
    </row>
    <row r="216" spans="1:21">
      <c r="A216" s="9"/>
      <c r="B216" s="11" t="s">
        <v>25</v>
      </c>
      <c r="C216" s="11"/>
      <c r="D216" s="11"/>
      <c r="E216" s="12" t="s">
        <v>2</v>
      </c>
      <c r="F216" s="13" t="str">
        <f>sum(f206:f209)-f215</f>
        <v>0</v>
      </c>
      <c r="G216" s="16"/>
      <c r="H216" s="9"/>
      <c r="I216" s="11" t="s">
        <v>25</v>
      </c>
      <c r="J216" s="11"/>
      <c r="K216" s="11"/>
      <c r="L216" s="12" t="s">
        <v>2</v>
      </c>
      <c r="M216" s="13" t="str">
        <f>sum(m206:m209)-m215</f>
        <v>0</v>
      </c>
      <c r="N216" s="16"/>
      <c r="O216" s="9"/>
      <c r="P216" s="11" t="s">
        <v>25</v>
      </c>
      <c r="Q216" s="11"/>
      <c r="R216" s="11"/>
      <c r="S216" s="12" t="s">
        <v>2</v>
      </c>
      <c r="T216" s="13" t="str">
        <f>sum(t206:t209)-t215</f>
        <v>0</v>
      </c>
      <c r="U216" s="16"/>
    </row>
    <row r="217" spans="1:21">
      <c r="A217" s="7"/>
      <c r="B217" s="10"/>
      <c r="C217" s="10"/>
      <c r="D217" s="10"/>
      <c r="E217" s="10"/>
      <c r="F217" s="10"/>
      <c r="G217" s="14"/>
      <c r="H217" s="7"/>
      <c r="I217" s="10"/>
      <c r="J217" s="10"/>
      <c r="K217" s="10"/>
      <c r="L217" s="10"/>
      <c r="M217" s="10"/>
      <c r="N217" s="14"/>
      <c r="O217" s="7"/>
      <c r="P217" s="10"/>
      <c r="Q217" s="10"/>
      <c r="R217" s="10"/>
      <c r="S217" s="10"/>
      <c r="T217" s="10"/>
      <c r="U217" s="14"/>
    </row>
    <row r="218" spans="1:21">
      <c r="A218" s="8"/>
      <c r="B218" s="1" t="s">
        <v>0</v>
      </c>
      <c r="C218"/>
      <c r="D218"/>
      <c r="E218"/>
      <c r="F218"/>
      <c r="G218" s="15"/>
      <c r="H218" s="8"/>
      <c r="I218" s="1" t="s">
        <v>0</v>
      </c>
      <c r="J218"/>
      <c r="K218"/>
      <c r="L218"/>
      <c r="M218"/>
      <c r="N218" s="15"/>
      <c r="O218" s="8"/>
      <c r="P218" s="1" t="s">
        <v>0</v>
      </c>
      <c r="Q218"/>
      <c r="R218"/>
      <c r="S218"/>
      <c r="T218"/>
      <c r="U218" s="15"/>
    </row>
    <row r="219" spans="1:21">
      <c r="A219" s="8"/>
      <c r="B219" t="s">
        <v>1</v>
      </c>
      <c r="C219" s="2" t="s">
        <v>2</v>
      </c>
      <c r="D219" t="s">
        <v>92</v>
      </c>
      <c r="E219"/>
      <c r="F219"/>
      <c r="G219" s="15"/>
      <c r="H219" s="8"/>
      <c r="I219" t="s">
        <v>1</v>
      </c>
      <c r="J219" s="2" t="s">
        <v>2</v>
      </c>
      <c r="K219" t="s">
        <v>93</v>
      </c>
      <c r="L219"/>
      <c r="M219"/>
      <c r="N219" s="15"/>
      <c r="O219" s="8"/>
      <c r="P219" t="s">
        <v>1</v>
      </c>
      <c r="Q219" s="2" t="s">
        <v>2</v>
      </c>
      <c r="R219" t="s">
        <v>94</v>
      </c>
      <c r="S219"/>
      <c r="T219"/>
      <c r="U219" s="15"/>
    </row>
    <row r="220" spans="1:21">
      <c r="A220" s="8"/>
      <c r="B220" t="s">
        <v>6</v>
      </c>
      <c r="C220" s="2" t="s">
        <v>2</v>
      </c>
      <c r="D220" t="s">
        <v>95</v>
      </c>
      <c r="E220"/>
      <c r="F220"/>
      <c r="G220" s="15"/>
      <c r="H220" s="8"/>
      <c r="I220" t="s">
        <v>6</v>
      </c>
      <c r="J220" s="2" t="s">
        <v>2</v>
      </c>
      <c r="K220" t="s">
        <v>96</v>
      </c>
      <c r="L220"/>
      <c r="M220"/>
      <c r="N220" s="15"/>
      <c r="O220" s="8"/>
      <c r="P220" t="s">
        <v>6</v>
      </c>
      <c r="Q220" s="2" t="s">
        <v>2</v>
      </c>
      <c r="R220" t="s">
        <v>97</v>
      </c>
      <c r="S220"/>
      <c r="T220"/>
      <c r="U220" s="15"/>
    </row>
    <row r="221" spans="1:21">
      <c r="A221" s="8"/>
      <c r="B221" t="s">
        <v>10</v>
      </c>
      <c r="C221" s="2" t="s">
        <v>2</v>
      </c>
      <c r="D221" t="s">
        <v>85</v>
      </c>
      <c r="E221"/>
      <c r="F221"/>
      <c r="G221" s="15"/>
      <c r="H221" s="8"/>
      <c r="I221" t="s">
        <v>10</v>
      </c>
      <c r="J221" s="2" t="s">
        <v>2</v>
      </c>
      <c r="K221" t="s">
        <v>85</v>
      </c>
      <c r="L221"/>
      <c r="M221"/>
      <c r="N221" s="15"/>
      <c r="O221" s="8"/>
      <c r="P221" t="s">
        <v>10</v>
      </c>
      <c r="Q221" s="2" t="s">
        <v>2</v>
      </c>
      <c r="R221" t="s">
        <v>85</v>
      </c>
      <c r="S221"/>
      <c r="T221"/>
      <c r="U221" s="15"/>
    </row>
    <row r="222" spans="1:21">
      <c r="A222" s="8"/>
      <c r="B222" t="s">
        <v>12</v>
      </c>
      <c r="C222" s="2" t="s">
        <v>2</v>
      </c>
      <c r="D222" t="s">
        <v>13</v>
      </c>
      <c r="E222"/>
      <c r="F222"/>
      <c r="G222" s="15"/>
      <c r="H222" s="8"/>
      <c r="I222" t="s">
        <v>12</v>
      </c>
      <c r="J222" s="2" t="s">
        <v>2</v>
      </c>
      <c r="K222" t="s">
        <v>13</v>
      </c>
      <c r="L222"/>
      <c r="M222"/>
      <c r="N222" s="15"/>
      <c r="O222" s="8"/>
      <c r="P222" t="s">
        <v>12</v>
      </c>
      <c r="Q222" s="2" t="s">
        <v>2</v>
      </c>
      <c r="R222" t="s">
        <v>13</v>
      </c>
      <c r="S222"/>
      <c r="T222"/>
      <c r="U222" s="15"/>
    </row>
    <row r="223" spans="1:21">
      <c r="A223" s="8"/>
      <c r="B223" s="3" t="s">
        <v>14</v>
      </c>
      <c r="C223" s="4" t="s">
        <v>2</v>
      </c>
      <c r="D223" s="3" t="s">
        <v>15</v>
      </c>
      <c r="E223" s="3"/>
      <c r="F223" s="3"/>
      <c r="G223" s="15"/>
      <c r="H223" s="8"/>
      <c r="I223" s="3" t="s">
        <v>14</v>
      </c>
      <c r="J223" s="4" t="s">
        <v>2</v>
      </c>
      <c r="K223" s="3" t="s">
        <v>15</v>
      </c>
      <c r="L223" s="3"/>
      <c r="M223" s="3"/>
      <c r="N223" s="15"/>
      <c r="O223" s="8"/>
      <c r="P223" s="3" t="s">
        <v>14</v>
      </c>
      <c r="Q223" s="4" t="s">
        <v>2</v>
      </c>
      <c r="R223" s="3" t="s">
        <v>15</v>
      </c>
      <c r="S223" s="3"/>
      <c r="T223" s="3"/>
      <c r="U223" s="15"/>
    </row>
    <row r="224" spans="1:21">
      <c r="A224" s="8"/>
      <c r="B224" t="s">
        <v>16</v>
      </c>
      <c r="C224"/>
      <c r="D224"/>
      <c r="E224" s="2" t="s">
        <v>2</v>
      </c>
      <c r="F224" s="5">
        <v>3589000</v>
      </c>
      <c r="G224" s="15"/>
      <c r="H224" s="8"/>
      <c r="I224" t="s">
        <v>16</v>
      </c>
      <c r="J224"/>
      <c r="K224"/>
      <c r="L224" s="2" t="s">
        <v>2</v>
      </c>
      <c r="M224" s="5">
        <v>3596000</v>
      </c>
      <c r="N224" s="15"/>
      <c r="O224" s="8"/>
      <c r="P224" t="s">
        <v>16</v>
      </c>
      <c r="Q224"/>
      <c r="R224"/>
      <c r="S224" s="2" t="s">
        <v>2</v>
      </c>
      <c r="T224" s="5">
        <v>3595000</v>
      </c>
      <c r="U224" s="15"/>
    </row>
    <row r="225" spans="1:21">
      <c r="A225" s="8"/>
      <c r="B225" t="s">
        <v>17</v>
      </c>
      <c r="C225"/>
      <c r="D225"/>
      <c r="E225" s="2" t="s">
        <v>2</v>
      </c>
      <c r="F225" s="5">
        <v>0</v>
      </c>
      <c r="G225" s="15"/>
      <c r="H225" s="8"/>
      <c r="I225" t="s">
        <v>17</v>
      </c>
      <c r="J225"/>
      <c r="K225"/>
      <c r="L225" s="2" t="s">
        <v>2</v>
      </c>
      <c r="M225" s="5">
        <v>0</v>
      </c>
      <c r="N225" s="15"/>
      <c r="O225" s="8"/>
      <c r="P225" t="s">
        <v>17</v>
      </c>
      <c r="Q225"/>
      <c r="R225"/>
      <c r="S225" s="2" t="s">
        <v>2</v>
      </c>
      <c r="T225" s="5">
        <v>0</v>
      </c>
      <c r="U225" s="15"/>
    </row>
    <row r="226" spans="1:21">
      <c r="A226" s="8"/>
      <c r="B226" t="s">
        <v>18</v>
      </c>
      <c r="C226"/>
      <c r="D226"/>
      <c r="E226" s="2" t="s">
        <v>2</v>
      </c>
      <c r="F226" s="5">
        <v>0</v>
      </c>
      <c r="G226" s="15"/>
      <c r="H226" s="8"/>
      <c r="I226" t="s">
        <v>18</v>
      </c>
      <c r="J226"/>
      <c r="K226"/>
      <c r="L226" s="2" t="s">
        <v>2</v>
      </c>
      <c r="M226" s="5">
        <v>0</v>
      </c>
      <c r="N226" s="15"/>
      <c r="O226" s="8"/>
      <c r="P226" t="s">
        <v>18</v>
      </c>
      <c r="Q226"/>
      <c r="R226"/>
      <c r="S226" s="2" t="s">
        <v>2</v>
      </c>
      <c r="T226" s="5">
        <v>0</v>
      </c>
      <c r="U226" s="15"/>
    </row>
    <row r="227" spans="1:21">
      <c r="A227" s="8"/>
      <c r="B227" t="s">
        <v>19</v>
      </c>
      <c r="C227"/>
      <c r="D227"/>
      <c r="E227" s="2" t="s">
        <v>2</v>
      </c>
      <c r="F227" s="5">
        <v>0</v>
      </c>
      <c r="G227" s="15"/>
      <c r="H227" s="8"/>
      <c r="I227" t="s">
        <v>19</v>
      </c>
      <c r="J227"/>
      <c r="K227"/>
      <c r="L227" s="2" t="s">
        <v>2</v>
      </c>
      <c r="M227" s="5">
        <v>0</v>
      </c>
      <c r="N227" s="15"/>
      <c r="O227" s="8"/>
      <c r="P227" t="s">
        <v>19</v>
      </c>
      <c r="Q227"/>
      <c r="R227"/>
      <c r="S227" s="2" t="s">
        <v>2</v>
      </c>
      <c r="T227" s="5">
        <v>0</v>
      </c>
      <c r="U227" s="15"/>
    </row>
    <row r="228" spans="1:21">
      <c r="A228" s="8"/>
      <c r="B228"/>
      <c r="C228"/>
      <c r="D228"/>
      <c r="E228"/>
      <c r="F228"/>
      <c r="G228" s="15"/>
      <c r="H228" s="8"/>
      <c r="I228"/>
      <c r="J228"/>
      <c r="K228"/>
      <c r="L228"/>
      <c r="M228"/>
      <c r="N228" s="15"/>
      <c r="O228" s="8"/>
      <c r="P228"/>
      <c r="Q228"/>
      <c r="R228"/>
      <c r="S228"/>
      <c r="T228"/>
      <c r="U228" s="15"/>
    </row>
    <row r="229" spans="1:21">
      <c r="A229" s="8"/>
      <c r="B229" s="2" t="s">
        <v>20</v>
      </c>
      <c r="C229"/>
      <c r="D229"/>
      <c r="E229"/>
      <c r="F229"/>
      <c r="G229" s="15"/>
      <c r="H229" s="8"/>
      <c r="I229" s="2" t="s">
        <v>20</v>
      </c>
      <c r="J229"/>
      <c r="K229"/>
      <c r="L229"/>
      <c r="M229"/>
      <c r="N229" s="15"/>
      <c r="O229" s="8"/>
      <c r="P229" s="2" t="s">
        <v>20</v>
      </c>
      <c r="Q229"/>
      <c r="R229"/>
      <c r="S229"/>
      <c r="T229"/>
      <c r="U229" s="15"/>
    </row>
    <row r="230" spans="1:21">
      <c r="A230" s="8"/>
      <c r="B230" t="s">
        <v>21</v>
      </c>
      <c r="C230"/>
      <c r="D230"/>
      <c r="E230" s="2" t="s">
        <v>2</v>
      </c>
      <c r="F230" s="5">
        <v>1866280</v>
      </c>
      <c r="G230" s="15"/>
      <c r="H230" s="8"/>
      <c r="I230" t="s">
        <v>21</v>
      </c>
      <c r="J230"/>
      <c r="K230"/>
      <c r="L230" s="2" t="s">
        <v>2</v>
      </c>
      <c r="M230" s="5">
        <v>2013760</v>
      </c>
      <c r="N230" s="15"/>
      <c r="O230" s="8"/>
      <c r="P230" t="s">
        <v>21</v>
      </c>
      <c r="Q230"/>
      <c r="R230"/>
      <c r="S230" s="2" t="s">
        <v>2</v>
      </c>
      <c r="T230" s="5">
        <v>1869400</v>
      </c>
      <c r="U230" s="15"/>
    </row>
    <row r="231" spans="1:21">
      <c r="A231" s="8"/>
      <c r="B231" t="s">
        <v>22</v>
      </c>
      <c r="C231"/>
      <c r="D231"/>
      <c r="E231" s="2" t="s">
        <v>2</v>
      </c>
      <c r="F231" s="5">
        <v>107670</v>
      </c>
      <c r="G231" s="15"/>
      <c r="H231" s="8"/>
      <c r="I231" t="s">
        <v>22</v>
      </c>
      <c r="J231"/>
      <c r="K231"/>
      <c r="L231" s="2" t="s">
        <v>2</v>
      </c>
      <c r="M231" s="5">
        <v>107880</v>
      </c>
      <c r="N231" s="15"/>
      <c r="O231" s="8"/>
      <c r="P231" t="s">
        <v>22</v>
      </c>
      <c r="Q231"/>
      <c r="R231"/>
      <c r="S231" s="2" t="s">
        <v>2</v>
      </c>
      <c r="T231" s="5">
        <v>107850</v>
      </c>
      <c r="U231" s="15"/>
    </row>
    <row r="232" spans="1:21">
      <c r="A232" s="8"/>
      <c r="B232" s="3" t="s">
        <v>23</v>
      </c>
      <c r="C232" s="3"/>
      <c r="D232" s="3"/>
      <c r="E232" s="4" t="s">
        <v>2</v>
      </c>
      <c r="F232" s="6">
        <v>35745</v>
      </c>
      <c r="G232" s="15"/>
      <c r="H232" s="8"/>
      <c r="I232" s="3" t="s">
        <v>23</v>
      </c>
      <c r="J232" s="3"/>
      <c r="K232" s="3"/>
      <c r="L232" s="4" t="s">
        <v>2</v>
      </c>
      <c r="M232" s="6">
        <v>35745</v>
      </c>
      <c r="N232" s="15"/>
      <c r="O232" s="8"/>
      <c r="P232" s="3" t="s">
        <v>23</v>
      </c>
      <c r="Q232" s="3"/>
      <c r="R232" s="3"/>
      <c r="S232" s="4" t="s">
        <v>2</v>
      </c>
      <c r="T232" s="6">
        <v>35745</v>
      </c>
      <c r="U232" s="15"/>
    </row>
    <row r="233" spans="1:21">
      <c r="A233" s="8"/>
      <c r="B233" t="s">
        <v>24</v>
      </c>
      <c r="C233"/>
      <c r="D233"/>
      <c r="E233" s="2" t="s">
        <v>2</v>
      </c>
      <c r="F233" s="5" t="str">
        <f>sum(f230:f232)</f>
        <v>0</v>
      </c>
      <c r="G233" s="15"/>
      <c r="H233" s="8"/>
      <c r="I233" t="s">
        <v>24</v>
      </c>
      <c r="J233"/>
      <c r="K233"/>
      <c r="L233" s="2" t="s">
        <v>2</v>
      </c>
      <c r="M233" s="5" t="str">
        <f>sum(m230:m232)</f>
        <v>0</v>
      </c>
      <c r="N233" s="15"/>
      <c r="O233" s="8"/>
      <c r="P233" t="s">
        <v>24</v>
      </c>
      <c r="Q233"/>
      <c r="R233"/>
      <c r="S233" s="2" t="s">
        <v>2</v>
      </c>
      <c r="T233" s="5" t="str">
        <f>sum(t230:t232)</f>
        <v>0</v>
      </c>
      <c r="U233" s="15"/>
    </row>
    <row r="234" spans="1:21">
      <c r="A234" s="9"/>
      <c r="B234" s="11" t="s">
        <v>25</v>
      </c>
      <c r="C234" s="11"/>
      <c r="D234" s="11"/>
      <c r="E234" s="12" t="s">
        <v>2</v>
      </c>
      <c r="F234" s="13" t="str">
        <f>sum(f224:f227)-f233</f>
        <v>0</v>
      </c>
      <c r="G234" s="16"/>
      <c r="H234" s="9"/>
      <c r="I234" s="11" t="s">
        <v>25</v>
      </c>
      <c r="J234" s="11"/>
      <c r="K234" s="11"/>
      <c r="L234" s="12" t="s">
        <v>2</v>
      </c>
      <c r="M234" s="13" t="str">
        <f>sum(m224:m227)-m233</f>
        <v>0</v>
      </c>
      <c r="N234" s="16"/>
      <c r="O234" s="9"/>
      <c r="P234" s="11" t="s">
        <v>25</v>
      </c>
      <c r="Q234" s="11"/>
      <c r="R234" s="11"/>
      <c r="S234" s="12" t="s">
        <v>2</v>
      </c>
      <c r="T234" s="13" t="str">
        <f>sum(t224:t227)-t233</f>
        <v>0</v>
      </c>
      <c r="U234" s="16"/>
    </row>
    <row r="235" spans="1:21">
      <c r="A235" s="7"/>
      <c r="B235" s="10"/>
      <c r="C235" s="10"/>
      <c r="D235" s="10"/>
      <c r="E235" s="10"/>
      <c r="F235" s="10"/>
      <c r="G235" s="14"/>
      <c r="H235" s="7"/>
      <c r="I235" s="10"/>
      <c r="J235" s="10"/>
      <c r="K235" s="10"/>
      <c r="L235" s="10"/>
      <c r="M235" s="10"/>
      <c r="N235" s="14"/>
      <c r="O235" s="7"/>
      <c r="P235" s="10"/>
      <c r="Q235" s="10"/>
      <c r="R235" s="10"/>
      <c r="S235" s="10"/>
      <c r="T235" s="10"/>
      <c r="U235" s="14"/>
    </row>
    <row r="236" spans="1:21">
      <c r="A236" s="8"/>
      <c r="B236" s="1" t="s">
        <v>0</v>
      </c>
      <c r="C236"/>
      <c r="D236"/>
      <c r="E236"/>
      <c r="F236"/>
      <c r="G236" s="15"/>
      <c r="H236" s="8"/>
      <c r="I236" s="1" t="s">
        <v>0</v>
      </c>
      <c r="J236"/>
      <c r="K236"/>
      <c r="L236"/>
      <c r="M236"/>
      <c r="N236" s="15"/>
      <c r="O236" s="8"/>
      <c r="P236" s="1" t="s">
        <v>0</v>
      </c>
      <c r="Q236"/>
      <c r="R236"/>
      <c r="S236"/>
      <c r="T236"/>
      <c r="U236" s="15"/>
    </row>
    <row r="237" spans="1:21">
      <c r="A237" s="8"/>
      <c r="B237" t="s">
        <v>1</v>
      </c>
      <c r="C237" s="2" t="s">
        <v>2</v>
      </c>
      <c r="D237" t="s">
        <v>98</v>
      </c>
      <c r="E237"/>
      <c r="F237"/>
      <c r="G237" s="15"/>
      <c r="H237" s="8"/>
      <c r="I237" t="s">
        <v>1</v>
      </c>
      <c r="J237" s="2" t="s">
        <v>2</v>
      </c>
      <c r="K237" t="s">
        <v>99</v>
      </c>
      <c r="L237"/>
      <c r="M237"/>
      <c r="N237" s="15"/>
      <c r="O237" s="8"/>
      <c r="P237" t="s">
        <v>1</v>
      </c>
      <c r="Q237" s="2" t="s">
        <v>2</v>
      </c>
      <c r="R237" t="s">
        <v>100</v>
      </c>
      <c r="S237"/>
      <c r="T237"/>
      <c r="U237" s="15"/>
    </row>
    <row r="238" spans="1:21">
      <c r="A238" s="8"/>
      <c r="B238" t="s">
        <v>6</v>
      </c>
      <c r="C238" s="2" t="s">
        <v>2</v>
      </c>
      <c r="D238" t="s">
        <v>101</v>
      </c>
      <c r="E238"/>
      <c r="F238"/>
      <c r="G238" s="15"/>
      <c r="H238" s="8"/>
      <c r="I238" t="s">
        <v>6</v>
      </c>
      <c r="J238" s="2" t="s">
        <v>2</v>
      </c>
      <c r="K238" t="s">
        <v>102</v>
      </c>
      <c r="L238"/>
      <c r="M238"/>
      <c r="N238" s="15"/>
      <c r="O238" s="8"/>
      <c r="P238" t="s">
        <v>6</v>
      </c>
      <c r="Q238" s="2" t="s">
        <v>2</v>
      </c>
      <c r="R238" t="s">
        <v>103</v>
      </c>
      <c r="S238"/>
      <c r="T238"/>
      <c r="U238" s="15"/>
    </row>
    <row r="239" spans="1:21">
      <c r="A239" s="8"/>
      <c r="B239" t="s">
        <v>10</v>
      </c>
      <c r="C239" s="2" t="s">
        <v>2</v>
      </c>
      <c r="D239" t="s">
        <v>85</v>
      </c>
      <c r="E239"/>
      <c r="F239"/>
      <c r="G239" s="15"/>
      <c r="H239" s="8"/>
      <c r="I239" t="s">
        <v>10</v>
      </c>
      <c r="J239" s="2" t="s">
        <v>2</v>
      </c>
      <c r="K239" t="s">
        <v>85</v>
      </c>
      <c r="L239"/>
      <c r="M239"/>
      <c r="N239" s="15"/>
      <c r="O239" s="8"/>
      <c r="P239" t="s">
        <v>10</v>
      </c>
      <c r="Q239" s="2" t="s">
        <v>2</v>
      </c>
      <c r="R239" t="s">
        <v>104</v>
      </c>
      <c r="S239"/>
      <c r="T239"/>
      <c r="U239" s="15"/>
    </row>
    <row r="240" spans="1:21">
      <c r="A240" s="8"/>
      <c r="B240" t="s">
        <v>12</v>
      </c>
      <c r="C240" s="2" t="s">
        <v>2</v>
      </c>
      <c r="D240" t="s">
        <v>13</v>
      </c>
      <c r="E240"/>
      <c r="F240"/>
      <c r="G240" s="15"/>
      <c r="H240" s="8"/>
      <c r="I240" t="s">
        <v>12</v>
      </c>
      <c r="J240" s="2" t="s">
        <v>2</v>
      </c>
      <c r="K240" t="s">
        <v>13</v>
      </c>
      <c r="L240"/>
      <c r="M240"/>
      <c r="N240" s="15"/>
      <c r="O240" s="8"/>
      <c r="P240" t="s">
        <v>12</v>
      </c>
      <c r="Q240" s="2" t="s">
        <v>2</v>
      </c>
      <c r="R240" t="s">
        <v>13</v>
      </c>
      <c r="S240"/>
      <c r="T240"/>
      <c r="U240" s="15"/>
    </row>
    <row r="241" spans="1:21">
      <c r="A241" s="8"/>
      <c r="B241" s="3" t="s">
        <v>14</v>
      </c>
      <c r="C241" s="4" t="s">
        <v>2</v>
      </c>
      <c r="D241" s="3" t="s">
        <v>15</v>
      </c>
      <c r="E241" s="3"/>
      <c r="F241" s="3"/>
      <c r="G241" s="15"/>
      <c r="H241" s="8"/>
      <c r="I241" s="3" t="s">
        <v>14</v>
      </c>
      <c r="J241" s="4" t="s">
        <v>2</v>
      </c>
      <c r="K241" s="3" t="s">
        <v>15</v>
      </c>
      <c r="L241" s="3"/>
      <c r="M241" s="3"/>
      <c r="N241" s="15"/>
      <c r="O241" s="8"/>
      <c r="P241" s="3" t="s">
        <v>14</v>
      </c>
      <c r="Q241" s="4" t="s">
        <v>2</v>
      </c>
      <c r="R241" s="3" t="s">
        <v>15</v>
      </c>
      <c r="S241" s="3"/>
      <c r="T241" s="3"/>
      <c r="U241" s="15"/>
    </row>
    <row r="242" spans="1:21">
      <c r="A242" s="8"/>
      <c r="B242" t="s">
        <v>16</v>
      </c>
      <c r="C242"/>
      <c r="D242"/>
      <c r="E242" s="2" t="s">
        <v>2</v>
      </c>
      <c r="F242" s="5">
        <v>3590000</v>
      </c>
      <c r="G242" s="15"/>
      <c r="H242" s="8"/>
      <c r="I242" t="s">
        <v>16</v>
      </c>
      <c r="J242"/>
      <c r="K242"/>
      <c r="L242" s="2" t="s">
        <v>2</v>
      </c>
      <c r="M242" s="5">
        <v>3596000</v>
      </c>
      <c r="N242" s="15"/>
      <c r="O242" s="8"/>
      <c r="P242" t="s">
        <v>16</v>
      </c>
      <c r="Q242"/>
      <c r="R242"/>
      <c r="S242" s="2" t="s">
        <v>2</v>
      </c>
      <c r="T242" s="5">
        <v>3594000</v>
      </c>
      <c r="U242" s="15"/>
    </row>
    <row r="243" spans="1:21">
      <c r="A243" s="8"/>
      <c r="B243" t="s">
        <v>17</v>
      </c>
      <c r="C243"/>
      <c r="D243"/>
      <c r="E243" s="2" t="s">
        <v>2</v>
      </c>
      <c r="F243" s="5">
        <v>0</v>
      </c>
      <c r="G243" s="15"/>
      <c r="H243" s="8"/>
      <c r="I243" t="s">
        <v>17</v>
      </c>
      <c r="J243"/>
      <c r="K243"/>
      <c r="L243" s="2" t="s">
        <v>2</v>
      </c>
      <c r="M243" s="5">
        <v>80000</v>
      </c>
      <c r="N243" s="15"/>
      <c r="O243" s="8"/>
      <c r="P243" t="s">
        <v>17</v>
      </c>
      <c r="Q243"/>
      <c r="R243"/>
      <c r="S243" s="2" t="s">
        <v>2</v>
      </c>
      <c r="T243" s="5">
        <v>50000</v>
      </c>
      <c r="U243" s="15"/>
    </row>
    <row r="244" spans="1:21">
      <c r="A244" s="8"/>
      <c r="B244" t="s">
        <v>18</v>
      </c>
      <c r="C244"/>
      <c r="D244"/>
      <c r="E244" s="2" t="s">
        <v>2</v>
      </c>
      <c r="F244" s="5">
        <v>0</v>
      </c>
      <c r="G244" s="15"/>
      <c r="H244" s="8"/>
      <c r="I244" t="s">
        <v>18</v>
      </c>
      <c r="J244"/>
      <c r="K244"/>
      <c r="L244" s="2" t="s">
        <v>2</v>
      </c>
      <c r="M244" s="5">
        <v>0</v>
      </c>
      <c r="N244" s="15"/>
      <c r="O244" s="8"/>
      <c r="P244" t="s">
        <v>18</v>
      </c>
      <c r="Q244"/>
      <c r="R244"/>
      <c r="S244" s="2" t="s">
        <v>2</v>
      </c>
      <c r="T244" s="5">
        <v>25000</v>
      </c>
      <c r="U244" s="15"/>
    </row>
    <row r="245" spans="1:21">
      <c r="A245" s="8"/>
      <c r="B245" t="s">
        <v>19</v>
      </c>
      <c r="C245"/>
      <c r="D245"/>
      <c r="E245" s="2" t="s">
        <v>2</v>
      </c>
      <c r="F245" s="5">
        <v>0</v>
      </c>
      <c r="G245" s="15"/>
      <c r="H245" s="8"/>
      <c r="I245" t="s">
        <v>19</v>
      </c>
      <c r="J245"/>
      <c r="K245"/>
      <c r="L245" s="2" t="s">
        <v>2</v>
      </c>
      <c r="M245" s="5">
        <v>0</v>
      </c>
      <c r="N245" s="15"/>
      <c r="O245" s="8"/>
      <c r="P245" t="s">
        <v>19</v>
      </c>
      <c r="Q245"/>
      <c r="R245"/>
      <c r="S245" s="2" t="s">
        <v>2</v>
      </c>
      <c r="T245" s="5">
        <v>0</v>
      </c>
      <c r="U245" s="15"/>
    </row>
    <row r="246" spans="1:21">
      <c r="A246" s="8"/>
      <c r="B246"/>
      <c r="C246"/>
      <c r="D246"/>
      <c r="E246"/>
      <c r="F246"/>
      <c r="G246" s="15"/>
      <c r="H246" s="8"/>
      <c r="I246"/>
      <c r="J246"/>
      <c r="K246"/>
      <c r="L246"/>
      <c r="M246"/>
      <c r="N246" s="15"/>
      <c r="O246" s="8"/>
      <c r="P246"/>
      <c r="Q246"/>
      <c r="R246"/>
      <c r="S246"/>
      <c r="T246"/>
      <c r="U246" s="15"/>
    </row>
    <row r="247" spans="1:21">
      <c r="A247" s="8"/>
      <c r="B247" s="2" t="s">
        <v>20</v>
      </c>
      <c r="C247"/>
      <c r="D247"/>
      <c r="E247"/>
      <c r="F247"/>
      <c r="G247" s="15"/>
      <c r="H247" s="8"/>
      <c r="I247" s="2" t="s">
        <v>20</v>
      </c>
      <c r="J247"/>
      <c r="K247"/>
      <c r="L247"/>
      <c r="M247"/>
      <c r="N247" s="15"/>
      <c r="O247" s="8"/>
      <c r="P247" s="2" t="s">
        <v>20</v>
      </c>
      <c r="Q247"/>
      <c r="R247"/>
      <c r="S247"/>
      <c r="T247"/>
      <c r="U247" s="15"/>
    </row>
    <row r="248" spans="1:21">
      <c r="A248" s="8"/>
      <c r="B248" t="s">
        <v>21</v>
      </c>
      <c r="C248"/>
      <c r="D248"/>
      <c r="E248" s="2" t="s">
        <v>2</v>
      </c>
      <c r="F248" s="5">
        <v>957333.31</v>
      </c>
      <c r="G248" s="15"/>
      <c r="H248" s="8"/>
      <c r="I248" t="s">
        <v>21</v>
      </c>
      <c r="J248"/>
      <c r="K248"/>
      <c r="L248" s="2" t="s">
        <v>2</v>
      </c>
      <c r="M248" s="5">
        <v>1618200</v>
      </c>
      <c r="N248" s="15"/>
      <c r="O248" s="8"/>
      <c r="P248" t="s">
        <v>21</v>
      </c>
      <c r="Q248"/>
      <c r="R248"/>
      <c r="S248" s="2" t="s">
        <v>2</v>
      </c>
      <c r="T248" s="5">
        <v>0</v>
      </c>
      <c r="U248" s="15"/>
    </row>
    <row r="249" spans="1:21">
      <c r="A249" s="8"/>
      <c r="B249" t="s">
        <v>22</v>
      </c>
      <c r="C249"/>
      <c r="D249"/>
      <c r="E249" s="2" t="s">
        <v>2</v>
      </c>
      <c r="F249" s="5">
        <v>107700</v>
      </c>
      <c r="G249" s="15"/>
      <c r="H249" s="8"/>
      <c r="I249" t="s">
        <v>22</v>
      </c>
      <c r="J249"/>
      <c r="K249"/>
      <c r="L249" s="2" t="s">
        <v>2</v>
      </c>
      <c r="M249" s="5">
        <v>107880</v>
      </c>
      <c r="N249" s="15"/>
      <c r="O249" s="8"/>
      <c r="P249" t="s">
        <v>22</v>
      </c>
      <c r="Q249"/>
      <c r="R249"/>
      <c r="S249" s="2" t="s">
        <v>2</v>
      </c>
      <c r="T249" s="5">
        <v>107820</v>
      </c>
      <c r="U249" s="15"/>
    </row>
    <row r="250" spans="1:21">
      <c r="A250" s="8"/>
      <c r="B250" s="3" t="s">
        <v>23</v>
      </c>
      <c r="C250" s="3"/>
      <c r="D250" s="3"/>
      <c r="E250" s="4" t="s">
        <v>2</v>
      </c>
      <c r="F250" s="6">
        <v>35745</v>
      </c>
      <c r="G250" s="15"/>
      <c r="H250" s="8"/>
      <c r="I250" s="3" t="s">
        <v>23</v>
      </c>
      <c r="J250" s="3"/>
      <c r="K250" s="3"/>
      <c r="L250" s="4" t="s">
        <v>2</v>
      </c>
      <c r="M250" s="6">
        <v>35745</v>
      </c>
      <c r="N250" s="15"/>
      <c r="O250" s="8"/>
      <c r="P250" s="3" t="s">
        <v>23</v>
      </c>
      <c r="Q250" s="3"/>
      <c r="R250" s="3"/>
      <c r="S250" s="4" t="s">
        <v>2</v>
      </c>
      <c r="T250" s="6">
        <v>35745</v>
      </c>
      <c r="U250" s="15"/>
    </row>
    <row r="251" spans="1:21">
      <c r="A251" s="8"/>
      <c r="B251" t="s">
        <v>24</v>
      </c>
      <c r="C251"/>
      <c r="D251"/>
      <c r="E251" s="2" t="s">
        <v>2</v>
      </c>
      <c r="F251" s="5" t="str">
        <f>sum(f248:f250)</f>
        <v>0</v>
      </c>
      <c r="G251" s="15"/>
      <c r="H251" s="8"/>
      <c r="I251" t="s">
        <v>24</v>
      </c>
      <c r="J251"/>
      <c r="K251"/>
      <c r="L251" s="2" t="s">
        <v>2</v>
      </c>
      <c r="M251" s="5" t="str">
        <f>sum(m248:m250)</f>
        <v>0</v>
      </c>
      <c r="N251" s="15"/>
      <c r="O251" s="8"/>
      <c r="P251" t="s">
        <v>24</v>
      </c>
      <c r="Q251"/>
      <c r="R251"/>
      <c r="S251" s="2" t="s">
        <v>2</v>
      </c>
      <c r="T251" s="5" t="str">
        <f>sum(t248:t250)</f>
        <v>0</v>
      </c>
      <c r="U251" s="15"/>
    </row>
    <row r="252" spans="1:21">
      <c r="A252" s="9"/>
      <c r="B252" s="11" t="s">
        <v>25</v>
      </c>
      <c r="C252" s="11"/>
      <c r="D252" s="11"/>
      <c r="E252" s="12" t="s">
        <v>2</v>
      </c>
      <c r="F252" s="13" t="str">
        <f>sum(f242:f245)-f251</f>
        <v>0</v>
      </c>
      <c r="G252" s="16"/>
      <c r="H252" s="9"/>
      <c r="I252" s="11" t="s">
        <v>25</v>
      </c>
      <c r="J252" s="11"/>
      <c r="K252" s="11"/>
      <c r="L252" s="12" t="s">
        <v>2</v>
      </c>
      <c r="M252" s="13" t="str">
        <f>sum(m242:m245)-m251</f>
        <v>0</v>
      </c>
      <c r="N252" s="16"/>
      <c r="O252" s="9"/>
      <c r="P252" s="11" t="s">
        <v>25</v>
      </c>
      <c r="Q252" s="11"/>
      <c r="R252" s="11"/>
      <c r="S252" s="12" t="s">
        <v>2</v>
      </c>
      <c r="T252" s="13" t="str">
        <f>sum(t242:t245)-t251</f>
        <v>0</v>
      </c>
      <c r="U252" s="16"/>
    </row>
    <row r="253" spans="1:21">
      <c r="A253" s="7"/>
      <c r="B253" s="10"/>
      <c r="C253" s="10"/>
      <c r="D253" s="10"/>
      <c r="E253" s="10"/>
      <c r="F253" s="10"/>
      <c r="G253" s="14"/>
      <c r="H253" s="7"/>
      <c r="I253" s="10"/>
      <c r="J253" s="10"/>
      <c r="K253" s="10"/>
      <c r="L253" s="10"/>
      <c r="M253" s="10"/>
      <c r="N253" s="14"/>
      <c r="O253" s="7"/>
      <c r="P253" s="10"/>
      <c r="Q253" s="10"/>
      <c r="R253" s="10"/>
      <c r="S253" s="10"/>
      <c r="T253" s="10"/>
      <c r="U253" s="14"/>
    </row>
    <row r="254" spans="1:21">
      <c r="A254" s="8"/>
      <c r="B254" s="1" t="s">
        <v>0</v>
      </c>
      <c r="C254"/>
      <c r="D254"/>
      <c r="E254"/>
      <c r="F254"/>
      <c r="G254" s="15"/>
      <c r="H254" s="8"/>
      <c r="I254" s="1" t="s">
        <v>0</v>
      </c>
      <c r="J254"/>
      <c r="K254"/>
      <c r="L254"/>
      <c r="M254"/>
      <c r="N254" s="15"/>
      <c r="O254" s="8"/>
      <c r="P254" s="1" t="s">
        <v>0</v>
      </c>
      <c r="Q254"/>
      <c r="R254"/>
      <c r="S254"/>
      <c r="T254"/>
      <c r="U254" s="15"/>
    </row>
    <row r="255" spans="1:21">
      <c r="A255" s="8"/>
      <c r="B255" t="s">
        <v>1</v>
      </c>
      <c r="C255" s="2" t="s">
        <v>2</v>
      </c>
      <c r="D255" t="s">
        <v>105</v>
      </c>
      <c r="E255"/>
      <c r="F255"/>
      <c r="G255" s="15"/>
      <c r="H255" s="8"/>
      <c r="I255" t="s">
        <v>1</v>
      </c>
      <c r="J255" s="2" t="s">
        <v>2</v>
      </c>
      <c r="K255" t="s">
        <v>106</v>
      </c>
      <c r="L255"/>
      <c r="M255"/>
      <c r="N255" s="15"/>
      <c r="O255" s="8"/>
      <c r="P255" t="s">
        <v>1</v>
      </c>
      <c r="Q255" s="2" t="s">
        <v>2</v>
      </c>
      <c r="R255" t="s">
        <v>107</v>
      </c>
      <c r="S255"/>
      <c r="T255"/>
      <c r="U255" s="15"/>
    </row>
    <row r="256" spans="1:21">
      <c r="A256" s="8"/>
      <c r="B256" t="s">
        <v>6</v>
      </c>
      <c r="C256" s="2" t="s">
        <v>2</v>
      </c>
      <c r="D256" t="s">
        <v>108</v>
      </c>
      <c r="E256"/>
      <c r="F256"/>
      <c r="G256" s="15"/>
      <c r="H256" s="8"/>
      <c r="I256" t="s">
        <v>6</v>
      </c>
      <c r="J256" s="2" t="s">
        <v>2</v>
      </c>
      <c r="K256" t="s">
        <v>109</v>
      </c>
      <c r="L256"/>
      <c r="M256"/>
      <c r="N256" s="15"/>
      <c r="O256" s="8"/>
      <c r="P256" t="s">
        <v>6</v>
      </c>
      <c r="Q256" s="2" t="s">
        <v>2</v>
      </c>
      <c r="R256" t="s">
        <v>110</v>
      </c>
      <c r="S256"/>
      <c r="T256"/>
      <c r="U256" s="15"/>
    </row>
    <row r="257" spans="1:21">
      <c r="A257" s="8"/>
      <c r="B257" t="s">
        <v>10</v>
      </c>
      <c r="C257" s="2" t="s">
        <v>2</v>
      </c>
      <c r="D257" t="s">
        <v>104</v>
      </c>
      <c r="E257"/>
      <c r="F257"/>
      <c r="G257" s="15"/>
      <c r="H257" s="8"/>
      <c r="I257" t="s">
        <v>10</v>
      </c>
      <c r="J257" s="2" t="s">
        <v>2</v>
      </c>
      <c r="K257" t="s">
        <v>111</v>
      </c>
      <c r="L257"/>
      <c r="M257"/>
      <c r="N257" s="15"/>
      <c r="O257" s="8"/>
      <c r="P257" t="s">
        <v>10</v>
      </c>
      <c r="Q257" s="2" t="s">
        <v>2</v>
      </c>
      <c r="R257" t="s">
        <v>111</v>
      </c>
      <c r="S257"/>
      <c r="T257"/>
      <c r="U257" s="15"/>
    </row>
    <row r="258" spans="1:21">
      <c r="A258" s="8"/>
      <c r="B258" t="s">
        <v>12</v>
      </c>
      <c r="C258" s="2" t="s">
        <v>2</v>
      </c>
      <c r="D258" t="s">
        <v>13</v>
      </c>
      <c r="E258"/>
      <c r="F258"/>
      <c r="G258" s="15"/>
      <c r="H258" s="8"/>
      <c r="I258" t="s">
        <v>12</v>
      </c>
      <c r="J258" s="2" t="s">
        <v>2</v>
      </c>
      <c r="K258" t="s">
        <v>13</v>
      </c>
      <c r="L258"/>
      <c r="M258"/>
      <c r="N258" s="15"/>
      <c r="O258" s="8"/>
      <c r="P258" t="s">
        <v>12</v>
      </c>
      <c r="Q258" s="2" t="s">
        <v>2</v>
      </c>
      <c r="R258" t="s">
        <v>13</v>
      </c>
      <c r="S258"/>
      <c r="T258"/>
      <c r="U258" s="15"/>
    </row>
    <row r="259" spans="1:21">
      <c r="A259" s="8"/>
      <c r="B259" s="3" t="s">
        <v>14</v>
      </c>
      <c r="C259" s="4" t="s">
        <v>2</v>
      </c>
      <c r="D259" s="3" t="s">
        <v>15</v>
      </c>
      <c r="E259" s="3"/>
      <c r="F259" s="3"/>
      <c r="G259" s="15"/>
      <c r="H259" s="8"/>
      <c r="I259" s="3" t="s">
        <v>14</v>
      </c>
      <c r="J259" s="4" t="s">
        <v>2</v>
      </c>
      <c r="K259" s="3" t="s">
        <v>15</v>
      </c>
      <c r="L259" s="3"/>
      <c r="M259" s="3"/>
      <c r="N259" s="15"/>
      <c r="O259" s="8"/>
      <c r="P259" s="3" t="s">
        <v>14</v>
      </c>
      <c r="Q259" s="4" t="s">
        <v>2</v>
      </c>
      <c r="R259" s="3" t="s">
        <v>15</v>
      </c>
      <c r="S259" s="3"/>
      <c r="T259" s="3"/>
      <c r="U259" s="15"/>
    </row>
    <row r="260" spans="1:21">
      <c r="A260" s="8"/>
      <c r="B260" t="s">
        <v>16</v>
      </c>
      <c r="C260"/>
      <c r="D260"/>
      <c r="E260" s="2" t="s">
        <v>2</v>
      </c>
      <c r="F260" s="5">
        <v>3594000</v>
      </c>
      <c r="G260" s="15"/>
      <c r="H260" s="8"/>
      <c r="I260" t="s">
        <v>16</v>
      </c>
      <c r="J260"/>
      <c r="K260"/>
      <c r="L260" s="2" t="s">
        <v>2</v>
      </c>
      <c r="M260" s="5">
        <v>4371000</v>
      </c>
      <c r="N260" s="15"/>
      <c r="O260" s="8"/>
      <c r="P260" t="s">
        <v>16</v>
      </c>
      <c r="Q260"/>
      <c r="R260"/>
      <c r="S260" s="2" t="s">
        <v>2</v>
      </c>
      <c r="T260" s="5">
        <v>3597000</v>
      </c>
      <c r="U260" s="15"/>
    </row>
    <row r="261" spans="1:21">
      <c r="A261" s="8"/>
      <c r="B261" t="s">
        <v>17</v>
      </c>
      <c r="C261"/>
      <c r="D261"/>
      <c r="E261" s="2" t="s">
        <v>2</v>
      </c>
      <c r="F261" s="5">
        <v>50000</v>
      </c>
      <c r="G261" s="15"/>
      <c r="H261" s="8"/>
      <c r="I261" t="s">
        <v>17</v>
      </c>
      <c r="J261"/>
      <c r="K261"/>
      <c r="L261" s="2" t="s">
        <v>2</v>
      </c>
      <c r="M261" s="5">
        <v>200000</v>
      </c>
      <c r="N261" s="15"/>
      <c r="O261" s="8"/>
      <c r="P261" t="s">
        <v>17</v>
      </c>
      <c r="Q261"/>
      <c r="R261"/>
      <c r="S261" s="2" t="s">
        <v>2</v>
      </c>
      <c r="T261" s="5">
        <v>50000</v>
      </c>
      <c r="U261" s="15"/>
    </row>
    <row r="262" spans="1:21">
      <c r="A262" s="8"/>
      <c r="B262" t="s">
        <v>18</v>
      </c>
      <c r="C262"/>
      <c r="D262"/>
      <c r="E262" s="2" t="s">
        <v>2</v>
      </c>
      <c r="F262" s="5">
        <v>0</v>
      </c>
      <c r="G262" s="15"/>
      <c r="H262" s="8"/>
      <c r="I262" t="s">
        <v>18</v>
      </c>
      <c r="J262"/>
      <c r="K262"/>
      <c r="L262" s="2" t="s">
        <v>2</v>
      </c>
      <c r="M262" s="5">
        <v>0</v>
      </c>
      <c r="N262" s="15"/>
      <c r="O262" s="8"/>
      <c r="P262" t="s">
        <v>18</v>
      </c>
      <c r="Q262"/>
      <c r="R262"/>
      <c r="S262" s="2" t="s">
        <v>2</v>
      </c>
      <c r="T262" s="5">
        <v>0</v>
      </c>
      <c r="U262" s="15"/>
    </row>
    <row r="263" spans="1:21">
      <c r="A263" s="8"/>
      <c r="B263" t="s">
        <v>19</v>
      </c>
      <c r="C263"/>
      <c r="D263"/>
      <c r="E263" s="2" t="s">
        <v>2</v>
      </c>
      <c r="F263" s="5">
        <v>0</v>
      </c>
      <c r="G263" s="15"/>
      <c r="H263" s="8"/>
      <c r="I263" t="s">
        <v>19</v>
      </c>
      <c r="J263"/>
      <c r="K263"/>
      <c r="L263" s="2" t="s">
        <v>2</v>
      </c>
      <c r="M263" s="5">
        <v>0</v>
      </c>
      <c r="N263" s="15"/>
      <c r="O263" s="8"/>
      <c r="P263" t="s">
        <v>19</v>
      </c>
      <c r="Q263"/>
      <c r="R263"/>
      <c r="S263" s="2" t="s">
        <v>2</v>
      </c>
      <c r="T263" s="5">
        <v>4000</v>
      </c>
      <c r="U263" s="15"/>
    </row>
    <row r="264" spans="1:21">
      <c r="A264" s="8"/>
      <c r="B264"/>
      <c r="C264"/>
      <c r="D264"/>
      <c r="E264"/>
      <c r="F264"/>
      <c r="G264" s="15"/>
      <c r="H264" s="8"/>
      <c r="I264"/>
      <c r="J264"/>
      <c r="K264"/>
      <c r="L264"/>
      <c r="M264"/>
      <c r="N264" s="15"/>
      <c r="O264" s="8"/>
      <c r="P264"/>
      <c r="Q264"/>
      <c r="R264"/>
      <c r="S264"/>
      <c r="T264"/>
      <c r="U264" s="15"/>
    </row>
    <row r="265" spans="1:21">
      <c r="A265" s="8"/>
      <c r="B265" s="2" t="s">
        <v>20</v>
      </c>
      <c r="C265"/>
      <c r="D265"/>
      <c r="E265"/>
      <c r="F265"/>
      <c r="G265" s="15"/>
      <c r="H265" s="8"/>
      <c r="I265" s="2" t="s">
        <v>20</v>
      </c>
      <c r="J265"/>
      <c r="K265"/>
      <c r="L265"/>
      <c r="M265"/>
      <c r="N265" s="15"/>
      <c r="O265" s="8"/>
      <c r="P265" s="2" t="s">
        <v>20</v>
      </c>
      <c r="Q265"/>
      <c r="R265"/>
      <c r="S265"/>
      <c r="T265"/>
      <c r="U265" s="15"/>
    </row>
    <row r="266" spans="1:21">
      <c r="A266" s="8"/>
      <c r="B266" t="s">
        <v>21</v>
      </c>
      <c r="C266"/>
      <c r="D266"/>
      <c r="E266" s="2" t="s">
        <v>2</v>
      </c>
      <c r="F266" s="5">
        <v>718800</v>
      </c>
      <c r="G266" s="15"/>
      <c r="H266" s="8"/>
      <c r="I266" t="s">
        <v>21</v>
      </c>
      <c r="J266"/>
      <c r="K266"/>
      <c r="L266" s="2" t="s">
        <v>2</v>
      </c>
      <c r="M266" s="5">
        <v>2797440</v>
      </c>
      <c r="N266" s="15"/>
      <c r="O266" s="8"/>
      <c r="P266" t="s">
        <v>21</v>
      </c>
      <c r="Q266"/>
      <c r="R266"/>
      <c r="S266" s="2" t="s">
        <v>2</v>
      </c>
      <c r="T266" s="5">
        <v>2278100</v>
      </c>
      <c r="U266" s="15"/>
    </row>
    <row r="267" spans="1:21">
      <c r="A267" s="8"/>
      <c r="B267" t="s">
        <v>22</v>
      </c>
      <c r="C267"/>
      <c r="D267"/>
      <c r="E267" s="2" t="s">
        <v>2</v>
      </c>
      <c r="F267" s="5">
        <v>107820</v>
      </c>
      <c r="G267" s="15"/>
      <c r="H267" s="8"/>
      <c r="I267" t="s">
        <v>22</v>
      </c>
      <c r="J267"/>
      <c r="K267"/>
      <c r="L267" s="2" t="s">
        <v>2</v>
      </c>
      <c r="M267" s="5">
        <v>131130</v>
      </c>
      <c r="N267" s="15"/>
      <c r="O267" s="8"/>
      <c r="P267" t="s">
        <v>22</v>
      </c>
      <c r="Q267"/>
      <c r="R267"/>
      <c r="S267" s="2" t="s">
        <v>2</v>
      </c>
      <c r="T267" s="5">
        <v>107910</v>
      </c>
      <c r="U267" s="15"/>
    </row>
    <row r="268" spans="1:21">
      <c r="A268" s="8"/>
      <c r="B268" s="3" t="s">
        <v>23</v>
      </c>
      <c r="C268" s="3"/>
      <c r="D268" s="3"/>
      <c r="E268" s="4" t="s">
        <v>2</v>
      </c>
      <c r="F268" s="6">
        <v>35745</v>
      </c>
      <c r="G268" s="15"/>
      <c r="H268" s="8"/>
      <c r="I268" s="3" t="s">
        <v>23</v>
      </c>
      <c r="J268" s="3"/>
      <c r="K268" s="3"/>
      <c r="L268" s="4" t="s">
        <v>2</v>
      </c>
      <c r="M268" s="6">
        <v>35745</v>
      </c>
      <c r="N268" s="15"/>
      <c r="O268" s="8"/>
      <c r="P268" s="3" t="s">
        <v>23</v>
      </c>
      <c r="Q268" s="3"/>
      <c r="R268" s="3"/>
      <c r="S268" s="4" t="s">
        <v>2</v>
      </c>
      <c r="T268" s="6">
        <v>35745</v>
      </c>
      <c r="U268" s="15"/>
    </row>
    <row r="269" spans="1:21">
      <c r="A269" s="8"/>
      <c r="B269" t="s">
        <v>24</v>
      </c>
      <c r="C269"/>
      <c r="D269"/>
      <c r="E269" s="2" t="s">
        <v>2</v>
      </c>
      <c r="F269" s="5" t="str">
        <f>sum(f266:f268)</f>
        <v>0</v>
      </c>
      <c r="G269" s="15"/>
      <c r="H269" s="8"/>
      <c r="I269" t="s">
        <v>24</v>
      </c>
      <c r="J269"/>
      <c r="K269"/>
      <c r="L269" s="2" t="s">
        <v>2</v>
      </c>
      <c r="M269" s="5" t="str">
        <f>sum(m266:m268)</f>
        <v>0</v>
      </c>
      <c r="N269" s="15"/>
      <c r="O269" s="8"/>
      <c r="P269" t="s">
        <v>24</v>
      </c>
      <c r="Q269"/>
      <c r="R269"/>
      <c r="S269" s="2" t="s">
        <v>2</v>
      </c>
      <c r="T269" s="5" t="str">
        <f>sum(t266:t268)</f>
        <v>0</v>
      </c>
      <c r="U269" s="15"/>
    </row>
    <row r="270" spans="1:21">
      <c r="A270" s="9"/>
      <c r="B270" s="11" t="s">
        <v>25</v>
      </c>
      <c r="C270" s="11"/>
      <c r="D270" s="11"/>
      <c r="E270" s="12" t="s">
        <v>2</v>
      </c>
      <c r="F270" s="13" t="str">
        <f>sum(f260:f263)-f269</f>
        <v>0</v>
      </c>
      <c r="G270" s="16"/>
      <c r="H270" s="9"/>
      <c r="I270" s="11" t="s">
        <v>25</v>
      </c>
      <c r="J270" s="11"/>
      <c r="K270" s="11"/>
      <c r="L270" s="12" t="s">
        <v>2</v>
      </c>
      <c r="M270" s="13" t="str">
        <f>sum(m260:m263)-m269</f>
        <v>0</v>
      </c>
      <c r="N270" s="16"/>
      <c r="O270" s="9"/>
      <c r="P270" s="11" t="s">
        <v>25</v>
      </c>
      <c r="Q270" s="11"/>
      <c r="R270" s="11"/>
      <c r="S270" s="12" t="s">
        <v>2</v>
      </c>
      <c r="T270" s="13" t="str">
        <f>sum(t260:t263)-t269</f>
        <v>0</v>
      </c>
      <c r="U270" s="16"/>
    </row>
    <row r="271" spans="1:21">
      <c r="A271" s="7"/>
      <c r="B271" s="10"/>
      <c r="C271" s="10"/>
      <c r="D271" s="10"/>
      <c r="E271" s="10"/>
      <c r="F271" s="10"/>
      <c r="G271" s="14"/>
      <c r="H271" s="7"/>
      <c r="I271" s="10"/>
      <c r="J271" s="10"/>
      <c r="K271" s="10"/>
      <c r="L271" s="10"/>
      <c r="M271" s="10"/>
      <c r="N271" s="14"/>
      <c r="O271" s="7"/>
      <c r="P271" s="10"/>
      <c r="Q271" s="10"/>
      <c r="R271" s="10"/>
      <c r="S271" s="10"/>
      <c r="T271" s="10"/>
      <c r="U271" s="14"/>
    </row>
    <row r="272" spans="1:21">
      <c r="A272" s="8"/>
      <c r="B272" s="1" t="s">
        <v>0</v>
      </c>
      <c r="C272"/>
      <c r="D272"/>
      <c r="E272"/>
      <c r="F272"/>
      <c r="G272" s="15"/>
      <c r="H272" s="8"/>
      <c r="I272" s="1" t="s">
        <v>0</v>
      </c>
      <c r="J272"/>
      <c r="K272"/>
      <c r="L272"/>
      <c r="M272"/>
      <c r="N272" s="15"/>
      <c r="O272" s="8"/>
      <c r="P272" s="1" t="s">
        <v>0</v>
      </c>
      <c r="Q272"/>
      <c r="R272"/>
      <c r="S272"/>
      <c r="T272"/>
      <c r="U272" s="15"/>
    </row>
    <row r="273" spans="1:21">
      <c r="A273" s="8"/>
      <c r="B273" t="s">
        <v>1</v>
      </c>
      <c r="C273" s="2" t="s">
        <v>2</v>
      </c>
      <c r="D273" t="s">
        <v>112</v>
      </c>
      <c r="E273"/>
      <c r="F273"/>
      <c r="G273" s="15"/>
      <c r="H273" s="8"/>
      <c r="I273" t="s">
        <v>1</v>
      </c>
      <c r="J273" s="2" t="s">
        <v>2</v>
      </c>
      <c r="K273" t="s">
        <v>113</v>
      </c>
      <c r="L273"/>
      <c r="M273"/>
      <c r="N273" s="15"/>
      <c r="O273" s="8"/>
      <c r="P273" t="s">
        <v>1</v>
      </c>
      <c r="Q273" s="2" t="s">
        <v>2</v>
      </c>
      <c r="R273" t="s">
        <v>114</v>
      </c>
      <c r="S273"/>
      <c r="T273"/>
      <c r="U273" s="15"/>
    </row>
    <row r="274" spans="1:21">
      <c r="A274" s="8"/>
      <c r="B274" t="s">
        <v>6</v>
      </c>
      <c r="C274" s="2" t="s">
        <v>2</v>
      </c>
      <c r="D274" t="s">
        <v>115</v>
      </c>
      <c r="E274"/>
      <c r="F274"/>
      <c r="G274" s="15"/>
      <c r="H274" s="8"/>
      <c r="I274" t="s">
        <v>6</v>
      </c>
      <c r="J274" s="2" t="s">
        <v>2</v>
      </c>
      <c r="K274" t="s">
        <v>116</v>
      </c>
      <c r="L274"/>
      <c r="M274"/>
      <c r="N274" s="15"/>
      <c r="O274" s="8"/>
      <c r="P274" t="s">
        <v>6</v>
      </c>
      <c r="Q274" s="2" t="s">
        <v>2</v>
      </c>
      <c r="R274" t="s">
        <v>117</v>
      </c>
      <c r="S274"/>
      <c r="T274"/>
      <c r="U274" s="15"/>
    </row>
    <row r="275" spans="1:21">
      <c r="A275" s="8"/>
      <c r="B275" t="s">
        <v>10</v>
      </c>
      <c r="C275" s="2" t="s">
        <v>2</v>
      </c>
      <c r="D275" t="s">
        <v>111</v>
      </c>
      <c r="E275"/>
      <c r="F275"/>
      <c r="G275" s="15"/>
      <c r="H275" s="8"/>
      <c r="I275" t="s">
        <v>10</v>
      </c>
      <c r="J275" s="2" t="s">
        <v>2</v>
      </c>
      <c r="K275" t="s">
        <v>111</v>
      </c>
      <c r="L275"/>
      <c r="M275"/>
      <c r="N275" s="15"/>
      <c r="O275" s="8"/>
      <c r="P275" t="s">
        <v>10</v>
      </c>
      <c r="Q275" s="2" t="s">
        <v>2</v>
      </c>
      <c r="R275" t="s">
        <v>111</v>
      </c>
      <c r="S275"/>
      <c r="T275"/>
      <c r="U275" s="15"/>
    </row>
    <row r="276" spans="1:21">
      <c r="A276" s="8"/>
      <c r="B276" t="s">
        <v>12</v>
      </c>
      <c r="C276" s="2" t="s">
        <v>2</v>
      </c>
      <c r="D276" t="s">
        <v>13</v>
      </c>
      <c r="E276"/>
      <c r="F276"/>
      <c r="G276" s="15"/>
      <c r="H276" s="8"/>
      <c r="I276" t="s">
        <v>12</v>
      </c>
      <c r="J276" s="2" t="s">
        <v>2</v>
      </c>
      <c r="K276" t="s">
        <v>13</v>
      </c>
      <c r="L276"/>
      <c r="M276"/>
      <c r="N276" s="15"/>
      <c r="O276" s="8"/>
      <c r="P276" t="s">
        <v>12</v>
      </c>
      <c r="Q276" s="2" t="s">
        <v>2</v>
      </c>
      <c r="R276" t="s">
        <v>13</v>
      </c>
      <c r="S276"/>
      <c r="T276"/>
      <c r="U276" s="15"/>
    </row>
    <row r="277" spans="1:21">
      <c r="A277" s="8"/>
      <c r="B277" s="3" t="s">
        <v>14</v>
      </c>
      <c r="C277" s="4" t="s">
        <v>2</v>
      </c>
      <c r="D277" s="3" t="s">
        <v>15</v>
      </c>
      <c r="E277" s="3"/>
      <c r="F277" s="3"/>
      <c r="G277" s="15"/>
      <c r="H277" s="8"/>
      <c r="I277" s="3" t="s">
        <v>14</v>
      </c>
      <c r="J277" s="4" t="s">
        <v>2</v>
      </c>
      <c r="K277" s="3" t="s">
        <v>15</v>
      </c>
      <c r="L277" s="3"/>
      <c r="M277" s="3"/>
      <c r="N277" s="15"/>
      <c r="O277" s="8"/>
      <c r="P277" s="3" t="s">
        <v>14</v>
      </c>
      <c r="Q277" s="4" t="s">
        <v>2</v>
      </c>
      <c r="R277" s="3" t="s">
        <v>15</v>
      </c>
      <c r="S277" s="3"/>
      <c r="T277" s="3"/>
      <c r="U277" s="15"/>
    </row>
    <row r="278" spans="1:21">
      <c r="A278" s="8"/>
      <c r="B278" t="s">
        <v>16</v>
      </c>
      <c r="C278"/>
      <c r="D278"/>
      <c r="E278" s="2" t="s">
        <v>2</v>
      </c>
      <c r="F278" s="5">
        <v>4416000</v>
      </c>
      <c r="G278" s="15"/>
      <c r="H278" s="8"/>
      <c r="I278" t="s">
        <v>16</v>
      </c>
      <c r="J278"/>
      <c r="K278"/>
      <c r="L278" s="2" t="s">
        <v>2</v>
      </c>
      <c r="M278" s="5">
        <v>4396000</v>
      </c>
      <c r="N278" s="15"/>
      <c r="O278" s="8"/>
      <c r="P278" t="s">
        <v>16</v>
      </c>
      <c r="Q278"/>
      <c r="R278"/>
      <c r="S278" s="2" t="s">
        <v>2</v>
      </c>
      <c r="T278" s="5">
        <v>3594000</v>
      </c>
      <c r="U278" s="15"/>
    </row>
    <row r="279" spans="1:21">
      <c r="A279" s="8"/>
      <c r="B279" t="s">
        <v>17</v>
      </c>
      <c r="C279"/>
      <c r="D279"/>
      <c r="E279" s="2" t="s">
        <v>2</v>
      </c>
      <c r="F279" s="5">
        <v>200000</v>
      </c>
      <c r="G279" s="15"/>
      <c r="H279" s="8"/>
      <c r="I279" t="s">
        <v>17</v>
      </c>
      <c r="J279"/>
      <c r="K279"/>
      <c r="L279" s="2" t="s">
        <v>2</v>
      </c>
      <c r="M279" s="5">
        <v>200000</v>
      </c>
      <c r="N279" s="15"/>
      <c r="O279" s="8"/>
      <c r="P279" t="s">
        <v>17</v>
      </c>
      <c r="Q279"/>
      <c r="R279"/>
      <c r="S279" s="2" t="s">
        <v>2</v>
      </c>
      <c r="T279" s="5">
        <v>50000</v>
      </c>
      <c r="U279" s="15"/>
    </row>
    <row r="280" spans="1:21">
      <c r="A280" s="8"/>
      <c r="B280" t="s">
        <v>18</v>
      </c>
      <c r="C280"/>
      <c r="D280"/>
      <c r="E280" s="2" t="s">
        <v>2</v>
      </c>
      <c r="F280" s="5">
        <v>0</v>
      </c>
      <c r="G280" s="15"/>
      <c r="H280" s="8"/>
      <c r="I280" t="s">
        <v>18</v>
      </c>
      <c r="J280"/>
      <c r="K280"/>
      <c r="L280" s="2" t="s">
        <v>2</v>
      </c>
      <c r="M280" s="5">
        <v>0</v>
      </c>
      <c r="N280" s="15"/>
      <c r="O280" s="8"/>
      <c r="P280" t="s">
        <v>18</v>
      </c>
      <c r="Q280"/>
      <c r="R280"/>
      <c r="S280" s="2" t="s">
        <v>2</v>
      </c>
      <c r="T280" s="5">
        <v>25000</v>
      </c>
      <c r="U280" s="15"/>
    </row>
    <row r="281" spans="1:21">
      <c r="A281" s="8"/>
      <c r="B281" t="s">
        <v>19</v>
      </c>
      <c r="C281"/>
      <c r="D281"/>
      <c r="E281" s="2" t="s">
        <v>2</v>
      </c>
      <c r="F281" s="5">
        <v>0</v>
      </c>
      <c r="G281" s="15"/>
      <c r="H281" s="8"/>
      <c r="I281" t="s">
        <v>19</v>
      </c>
      <c r="J281"/>
      <c r="K281"/>
      <c r="L281" s="2" t="s">
        <v>2</v>
      </c>
      <c r="M281" s="5">
        <v>0</v>
      </c>
      <c r="N281" s="15"/>
      <c r="O281" s="8"/>
      <c r="P281" t="s">
        <v>19</v>
      </c>
      <c r="Q281"/>
      <c r="R281"/>
      <c r="S281" s="2" t="s">
        <v>2</v>
      </c>
      <c r="T281" s="5">
        <v>10000</v>
      </c>
      <c r="U281" s="15"/>
    </row>
    <row r="282" spans="1:21">
      <c r="A282" s="8"/>
      <c r="B282"/>
      <c r="C282"/>
      <c r="D282"/>
      <c r="E282"/>
      <c r="F282"/>
      <c r="G282" s="15"/>
      <c r="H282" s="8"/>
      <c r="I282"/>
      <c r="J282"/>
      <c r="K282"/>
      <c r="L282"/>
      <c r="M282"/>
      <c r="N282" s="15"/>
      <c r="O282" s="8"/>
      <c r="P282"/>
      <c r="Q282"/>
      <c r="R282"/>
      <c r="S282"/>
      <c r="T282"/>
      <c r="U282" s="15"/>
    </row>
    <row r="283" spans="1:21">
      <c r="A283" s="8"/>
      <c r="B283" s="2" t="s">
        <v>20</v>
      </c>
      <c r="C283"/>
      <c r="D283"/>
      <c r="E283"/>
      <c r="F283"/>
      <c r="G283" s="15"/>
      <c r="H283" s="8"/>
      <c r="I283" s="2" t="s">
        <v>20</v>
      </c>
      <c r="J283"/>
      <c r="K283"/>
      <c r="L283"/>
      <c r="M283"/>
      <c r="N283" s="15"/>
      <c r="O283" s="8"/>
      <c r="P283" s="2" t="s">
        <v>20</v>
      </c>
      <c r="Q283"/>
      <c r="R283"/>
      <c r="S283"/>
      <c r="T283"/>
      <c r="U283" s="15"/>
    </row>
    <row r="284" spans="1:21">
      <c r="A284" s="8"/>
      <c r="B284" t="s">
        <v>21</v>
      </c>
      <c r="C284"/>
      <c r="D284"/>
      <c r="E284" s="2" t="s">
        <v>2</v>
      </c>
      <c r="F284" s="5">
        <v>2826240</v>
      </c>
      <c r="G284" s="15"/>
      <c r="H284" s="8"/>
      <c r="I284" t="s">
        <v>21</v>
      </c>
      <c r="J284"/>
      <c r="K284"/>
      <c r="L284" s="2" t="s">
        <v>2</v>
      </c>
      <c r="M284" s="5">
        <v>2637600</v>
      </c>
      <c r="N284" s="15"/>
      <c r="O284" s="8"/>
      <c r="P284" t="s">
        <v>21</v>
      </c>
      <c r="Q284"/>
      <c r="R284"/>
      <c r="S284" s="2" t="s">
        <v>2</v>
      </c>
      <c r="T284" s="5">
        <v>0</v>
      </c>
      <c r="U284" s="15"/>
    </row>
    <row r="285" spans="1:21">
      <c r="A285" s="8"/>
      <c r="B285" t="s">
        <v>22</v>
      </c>
      <c r="C285"/>
      <c r="D285"/>
      <c r="E285" s="2" t="s">
        <v>2</v>
      </c>
      <c r="F285" s="5">
        <v>132480</v>
      </c>
      <c r="G285" s="15"/>
      <c r="H285" s="8"/>
      <c r="I285" t="s">
        <v>22</v>
      </c>
      <c r="J285"/>
      <c r="K285"/>
      <c r="L285" s="2" t="s">
        <v>2</v>
      </c>
      <c r="M285" s="5">
        <v>131880</v>
      </c>
      <c r="N285" s="15"/>
      <c r="O285" s="8"/>
      <c r="P285" t="s">
        <v>22</v>
      </c>
      <c r="Q285"/>
      <c r="R285"/>
      <c r="S285" s="2" t="s">
        <v>2</v>
      </c>
      <c r="T285" s="5">
        <v>107820</v>
      </c>
      <c r="U285" s="15"/>
    </row>
    <row r="286" spans="1:21">
      <c r="A286" s="8"/>
      <c r="B286" s="3" t="s">
        <v>23</v>
      </c>
      <c r="C286" s="3"/>
      <c r="D286" s="3"/>
      <c r="E286" s="4" t="s">
        <v>2</v>
      </c>
      <c r="F286" s="6">
        <v>35745</v>
      </c>
      <c r="G286" s="15"/>
      <c r="H286" s="8"/>
      <c r="I286" s="3" t="s">
        <v>23</v>
      </c>
      <c r="J286" s="3"/>
      <c r="K286" s="3"/>
      <c r="L286" s="4" t="s">
        <v>2</v>
      </c>
      <c r="M286" s="6">
        <v>43960</v>
      </c>
      <c r="N286" s="15"/>
      <c r="O286" s="8"/>
      <c r="P286" s="3" t="s">
        <v>23</v>
      </c>
      <c r="Q286" s="3"/>
      <c r="R286" s="3"/>
      <c r="S286" s="4" t="s">
        <v>2</v>
      </c>
      <c r="T286" s="6">
        <v>35745</v>
      </c>
      <c r="U286" s="15"/>
    </row>
    <row r="287" spans="1:21">
      <c r="A287" s="8"/>
      <c r="B287" t="s">
        <v>24</v>
      </c>
      <c r="C287"/>
      <c r="D287"/>
      <c r="E287" s="2" t="s">
        <v>2</v>
      </c>
      <c r="F287" s="5" t="str">
        <f>sum(f284:f286)</f>
        <v>0</v>
      </c>
      <c r="G287" s="15"/>
      <c r="H287" s="8"/>
      <c r="I287" t="s">
        <v>24</v>
      </c>
      <c r="J287"/>
      <c r="K287"/>
      <c r="L287" s="2" t="s">
        <v>2</v>
      </c>
      <c r="M287" s="5" t="str">
        <f>sum(m284:m286)</f>
        <v>0</v>
      </c>
      <c r="N287" s="15"/>
      <c r="O287" s="8"/>
      <c r="P287" t="s">
        <v>24</v>
      </c>
      <c r="Q287"/>
      <c r="R287"/>
      <c r="S287" s="2" t="s">
        <v>2</v>
      </c>
      <c r="T287" s="5" t="str">
        <f>sum(t284:t286)</f>
        <v>0</v>
      </c>
      <c r="U287" s="15"/>
    </row>
    <row r="288" spans="1:21">
      <c r="A288" s="9"/>
      <c r="B288" s="11" t="s">
        <v>25</v>
      </c>
      <c r="C288" s="11"/>
      <c r="D288" s="11"/>
      <c r="E288" s="12" t="s">
        <v>2</v>
      </c>
      <c r="F288" s="13" t="str">
        <f>sum(f278:f281)-f287</f>
        <v>0</v>
      </c>
      <c r="G288" s="16"/>
      <c r="H288" s="9"/>
      <c r="I288" s="11" t="s">
        <v>25</v>
      </c>
      <c r="J288" s="11"/>
      <c r="K288" s="11"/>
      <c r="L288" s="12" t="s">
        <v>2</v>
      </c>
      <c r="M288" s="13" t="str">
        <f>sum(m278:m281)-m287</f>
        <v>0</v>
      </c>
      <c r="N288" s="16"/>
      <c r="O288" s="9"/>
      <c r="P288" s="11" t="s">
        <v>25</v>
      </c>
      <c r="Q288" s="11"/>
      <c r="R288" s="11"/>
      <c r="S288" s="12" t="s">
        <v>2</v>
      </c>
      <c r="T288" s="13" t="str">
        <f>sum(t278:t281)-t287</f>
        <v>0</v>
      </c>
      <c r="U288" s="16"/>
    </row>
    <row r="289" spans="1:21">
      <c r="A289" s="7"/>
      <c r="B289" s="10"/>
      <c r="C289" s="10"/>
      <c r="D289" s="10"/>
      <c r="E289" s="10"/>
      <c r="F289" s="10"/>
      <c r="G289" s="14"/>
      <c r="H289" s="7"/>
      <c r="I289" s="10"/>
      <c r="J289" s="10"/>
      <c r="K289" s="10"/>
      <c r="L289" s="10"/>
      <c r="M289" s="10"/>
      <c r="N289" s="14"/>
      <c r="O289" s="7"/>
      <c r="P289" s="10"/>
      <c r="Q289" s="10"/>
      <c r="R289" s="10"/>
      <c r="S289" s="10"/>
      <c r="T289" s="10"/>
      <c r="U289" s="14"/>
    </row>
    <row r="290" spans="1:21">
      <c r="A290" s="8"/>
      <c r="B290" s="1" t="s">
        <v>0</v>
      </c>
      <c r="C290"/>
      <c r="D290"/>
      <c r="E290"/>
      <c r="F290"/>
      <c r="G290" s="15"/>
      <c r="H290" s="8"/>
      <c r="I290" s="1" t="s">
        <v>0</v>
      </c>
      <c r="J290"/>
      <c r="K290"/>
      <c r="L290"/>
      <c r="M290"/>
      <c r="N290" s="15"/>
      <c r="O290" s="8"/>
      <c r="P290" s="1" t="s">
        <v>0</v>
      </c>
      <c r="Q290"/>
      <c r="R290"/>
      <c r="S290"/>
      <c r="T290"/>
      <c r="U290" s="15"/>
    </row>
    <row r="291" spans="1:21">
      <c r="A291" s="8"/>
      <c r="B291" t="s">
        <v>1</v>
      </c>
      <c r="C291" s="2" t="s">
        <v>2</v>
      </c>
      <c r="D291" t="s">
        <v>118</v>
      </c>
      <c r="E291"/>
      <c r="F291"/>
      <c r="G291" s="15"/>
      <c r="H291" s="8"/>
      <c r="I291" t="s">
        <v>1</v>
      </c>
      <c r="J291" s="2" t="s">
        <v>2</v>
      </c>
      <c r="K291" t="s">
        <v>119</v>
      </c>
      <c r="L291"/>
      <c r="M291"/>
      <c r="N291" s="15"/>
      <c r="O291" s="8"/>
      <c r="P291" t="s">
        <v>1</v>
      </c>
      <c r="Q291" s="2" t="s">
        <v>2</v>
      </c>
      <c r="R291" t="s">
        <v>120</v>
      </c>
      <c r="S291"/>
      <c r="T291"/>
      <c r="U291" s="15"/>
    </row>
    <row r="292" spans="1:21">
      <c r="A292" s="8"/>
      <c r="B292" t="s">
        <v>6</v>
      </c>
      <c r="C292" s="2" t="s">
        <v>2</v>
      </c>
      <c r="D292">
        <v>1722</v>
      </c>
      <c r="E292"/>
      <c r="F292"/>
      <c r="G292" s="15"/>
      <c r="H292" s="8"/>
      <c r="I292" t="s">
        <v>6</v>
      </c>
      <c r="J292" s="2" t="s">
        <v>2</v>
      </c>
      <c r="K292">
        <v>2774</v>
      </c>
      <c r="L292"/>
      <c r="M292"/>
      <c r="N292" s="15"/>
      <c r="O292" s="8"/>
      <c r="P292" t="s">
        <v>6</v>
      </c>
      <c r="Q292" s="2" t="s">
        <v>2</v>
      </c>
      <c r="R292" t="s">
        <v>121</v>
      </c>
      <c r="S292"/>
      <c r="T292"/>
      <c r="U292" s="15"/>
    </row>
    <row r="293" spans="1:21">
      <c r="A293" s="8"/>
      <c r="B293" t="s">
        <v>10</v>
      </c>
      <c r="C293" s="2" t="s">
        <v>2</v>
      </c>
      <c r="D293" t="s">
        <v>111</v>
      </c>
      <c r="E293"/>
      <c r="F293"/>
      <c r="G293" s="15"/>
      <c r="H293" s="8"/>
      <c r="I293" t="s">
        <v>10</v>
      </c>
      <c r="J293" s="2" t="s">
        <v>2</v>
      </c>
      <c r="K293" t="s">
        <v>111</v>
      </c>
      <c r="L293"/>
      <c r="M293"/>
      <c r="N293" s="15"/>
      <c r="O293" s="8"/>
      <c r="P293" t="s">
        <v>10</v>
      </c>
      <c r="Q293" s="2" t="s">
        <v>2</v>
      </c>
      <c r="R293" t="s">
        <v>111</v>
      </c>
      <c r="S293"/>
      <c r="T293"/>
      <c r="U293" s="15"/>
    </row>
    <row r="294" spans="1:21">
      <c r="A294" s="8"/>
      <c r="B294" t="s">
        <v>12</v>
      </c>
      <c r="C294" s="2" t="s">
        <v>2</v>
      </c>
      <c r="D294" t="s">
        <v>13</v>
      </c>
      <c r="E294"/>
      <c r="F294"/>
      <c r="G294" s="15"/>
      <c r="H294" s="8"/>
      <c r="I294" t="s">
        <v>12</v>
      </c>
      <c r="J294" s="2" t="s">
        <v>2</v>
      </c>
      <c r="K294" t="s">
        <v>13</v>
      </c>
      <c r="L294"/>
      <c r="M294"/>
      <c r="N294" s="15"/>
      <c r="O294" s="8"/>
      <c r="P294" t="s">
        <v>12</v>
      </c>
      <c r="Q294" s="2" t="s">
        <v>2</v>
      </c>
      <c r="R294" t="s">
        <v>13</v>
      </c>
      <c r="S294"/>
      <c r="T294"/>
      <c r="U294" s="15"/>
    </row>
    <row r="295" spans="1:21">
      <c r="A295" s="8"/>
      <c r="B295" s="3" t="s">
        <v>14</v>
      </c>
      <c r="C295" s="4" t="s">
        <v>2</v>
      </c>
      <c r="D295" s="3" t="s">
        <v>15</v>
      </c>
      <c r="E295" s="3"/>
      <c r="F295" s="3"/>
      <c r="G295" s="15"/>
      <c r="H295" s="8"/>
      <c r="I295" s="3" t="s">
        <v>14</v>
      </c>
      <c r="J295" s="4" t="s">
        <v>2</v>
      </c>
      <c r="K295" s="3" t="s">
        <v>15</v>
      </c>
      <c r="L295" s="3"/>
      <c r="M295" s="3"/>
      <c r="N295" s="15"/>
      <c r="O295" s="8"/>
      <c r="P295" s="3" t="s">
        <v>14</v>
      </c>
      <c r="Q295" s="4" t="s">
        <v>2</v>
      </c>
      <c r="R295" s="3" t="s">
        <v>15</v>
      </c>
      <c r="S295" s="3"/>
      <c r="T295" s="3"/>
      <c r="U295" s="15"/>
    </row>
    <row r="296" spans="1:21">
      <c r="A296" s="8"/>
      <c r="B296" t="s">
        <v>16</v>
      </c>
      <c r="C296"/>
      <c r="D296"/>
      <c r="E296" s="2" t="s">
        <v>2</v>
      </c>
      <c r="F296" s="5">
        <v>3585000</v>
      </c>
      <c r="G296" s="15"/>
      <c r="H296" s="8"/>
      <c r="I296" t="s">
        <v>16</v>
      </c>
      <c r="J296"/>
      <c r="K296"/>
      <c r="L296" s="2" t="s">
        <v>2</v>
      </c>
      <c r="M296" s="5">
        <v>3574500</v>
      </c>
      <c r="N296" s="15"/>
      <c r="O296" s="8"/>
      <c r="P296" t="s">
        <v>16</v>
      </c>
      <c r="Q296"/>
      <c r="R296"/>
      <c r="S296" s="2" t="s">
        <v>2</v>
      </c>
      <c r="T296" s="5">
        <v>6293500</v>
      </c>
      <c r="U296" s="15"/>
    </row>
    <row r="297" spans="1:21">
      <c r="A297" s="8"/>
      <c r="B297" t="s">
        <v>17</v>
      </c>
      <c r="C297"/>
      <c r="D297"/>
      <c r="E297" s="2" t="s">
        <v>2</v>
      </c>
      <c r="F297" s="5">
        <v>50000</v>
      </c>
      <c r="G297" s="15"/>
      <c r="H297" s="8"/>
      <c r="I297" t="s">
        <v>17</v>
      </c>
      <c r="J297"/>
      <c r="K297"/>
      <c r="L297" s="2" t="s">
        <v>2</v>
      </c>
      <c r="M297" s="5">
        <v>100000</v>
      </c>
      <c r="N297" s="15"/>
      <c r="O297" s="8"/>
      <c r="P297" t="s">
        <v>17</v>
      </c>
      <c r="Q297"/>
      <c r="R297"/>
      <c r="S297" s="2" t="s">
        <v>2</v>
      </c>
      <c r="T297" s="5">
        <v>400000</v>
      </c>
      <c r="U297" s="15"/>
    </row>
    <row r="298" spans="1:21">
      <c r="A298" s="8"/>
      <c r="B298" t="s">
        <v>18</v>
      </c>
      <c r="C298"/>
      <c r="D298"/>
      <c r="E298" s="2" t="s">
        <v>2</v>
      </c>
      <c r="F298" s="5">
        <v>0</v>
      </c>
      <c r="G298" s="15"/>
      <c r="H298" s="8"/>
      <c r="I298" t="s">
        <v>18</v>
      </c>
      <c r="J298"/>
      <c r="K298"/>
      <c r="L298" s="2" t="s">
        <v>2</v>
      </c>
      <c r="M298" s="5">
        <v>0</v>
      </c>
      <c r="N298" s="15"/>
      <c r="O298" s="8"/>
      <c r="P298" t="s">
        <v>18</v>
      </c>
      <c r="Q298"/>
      <c r="R298"/>
      <c r="S298" s="2" t="s">
        <v>2</v>
      </c>
      <c r="T298" s="5">
        <v>0</v>
      </c>
      <c r="U298" s="15"/>
    </row>
    <row r="299" spans="1:21">
      <c r="A299" s="8"/>
      <c r="B299" t="s">
        <v>19</v>
      </c>
      <c r="C299"/>
      <c r="D299"/>
      <c r="E299" s="2" t="s">
        <v>2</v>
      </c>
      <c r="F299" s="5">
        <v>20000</v>
      </c>
      <c r="G299" s="15"/>
      <c r="H299" s="8"/>
      <c r="I299" t="s">
        <v>19</v>
      </c>
      <c r="J299"/>
      <c r="K299"/>
      <c r="L299" s="2" t="s">
        <v>2</v>
      </c>
      <c r="M299" s="5">
        <v>0</v>
      </c>
      <c r="N299" s="15"/>
      <c r="O299" s="8"/>
      <c r="P299" t="s">
        <v>19</v>
      </c>
      <c r="Q299"/>
      <c r="R299"/>
      <c r="S299" s="2" t="s">
        <v>2</v>
      </c>
      <c r="T299" s="5">
        <v>0</v>
      </c>
      <c r="U299" s="15"/>
    </row>
    <row r="300" spans="1:21">
      <c r="A300" s="8"/>
      <c r="B300"/>
      <c r="C300"/>
      <c r="D300"/>
      <c r="E300"/>
      <c r="F300"/>
      <c r="G300" s="15"/>
      <c r="H300" s="8"/>
      <c r="I300"/>
      <c r="J300"/>
      <c r="K300"/>
      <c r="L300"/>
      <c r="M300"/>
      <c r="N300" s="15"/>
      <c r="O300" s="8"/>
      <c r="P300"/>
      <c r="Q300"/>
      <c r="R300"/>
      <c r="S300"/>
      <c r="T300"/>
      <c r="U300" s="15"/>
    </row>
    <row r="301" spans="1:21">
      <c r="A301" s="8"/>
      <c r="B301" s="2" t="s">
        <v>20</v>
      </c>
      <c r="C301"/>
      <c r="D301"/>
      <c r="E301"/>
      <c r="F301"/>
      <c r="G301" s="15"/>
      <c r="H301" s="8"/>
      <c r="I301" s="2" t="s">
        <v>20</v>
      </c>
      <c r="J301"/>
      <c r="K301"/>
      <c r="L301"/>
      <c r="M301"/>
      <c r="N301" s="15"/>
      <c r="O301" s="8"/>
      <c r="P301" s="2" t="s">
        <v>20</v>
      </c>
      <c r="Q301"/>
      <c r="R301"/>
      <c r="S301"/>
      <c r="T301"/>
      <c r="U301" s="15"/>
    </row>
    <row r="302" spans="1:21">
      <c r="A302" s="8"/>
      <c r="B302" t="s">
        <v>21</v>
      </c>
      <c r="C302"/>
      <c r="D302"/>
      <c r="E302" s="2" t="s">
        <v>2</v>
      </c>
      <c r="F302" s="5">
        <v>119500</v>
      </c>
      <c r="G302" s="15"/>
      <c r="H302" s="8"/>
      <c r="I302" t="s">
        <v>21</v>
      </c>
      <c r="J302"/>
      <c r="K302"/>
      <c r="L302" s="2" t="s">
        <v>2</v>
      </c>
      <c r="M302" s="5">
        <v>2383000</v>
      </c>
      <c r="N302" s="15"/>
      <c r="O302" s="8"/>
      <c r="P302" t="s">
        <v>21</v>
      </c>
      <c r="Q302"/>
      <c r="R302"/>
      <c r="S302" s="2" t="s">
        <v>2</v>
      </c>
      <c r="T302" s="5">
        <v>3776100</v>
      </c>
      <c r="U302" s="15"/>
    </row>
    <row r="303" spans="1:21">
      <c r="A303" s="8"/>
      <c r="B303" t="s">
        <v>22</v>
      </c>
      <c r="C303"/>
      <c r="D303"/>
      <c r="E303" s="2" t="s">
        <v>2</v>
      </c>
      <c r="F303" s="5">
        <v>107550</v>
      </c>
      <c r="G303" s="15"/>
      <c r="H303" s="8"/>
      <c r="I303" t="s">
        <v>22</v>
      </c>
      <c r="J303"/>
      <c r="K303"/>
      <c r="L303" s="2" t="s">
        <v>2</v>
      </c>
      <c r="M303" s="5">
        <v>107235</v>
      </c>
      <c r="N303" s="15"/>
      <c r="O303" s="8"/>
      <c r="P303" t="s">
        <v>22</v>
      </c>
      <c r="Q303"/>
      <c r="R303"/>
      <c r="S303" s="2" t="s">
        <v>2</v>
      </c>
      <c r="T303" s="5">
        <v>188805</v>
      </c>
      <c r="U303" s="15"/>
    </row>
    <row r="304" spans="1:21">
      <c r="A304" s="8"/>
      <c r="B304" s="3" t="s">
        <v>23</v>
      </c>
      <c r="C304" s="3"/>
      <c r="D304" s="3"/>
      <c r="E304" s="4" t="s">
        <v>2</v>
      </c>
      <c r="F304" s="6">
        <v>35745</v>
      </c>
      <c r="G304" s="15"/>
      <c r="H304" s="8"/>
      <c r="I304" s="3" t="s">
        <v>23</v>
      </c>
      <c r="J304" s="3"/>
      <c r="K304" s="3"/>
      <c r="L304" s="4" t="s">
        <v>2</v>
      </c>
      <c r="M304" s="6">
        <v>35745</v>
      </c>
      <c r="N304" s="15"/>
      <c r="O304" s="8"/>
      <c r="P304" s="3" t="s">
        <v>23</v>
      </c>
      <c r="Q304" s="3"/>
      <c r="R304" s="3"/>
      <c r="S304" s="4" t="s">
        <v>2</v>
      </c>
      <c r="T304" s="6">
        <v>50570</v>
      </c>
      <c r="U304" s="15"/>
    </row>
    <row r="305" spans="1:21">
      <c r="A305" s="8"/>
      <c r="B305" t="s">
        <v>24</v>
      </c>
      <c r="C305"/>
      <c r="D305"/>
      <c r="E305" s="2" t="s">
        <v>2</v>
      </c>
      <c r="F305" s="5" t="str">
        <f>sum(f302:f304)</f>
        <v>0</v>
      </c>
      <c r="G305" s="15"/>
      <c r="H305" s="8"/>
      <c r="I305" t="s">
        <v>24</v>
      </c>
      <c r="J305"/>
      <c r="K305"/>
      <c r="L305" s="2" t="s">
        <v>2</v>
      </c>
      <c r="M305" s="5" t="str">
        <f>sum(m302:m304)</f>
        <v>0</v>
      </c>
      <c r="N305" s="15"/>
      <c r="O305" s="8"/>
      <c r="P305" t="s">
        <v>24</v>
      </c>
      <c r="Q305"/>
      <c r="R305"/>
      <c r="S305" s="2" t="s">
        <v>2</v>
      </c>
      <c r="T305" s="5" t="str">
        <f>sum(t302:t304)</f>
        <v>0</v>
      </c>
      <c r="U305" s="15"/>
    </row>
    <row r="306" spans="1:21">
      <c r="A306" s="9"/>
      <c r="B306" s="11" t="s">
        <v>25</v>
      </c>
      <c r="C306" s="11"/>
      <c r="D306" s="11"/>
      <c r="E306" s="12" t="s">
        <v>2</v>
      </c>
      <c r="F306" s="13" t="str">
        <f>sum(f296:f299)-f305</f>
        <v>0</v>
      </c>
      <c r="G306" s="16"/>
      <c r="H306" s="9"/>
      <c r="I306" s="11" t="s">
        <v>25</v>
      </c>
      <c r="J306" s="11"/>
      <c r="K306" s="11"/>
      <c r="L306" s="12" t="s">
        <v>2</v>
      </c>
      <c r="M306" s="13" t="str">
        <f>sum(m296:m299)-m305</f>
        <v>0</v>
      </c>
      <c r="N306" s="16"/>
      <c r="O306" s="9"/>
      <c r="P306" s="11" t="s">
        <v>25</v>
      </c>
      <c r="Q306" s="11"/>
      <c r="R306" s="11"/>
      <c r="S306" s="12" t="s">
        <v>2</v>
      </c>
      <c r="T306" s="13" t="str">
        <f>sum(t296:t299)-t305</f>
        <v>0</v>
      </c>
      <c r="U306" s="16"/>
    </row>
    <row r="307" spans="1:21">
      <c r="A307" s="7"/>
      <c r="B307" s="10"/>
      <c r="C307" s="10"/>
      <c r="D307" s="10"/>
      <c r="E307" s="10"/>
      <c r="F307" s="10"/>
      <c r="G307" s="14"/>
      <c r="H307" s="7"/>
      <c r="I307" s="10"/>
      <c r="J307" s="10"/>
      <c r="K307" s="10"/>
      <c r="L307" s="10"/>
      <c r="M307" s="10"/>
      <c r="N307" s="14"/>
      <c r="O307" s="7"/>
      <c r="P307" s="10"/>
      <c r="Q307" s="10"/>
      <c r="R307" s="10"/>
      <c r="S307" s="10"/>
      <c r="T307" s="10"/>
      <c r="U307" s="14"/>
    </row>
    <row r="308" spans="1:21">
      <c r="A308" s="8"/>
      <c r="B308" s="1" t="s">
        <v>0</v>
      </c>
      <c r="C308"/>
      <c r="D308"/>
      <c r="E308"/>
      <c r="F308"/>
      <c r="G308" s="15"/>
      <c r="H308" s="8"/>
      <c r="I308" s="1" t="s">
        <v>0</v>
      </c>
      <c r="J308"/>
      <c r="K308"/>
      <c r="L308"/>
      <c r="M308"/>
      <c r="N308" s="15"/>
      <c r="O308" s="8"/>
      <c r="P308" s="1" t="s">
        <v>0</v>
      </c>
      <c r="Q308"/>
      <c r="R308"/>
      <c r="S308"/>
      <c r="T308"/>
      <c r="U308" s="15"/>
    </row>
    <row r="309" spans="1:21">
      <c r="A309" s="8"/>
      <c r="B309" t="s">
        <v>1</v>
      </c>
      <c r="C309" s="2" t="s">
        <v>2</v>
      </c>
      <c r="D309" t="s">
        <v>122</v>
      </c>
      <c r="E309"/>
      <c r="F309"/>
      <c r="G309" s="15"/>
      <c r="H309" s="8"/>
      <c r="I309" t="s">
        <v>1</v>
      </c>
      <c r="J309" s="2" t="s">
        <v>2</v>
      </c>
      <c r="K309" t="s">
        <v>123</v>
      </c>
      <c r="L309"/>
      <c r="M309"/>
      <c r="N309" s="15"/>
      <c r="O309" s="8"/>
      <c r="P309" t="s">
        <v>1</v>
      </c>
      <c r="Q309" s="2" t="s">
        <v>2</v>
      </c>
      <c r="R309" t="s">
        <v>124</v>
      </c>
      <c r="S309"/>
      <c r="T309"/>
      <c r="U309" s="15"/>
    </row>
    <row r="310" spans="1:21">
      <c r="A310" s="8"/>
      <c r="B310" t="s">
        <v>6</v>
      </c>
      <c r="C310" s="2" t="s">
        <v>2</v>
      </c>
      <c r="D310" t="s">
        <v>125</v>
      </c>
      <c r="E310"/>
      <c r="F310"/>
      <c r="G310" s="15"/>
      <c r="H310" s="8"/>
      <c r="I310" t="s">
        <v>6</v>
      </c>
      <c r="J310" s="2" t="s">
        <v>2</v>
      </c>
      <c r="K310" t="s">
        <v>126</v>
      </c>
      <c r="L310"/>
      <c r="M310"/>
      <c r="N310" s="15"/>
      <c r="O310" s="8"/>
      <c r="P310" t="s">
        <v>6</v>
      </c>
      <c r="Q310" s="2" t="s">
        <v>2</v>
      </c>
      <c r="R310">
        <v>1754</v>
      </c>
      <c r="S310"/>
      <c r="T310"/>
      <c r="U310" s="15"/>
    </row>
    <row r="311" spans="1:21">
      <c r="A311" s="8"/>
      <c r="B311" t="s">
        <v>10</v>
      </c>
      <c r="C311" s="2" t="s">
        <v>2</v>
      </c>
      <c r="D311" t="s">
        <v>127</v>
      </c>
      <c r="E311"/>
      <c r="F311"/>
      <c r="G311" s="15"/>
      <c r="H311" s="8"/>
      <c r="I311" t="s">
        <v>10</v>
      </c>
      <c r="J311" s="2" t="s">
        <v>2</v>
      </c>
      <c r="K311" t="s">
        <v>127</v>
      </c>
      <c r="L311"/>
      <c r="M311"/>
      <c r="N311" s="15"/>
      <c r="O311" s="8"/>
      <c r="P311" t="s">
        <v>10</v>
      </c>
      <c r="Q311" s="2" t="s">
        <v>2</v>
      </c>
      <c r="R311" t="s">
        <v>127</v>
      </c>
      <c r="S311"/>
      <c r="T311"/>
      <c r="U311" s="15"/>
    </row>
    <row r="312" spans="1:21">
      <c r="A312" s="8"/>
      <c r="B312" t="s">
        <v>12</v>
      </c>
      <c r="C312" s="2" t="s">
        <v>2</v>
      </c>
      <c r="D312" t="s">
        <v>13</v>
      </c>
      <c r="E312"/>
      <c r="F312"/>
      <c r="G312" s="15"/>
      <c r="H312" s="8"/>
      <c r="I312" t="s">
        <v>12</v>
      </c>
      <c r="J312" s="2" t="s">
        <v>2</v>
      </c>
      <c r="K312" t="s">
        <v>13</v>
      </c>
      <c r="L312"/>
      <c r="M312"/>
      <c r="N312" s="15"/>
      <c r="O312" s="8"/>
      <c r="P312" t="s">
        <v>12</v>
      </c>
      <c r="Q312" s="2" t="s">
        <v>2</v>
      </c>
      <c r="R312" t="s">
        <v>13</v>
      </c>
      <c r="S312"/>
      <c r="T312"/>
      <c r="U312" s="15"/>
    </row>
    <row r="313" spans="1:21">
      <c r="A313" s="8"/>
      <c r="B313" s="3" t="s">
        <v>14</v>
      </c>
      <c r="C313" s="4" t="s">
        <v>2</v>
      </c>
      <c r="D313" s="3" t="s">
        <v>15</v>
      </c>
      <c r="E313" s="3"/>
      <c r="F313" s="3"/>
      <c r="G313" s="15"/>
      <c r="H313" s="8"/>
      <c r="I313" s="3" t="s">
        <v>14</v>
      </c>
      <c r="J313" s="4" t="s">
        <v>2</v>
      </c>
      <c r="K313" s="3" t="s">
        <v>15</v>
      </c>
      <c r="L313" s="3"/>
      <c r="M313" s="3"/>
      <c r="N313" s="15"/>
      <c r="O313" s="8"/>
      <c r="P313" s="3" t="s">
        <v>14</v>
      </c>
      <c r="Q313" s="4" t="s">
        <v>2</v>
      </c>
      <c r="R313" s="3" t="s">
        <v>15</v>
      </c>
      <c r="S313" s="3"/>
      <c r="T313" s="3"/>
      <c r="U313" s="15"/>
    </row>
    <row r="314" spans="1:21">
      <c r="A314" s="8"/>
      <c r="B314" t="s">
        <v>16</v>
      </c>
      <c r="C314"/>
      <c r="D314"/>
      <c r="E314" s="2" t="s">
        <v>2</v>
      </c>
      <c r="F314" s="5">
        <v>3598000</v>
      </c>
      <c r="G314" s="15"/>
      <c r="H314" s="8"/>
      <c r="I314" t="s">
        <v>16</v>
      </c>
      <c r="J314"/>
      <c r="K314"/>
      <c r="L314" s="2" t="s">
        <v>2</v>
      </c>
      <c r="M314" s="5">
        <v>3597000</v>
      </c>
      <c r="N314" s="15"/>
      <c r="O314" s="8"/>
      <c r="P314" t="s">
        <v>16</v>
      </c>
      <c r="Q314"/>
      <c r="R314"/>
      <c r="S314" s="2" t="s">
        <v>2</v>
      </c>
      <c r="T314" s="5">
        <v>3585000</v>
      </c>
      <c r="U314" s="15"/>
    </row>
    <row r="315" spans="1:21">
      <c r="A315" s="8"/>
      <c r="B315" t="s">
        <v>17</v>
      </c>
      <c r="C315"/>
      <c r="D315"/>
      <c r="E315" s="2" t="s">
        <v>2</v>
      </c>
      <c r="F315" s="5">
        <v>50000</v>
      </c>
      <c r="G315" s="15"/>
      <c r="H315" s="8"/>
      <c r="I315" t="s">
        <v>17</v>
      </c>
      <c r="J315"/>
      <c r="K315"/>
      <c r="L315" s="2" t="s">
        <v>2</v>
      </c>
      <c r="M315" s="5">
        <v>50000</v>
      </c>
      <c r="N315" s="15"/>
      <c r="O315" s="8"/>
      <c r="P315" t="s">
        <v>17</v>
      </c>
      <c r="Q315"/>
      <c r="R315"/>
      <c r="S315" s="2" t="s">
        <v>2</v>
      </c>
      <c r="T315" s="5">
        <v>50000</v>
      </c>
      <c r="U315" s="15"/>
    </row>
    <row r="316" spans="1:21">
      <c r="A316" s="8"/>
      <c r="B316" t="s">
        <v>18</v>
      </c>
      <c r="C316"/>
      <c r="D316"/>
      <c r="E316" s="2" t="s">
        <v>2</v>
      </c>
      <c r="F316" s="5">
        <v>0</v>
      </c>
      <c r="G316" s="15"/>
      <c r="H316" s="8"/>
      <c r="I316" t="s">
        <v>18</v>
      </c>
      <c r="J316"/>
      <c r="K316"/>
      <c r="L316" s="2" t="s">
        <v>2</v>
      </c>
      <c r="M316" s="5">
        <v>25000</v>
      </c>
      <c r="N316" s="15"/>
      <c r="O316" s="8"/>
      <c r="P316" t="s">
        <v>18</v>
      </c>
      <c r="Q316"/>
      <c r="R316"/>
      <c r="S316" s="2" t="s">
        <v>2</v>
      </c>
      <c r="T316" s="5">
        <v>25000</v>
      </c>
      <c r="U316" s="15"/>
    </row>
    <row r="317" spans="1:21">
      <c r="A317" s="8"/>
      <c r="B317" t="s">
        <v>19</v>
      </c>
      <c r="C317"/>
      <c r="D317"/>
      <c r="E317" s="2" t="s">
        <v>2</v>
      </c>
      <c r="F317" s="5">
        <v>0</v>
      </c>
      <c r="G317" s="15"/>
      <c r="H317" s="8"/>
      <c r="I317" t="s">
        <v>19</v>
      </c>
      <c r="J317"/>
      <c r="K317"/>
      <c r="L317" s="2" t="s">
        <v>2</v>
      </c>
      <c r="M317" s="5">
        <v>10000</v>
      </c>
      <c r="N317" s="15"/>
      <c r="O317" s="8"/>
      <c r="P317" t="s">
        <v>19</v>
      </c>
      <c r="Q317"/>
      <c r="R317"/>
      <c r="S317" s="2" t="s">
        <v>2</v>
      </c>
      <c r="T317" s="5">
        <v>18000</v>
      </c>
      <c r="U317" s="15"/>
    </row>
    <row r="318" spans="1:21">
      <c r="A318" s="8"/>
      <c r="B318"/>
      <c r="C318"/>
      <c r="D318"/>
      <c r="E318"/>
      <c r="F318"/>
      <c r="G318" s="15"/>
      <c r="H318" s="8"/>
      <c r="I318"/>
      <c r="J318"/>
      <c r="K318"/>
      <c r="L318"/>
      <c r="M318"/>
      <c r="N318" s="15"/>
      <c r="O318" s="8"/>
      <c r="P318"/>
      <c r="Q318"/>
      <c r="R318"/>
      <c r="S318"/>
      <c r="T318"/>
      <c r="U318" s="15"/>
    </row>
    <row r="319" spans="1:21">
      <c r="A319" s="8"/>
      <c r="B319" s="2" t="s">
        <v>20</v>
      </c>
      <c r="C319"/>
      <c r="D319"/>
      <c r="E319"/>
      <c r="F319"/>
      <c r="G319" s="15"/>
      <c r="H319" s="8"/>
      <c r="I319" s="2" t="s">
        <v>20</v>
      </c>
      <c r="J319"/>
      <c r="K319"/>
      <c r="L319"/>
      <c r="M319"/>
      <c r="N319" s="15"/>
      <c r="O319" s="8"/>
      <c r="P319" s="2" t="s">
        <v>20</v>
      </c>
      <c r="Q319"/>
      <c r="R319"/>
      <c r="S319"/>
      <c r="T319"/>
      <c r="U319" s="15"/>
    </row>
    <row r="320" spans="1:21">
      <c r="A320" s="8"/>
      <c r="B320" t="s">
        <v>21</v>
      </c>
      <c r="C320"/>
      <c r="D320"/>
      <c r="E320" s="2" t="s">
        <v>2</v>
      </c>
      <c r="F320" s="5">
        <v>0</v>
      </c>
      <c r="G320" s="15"/>
      <c r="H320" s="8"/>
      <c r="I320" t="s">
        <v>21</v>
      </c>
      <c r="J320"/>
      <c r="K320"/>
      <c r="L320" s="2" t="s">
        <v>2</v>
      </c>
      <c r="M320" s="5">
        <v>0</v>
      </c>
      <c r="N320" s="15"/>
      <c r="O320" s="8"/>
      <c r="P320" t="s">
        <v>21</v>
      </c>
      <c r="Q320"/>
      <c r="R320"/>
      <c r="S320" s="2" t="s">
        <v>2</v>
      </c>
      <c r="T320" s="5">
        <v>0</v>
      </c>
      <c r="U320" s="15"/>
    </row>
    <row r="321" spans="1:21">
      <c r="A321" s="8"/>
      <c r="B321" t="s">
        <v>22</v>
      </c>
      <c r="C321"/>
      <c r="D321"/>
      <c r="E321" s="2" t="s">
        <v>2</v>
      </c>
      <c r="F321" s="5">
        <v>107940</v>
      </c>
      <c r="G321" s="15"/>
      <c r="H321" s="8"/>
      <c r="I321" t="s">
        <v>22</v>
      </c>
      <c r="J321"/>
      <c r="K321"/>
      <c r="L321" s="2" t="s">
        <v>2</v>
      </c>
      <c r="M321" s="5">
        <v>107910</v>
      </c>
      <c r="N321" s="15"/>
      <c r="O321" s="8"/>
      <c r="P321" t="s">
        <v>22</v>
      </c>
      <c r="Q321"/>
      <c r="R321"/>
      <c r="S321" s="2" t="s">
        <v>2</v>
      </c>
      <c r="T321" s="5">
        <v>107550</v>
      </c>
      <c r="U321" s="15"/>
    </row>
    <row r="322" spans="1:21">
      <c r="A322" s="8"/>
      <c r="B322" s="3" t="s">
        <v>23</v>
      </c>
      <c r="C322" s="3"/>
      <c r="D322" s="3"/>
      <c r="E322" s="4" t="s">
        <v>2</v>
      </c>
      <c r="F322" s="6">
        <v>35745</v>
      </c>
      <c r="G322" s="15"/>
      <c r="H322" s="8"/>
      <c r="I322" s="3" t="s">
        <v>23</v>
      </c>
      <c r="J322" s="3"/>
      <c r="K322" s="3"/>
      <c r="L322" s="4" t="s">
        <v>2</v>
      </c>
      <c r="M322" s="6">
        <v>35745</v>
      </c>
      <c r="N322" s="15"/>
      <c r="O322" s="8"/>
      <c r="P322" s="3" t="s">
        <v>23</v>
      </c>
      <c r="Q322" s="3"/>
      <c r="R322" s="3"/>
      <c r="S322" s="4" t="s">
        <v>2</v>
      </c>
      <c r="T322" s="6">
        <v>35745</v>
      </c>
      <c r="U322" s="15"/>
    </row>
    <row r="323" spans="1:21">
      <c r="A323" s="8"/>
      <c r="B323" t="s">
        <v>24</v>
      </c>
      <c r="C323"/>
      <c r="D323"/>
      <c r="E323" s="2" t="s">
        <v>2</v>
      </c>
      <c r="F323" s="5" t="str">
        <f>sum(f320:f322)</f>
        <v>0</v>
      </c>
      <c r="G323" s="15"/>
      <c r="H323" s="8"/>
      <c r="I323" t="s">
        <v>24</v>
      </c>
      <c r="J323"/>
      <c r="K323"/>
      <c r="L323" s="2" t="s">
        <v>2</v>
      </c>
      <c r="M323" s="5" t="str">
        <f>sum(m320:m322)</f>
        <v>0</v>
      </c>
      <c r="N323" s="15"/>
      <c r="O323" s="8"/>
      <c r="P323" t="s">
        <v>24</v>
      </c>
      <c r="Q323"/>
      <c r="R323"/>
      <c r="S323" s="2" t="s">
        <v>2</v>
      </c>
      <c r="T323" s="5" t="str">
        <f>sum(t320:t322)</f>
        <v>0</v>
      </c>
      <c r="U323" s="15"/>
    </row>
    <row r="324" spans="1:21">
      <c r="A324" s="9"/>
      <c r="B324" s="11" t="s">
        <v>25</v>
      </c>
      <c r="C324" s="11"/>
      <c r="D324" s="11"/>
      <c r="E324" s="12" t="s">
        <v>2</v>
      </c>
      <c r="F324" s="13" t="str">
        <f>sum(f314:f317)-f323</f>
        <v>0</v>
      </c>
      <c r="G324" s="16"/>
      <c r="H324" s="9"/>
      <c r="I324" s="11" t="s">
        <v>25</v>
      </c>
      <c r="J324" s="11"/>
      <c r="K324" s="11"/>
      <c r="L324" s="12" t="s">
        <v>2</v>
      </c>
      <c r="M324" s="13" t="str">
        <f>sum(m314:m317)-m323</f>
        <v>0</v>
      </c>
      <c r="N324" s="16"/>
      <c r="O324" s="9"/>
      <c r="P324" s="11" t="s">
        <v>25</v>
      </c>
      <c r="Q324" s="11"/>
      <c r="R324" s="11"/>
      <c r="S324" s="12" t="s">
        <v>2</v>
      </c>
      <c r="T324" s="13" t="str">
        <f>sum(t314:t317)-t323</f>
        <v>0</v>
      </c>
      <c r="U324" s="16"/>
    </row>
    <row r="325" spans="1:21">
      <c r="A325" s="7"/>
      <c r="B325" s="10"/>
      <c r="C325" s="10"/>
      <c r="D325" s="10"/>
      <c r="E325" s="10"/>
      <c r="F325" s="10"/>
      <c r="G325" s="14"/>
      <c r="H325" s="7"/>
      <c r="I325" s="10"/>
      <c r="J325" s="10"/>
      <c r="K325" s="10"/>
      <c r="L325" s="10"/>
      <c r="M325" s="10"/>
      <c r="N325" s="14"/>
      <c r="O325" s="7"/>
      <c r="P325" s="10"/>
      <c r="Q325" s="10"/>
      <c r="R325" s="10"/>
      <c r="S325" s="10"/>
      <c r="T325" s="10"/>
      <c r="U325" s="14"/>
    </row>
    <row r="326" spans="1:21">
      <c r="A326" s="8"/>
      <c r="B326" s="1" t="s">
        <v>0</v>
      </c>
      <c r="C326"/>
      <c r="D326"/>
      <c r="E326"/>
      <c r="F326"/>
      <c r="G326" s="15"/>
      <c r="H326" s="8"/>
      <c r="I326" s="1" t="s">
        <v>0</v>
      </c>
      <c r="J326"/>
      <c r="K326"/>
      <c r="L326"/>
      <c r="M326"/>
      <c r="N326" s="15"/>
      <c r="O326" s="8"/>
      <c r="P326" s="1" t="s">
        <v>0</v>
      </c>
      <c r="Q326"/>
      <c r="R326"/>
      <c r="S326"/>
      <c r="T326"/>
      <c r="U326" s="15"/>
    </row>
    <row r="327" spans="1:21">
      <c r="A327" s="8"/>
      <c r="B327" t="s">
        <v>1</v>
      </c>
      <c r="C327" s="2" t="s">
        <v>2</v>
      </c>
      <c r="D327" t="s">
        <v>128</v>
      </c>
      <c r="E327"/>
      <c r="F327"/>
      <c r="G327" s="15"/>
      <c r="H327" s="8"/>
      <c r="I327" t="s">
        <v>1</v>
      </c>
      <c r="J327" s="2" t="s">
        <v>2</v>
      </c>
      <c r="K327" t="s">
        <v>129</v>
      </c>
      <c r="L327"/>
      <c r="M327"/>
      <c r="N327" s="15"/>
      <c r="O327" s="8"/>
      <c r="P327" t="s">
        <v>1</v>
      </c>
      <c r="Q327" s="2" t="s">
        <v>2</v>
      </c>
      <c r="R327" t="s">
        <v>130</v>
      </c>
      <c r="S327"/>
      <c r="T327"/>
      <c r="U327" s="15"/>
    </row>
    <row r="328" spans="1:21">
      <c r="A328" s="8"/>
      <c r="B328" t="s">
        <v>6</v>
      </c>
      <c r="C328" s="2" t="s">
        <v>2</v>
      </c>
      <c r="D328">
        <v>3031</v>
      </c>
      <c r="E328"/>
      <c r="F328"/>
      <c r="G328" s="15"/>
      <c r="H328" s="8"/>
      <c r="I328" t="s">
        <v>6</v>
      </c>
      <c r="J328" s="2" t="s">
        <v>2</v>
      </c>
      <c r="K328" t="s">
        <v>131</v>
      </c>
      <c r="L328"/>
      <c r="M328"/>
      <c r="N328" s="15"/>
      <c r="O328" s="8"/>
      <c r="P328" t="s">
        <v>6</v>
      </c>
      <c r="Q328" s="2" t="s">
        <v>2</v>
      </c>
      <c r="R328" t="s">
        <v>132</v>
      </c>
      <c r="S328"/>
      <c r="T328"/>
      <c r="U328" s="15"/>
    </row>
    <row r="329" spans="1:21">
      <c r="A329" s="8"/>
      <c r="B329" t="s">
        <v>10</v>
      </c>
      <c r="C329" s="2" t="s">
        <v>2</v>
      </c>
      <c r="D329" t="s">
        <v>133</v>
      </c>
      <c r="E329"/>
      <c r="F329"/>
      <c r="G329" s="15"/>
      <c r="H329" s="8"/>
      <c r="I329" t="s">
        <v>10</v>
      </c>
      <c r="J329" s="2" t="s">
        <v>2</v>
      </c>
      <c r="K329" t="s">
        <v>133</v>
      </c>
      <c r="L329"/>
      <c r="M329"/>
      <c r="N329" s="15"/>
      <c r="O329" s="8"/>
      <c r="P329" t="s">
        <v>10</v>
      </c>
      <c r="Q329" s="2" t="s">
        <v>2</v>
      </c>
      <c r="R329" t="s">
        <v>133</v>
      </c>
      <c r="S329"/>
      <c r="T329"/>
      <c r="U329" s="15"/>
    </row>
    <row r="330" spans="1:21">
      <c r="A330" s="8"/>
      <c r="B330" t="s">
        <v>12</v>
      </c>
      <c r="C330" s="2" t="s">
        <v>2</v>
      </c>
      <c r="D330" t="s">
        <v>13</v>
      </c>
      <c r="E330"/>
      <c r="F330"/>
      <c r="G330" s="15"/>
      <c r="H330" s="8"/>
      <c r="I330" t="s">
        <v>12</v>
      </c>
      <c r="J330" s="2" t="s">
        <v>2</v>
      </c>
      <c r="K330" t="s">
        <v>13</v>
      </c>
      <c r="L330"/>
      <c r="M330"/>
      <c r="N330" s="15"/>
      <c r="O330" s="8"/>
      <c r="P330" t="s">
        <v>12</v>
      </c>
      <c r="Q330" s="2" t="s">
        <v>2</v>
      </c>
      <c r="R330" t="s">
        <v>13</v>
      </c>
      <c r="S330"/>
      <c r="T330"/>
      <c r="U330" s="15"/>
    </row>
    <row r="331" spans="1:21">
      <c r="A331" s="8"/>
      <c r="B331" s="3" t="s">
        <v>14</v>
      </c>
      <c r="C331" s="4" t="s">
        <v>2</v>
      </c>
      <c r="D331" s="3" t="s">
        <v>15</v>
      </c>
      <c r="E331" s="3"/>
      <c r="F331" s="3"/>
      <c r="G331" s="15"/>
      <c r="H331" s="8"/>
      <c r="I331" s="3" t="s">
        <v>14</v>
      </c>
      <c r="J331" s="4" t="s">
        <v>2</v>
      </c>
      <c r="K331" s="3" t="s">
        <v>15</v>
      </c>
      <c r="L331" s="3"/>
      <c r="M331" s="3"/>
      <c r="N331" s="15"/>
      <c r="O331" s="8"/>
      <c r="P331" s="3" t="s">
        <v>14</v>
      </c>
      <c r="Q331" s="4" t="s">
        <v>2</v>
      </c>
      <c r="R331" s="3" t="s">
        <v>15</v>
      </c>
      <c r="S331" s="3"/>
      <c r="T331" s="3"/>
      <c r="U331" s="15"/>
    </row>
    <row r="332" spans="1:21">
      <c r="A332" s="8"/>
      <c r="B332" t="s">
        <v>16</v>
      </c>
      <c r="C332"/>
      <c r="D332"/>
      <c r="E332" s="2" t="s">
        <v>2</v>
      </c>
      <c r="F332" s="5">
        <v>3574500</v>
      </c>
      <c r="G332" s="15"/>
      <c r="H332" s="8"/>
      <c r="I332" t="s">
        <v>16</v>
      </c>
      <c r="J332"/>
      <c r="K332"/>
      <c r="L332" s="2" t="s">
        <v>2</v>
      </c>
      <c r="M332" s="5">
        <v>4406000</v>
      </c>
      <c r="N332" s="15"/>
      <c r="O332" s="8"/>
      <c r="P332" t="s">
        <v>16</v>
      </c>
      <c r="Q332"/>
      <c r="R332"/>
      <c r="S332" s="2" t="s">
        <v>2</v>
      </c>
      <c r="T332" s="5">
        <v>4406000</v>
      </c>
      <c r="U332" s="15"/>
    </row>
    <row r="333" spans="1:21">
      <c r="A333" s="8"/>
      <c r="B333" t="s">
        <v>17</v>
      </c>
      <c r="C333"/>
      <c r="D333"/>
      <c r="E333" s="2" t="s">
        <v>2</v>
      </c>
      <c r="F333" s="5">
        <v>0</v>
      </c>
      <c r="G333" s="15"/>
      <c r="H333" s="8"/>
      <c r="I333" t="s">
        <v>17</v>
      </c>
      <c r="J333"/>
      <c r="K333"/>
      <c r="L333" s="2" t="s">
        <v>2</v>
      </c>
      <c r="M333" s="5">
        <v>200000</v>
      </c>
      <c r="N333" s="15"/>
      <c r="O333" s="8"/>
      <c r="P333" t="s">
        <v>17</v>
      </c>
      <c r="Q333"/>
      <c r="R333"/>
      <c r="S333" s="2" t="s">
        <v>2</v>
      </c>
      <c r="T333" s="5">
        <v>200000</v>
      </c>
      <c r="U333" s="15"/>
    </row>
    <row r="334" spans="1:21">
      <c r="A334" s="8"/>
      <c r="B334" t="s">
        <v>18</v>
      </c>
      <c r="C334"/>
      <c r="D334"/>
      <c r="E334" s="2" t="s">
        <v>2</v>
      </c>
      <c r="F334" s="5">
        <v>0</v>
      </c>
      <c r="G334" s="15"/>
      <c r="H334" s="8"/>
      <c r="I334" t="s">
        <v>18</v>
      </c>
      <c r="J334"/>
      <c r="K334"/>
      <c r="L334" s="2" t="s">
        <v>2</v>
      </c>
      <c r="M334" s="5">
        <v>0</v>
      </c>
      <c r="N334" s="15"/>
      <c r="O334" s="8"/>
      <c r="P334" t="s">
        <v>18</v>
      </c>
      <c r="Q334"/>
      <c r="R334"/>
      <c r="S334" s="2" t="s">
        <v>2</v>
      </c>
      <c r="T334" s="5">
        <v>0</v>
      </c>
      <c r="U334" s="15"/>
    </row>
    <row r="335" spans="1:21">
      <c r="A335" s="8"/>
      <c r="B335" t="s">
        <v>19</v>
      </c>
      <c r="C335"/>
      <c r="D335"/>
      <c r="E335" s="2" t="s">
        <v>2</v>
      </c>
      <c r="F335" s="5">
        <v>0</v>
      </c>
      <c r="G335" s="15"/>
      <c r="H335" s="8"/>
      <c r="I335" t="s">
        <v>19</v>
      </c>
      <c r="J335"/>
      <c r="K335"/>
      <c r="L335" s="2" t="s">
        <v>2</v>
      </c>
      <c r="M335" s="5">
        <v>8000</v>
      </c>
      <c r="N335" s="15"/>
      <c r="O335" s="8"/>
      <c r="P335" t="s">
        <v>19</v>
      </c>
      <c r="Q335"/>
      <c r="R335"/>
      <c r="S335" s="2" t="s">
        <v>2</v>
      </c>
      <c r="T335" s="5">
        <v>6000</v>
      </c>
      <c r="U335" s="15"/>
    </row>
    <row r="336" spans="1:21">
      <c r="A336" s="8"/>
      <c r="B336"/>
      <c r="C336"/>
      <c r="D336"/>
      <c r="E336"/>
      <c r="F336"/>
      <c r="G336" s="15"/>
      <c r="H336" s="8"/>
      <c r="I336"/>
      <c r="J336"/>
      <c r="K336"/>
      <c r="L336"/>
      <c r="M336"/>
      <c r="N336" s="15"/>
      <c r="O336" s="8"/>
      <c r="P336"/>
      <c r="Q336"/>
      <c r="R336"/>
      <c r="S336"/>
      <c r="T336"/>
      <c r="U336" s="15"/>
    </row>
    <row r="337" spans="1:21">
      <c r="A337" s="8"/>
      <c r="B337" s="2" t="s">
        <v>20</v>
      </c>
      <c r="C337"/>
      <c r="D337"/>
      <c r="E337"/>
      <c r="F337"/>
      <c r="G337" s="15"/>
      <c r="H337" s="8"/>
      <c r="I337" s="2" t="s">
        <v>20</v>
      </c>
      <c r="J337"/>
      <c r="K337"/>
      <c r="L337"/>
      <c r="M337"/>
      <c r="N337" s="15"/>
      <c r="O337" s="8"/>
      <c r="P337" s="2" t="s">
        <v>20</v>
      </c>
      <c r="Q337"/>
      <c r="R337"/>
      <c r="S337"/>
      <c r="T337"/>
      <c r="U337" s="15"/>
    </row>
    <row r="338" spans="1:21">
      <c r="A338" s="8"/>
      <c r="B338" t="s">
        <v>21</v>
      </c>
      <c r="C338"/>
      <c r="D338"/>
      <c r="E338" s="2" t="s">
        <v>2</v>
      </c>
      <c r="F338" s="5">
        <v>2287680</v>
      </c>
      <c r="G338" s="15"/>
      <c r="H338" s="8"/>
      <c r="I338" t="s">
        <v>21</v>
      </c>
      <c r="J338"/>
      <c r="K338"/>
      <c r="L338" s="2" t="s">
        <v>2</v>
      </c>
      <c r="M338" s="5">
        <v>2496733.25</v>
      </c>
      <c r="N338" s="15"/>
      <c r="O338" s="8"/>
      <c r="P338" t="s">
        <v>21</v>
      </c>
      <c r="Q338"/>
      <c r="R338"/>
      <c r="S338" s="2" t="s">
        <v>2</v>
      </c>
      <c r="T338" s="5">
        <v>2349866.75</v>
      </c>
      <c r="U338" s="15"/>
    </row>
    <row r="339" spans="1:21">
      <c r="A339" s="8"/>
      <c r="B339" t="s">
        <v>22</v>
      </c>
      <c r="C339"/>
      <c r="D339"/>
      <c r="E339" s="2" t="s">
        <v>2</v>
      </c>
      <c r="F339" s="5">
        <v>0</v>
      </c>
      <c r="G339" s="15"/>
      <c r="H339" s="8"/>
      <c r="I339" t="s">
        <v>22</v>
      </c>
      <c r="J339"/>
      <c r="K339"/>
      <c r="L339" s="2" t="s">
        <v>2</v>
      </c>
      <c r="M339" s="5">
        <v>132180</v>
      </c>
      <c r="N339" s="15"/>
      <c r="O339" s="8"/>
      <c r="P339" t="s">
        <v>22</v>
      </c>
      <c r="Q339"/>
      <c r="R339"/>
      <c r="S339" s="2" t="s">
        <v>2</v>
      </c>
      <c r="T339" s="5">
        <v>132180</v>
      </c>
      <c r="U339" s="15"/>
    </row>
    <row r="340" spans="1:21">
      <c r="A340" s="8"/>
      <c r="B340" s="3" t="s">
        <v>23</v>
      </c>
      <c r="C340" s="3"/>
      <c r="D340" s="3"/>
      <c r="E340" s="4" t="s">
        <v>2</v>
      </c>
      <c r="F340" s="6">
        <v>0</v>
      </c>
      <c r="G340" s="15"/>
      <c r="H340" s="8"/>
      <c r="I340" s="3" t="s">
        <v>23</v>
      </c>
      <c r="J340" s="3"/>
      <c r="K340" s="3"/>
      <c r="L340" s="4" t="s">
        <v>2</v>
      </c>
      <c r="M340" s="6">
        <v>44060</v>
      </c>
      <c r="N340" s="15"/>
      <c r="O340" s="8"/>
      <c r="P340" s="3" t="s">
        <v>23</v>
      </c>
      <c r="Q340" s="3"/>
      <c r="R340" s="3"/>
      <c r="S340" s="4" t="s">
        <v>2</v>
      </c>
      <c r="T340" s="6">
        <v>44060</v>
      </c>
      <c r="U340" s="15"/>
    </row>
    <row r="341" spans="1:21">
      <c r="A341" s="8"/>
      <c r="B341" t="s">
        <v>24</v>
      </c>
      <c r="C341"/>
      <c r="D341"/>
      <c r="E341" s="2" t="s">
        <v>2</v>
      </c>
      <c r="F341" s="5" t="str">
        <f>sum(f338:f340)</f>
        <v>0</v>
      </c>
      <c r="G341" s="15"/>
      <c r="H341" s="8"/>
      <c r="I341" t="s">
        <v>24</v>
      </c>
      <c r="J341"/>
      <c r="K341"/>
      <c r="L341" s="2" t="s">
        <v>2</v>
      </c>
      <c r="M341" s="5" t="str">
        <f>sum(m338:m340)</f>
        <v>0</v>
      </c>
      <c r="N341" s="15"/>
      <c r="O341" s="8"/>
      <c r="P341" t="s">
        <v>24</v>
      </c>
      <c r="Q341"/>
      <c r="R341"/>
      <c r="S341" s="2" t="s">
        <v>2</v>
      </c>
      <c r="T341" s="5" t="str">
        <f>sum(t338:t340)</f>
        <v>0</v>
      </c>
      <c r="U341" s="15"/>
    </row>
    <row r="342" spans="1:21">
      <c r="A342" s="9"/>
      <c r="B342" s="11" t="s">
        <v>25</v>
      </c>
      <c r="C342" s="11"/>
      <c r="D342" s="11"/>
      <c r="E342" s="12" t="s">
        <v>2</v>
      </c>
      <c r="F342" s="13" t="str">
        <f>sum(f332:f335)-f341</f>
        <v>0</v>
      </c>
      <c r="G342" s="16"/>
      <c r="H342" s="9"/>
      <c r="I342" s="11" t="s">
        <v>25</v>
      </c>
      <c r="J342" s="11"/>
      <c r="K342" s="11"/>
      <c r="L342" s="12" t="s">
        <v>2</v>
      </c>
      <c r="M342" s="13" t="str">
        <f>sum(m332:m335)-m341</f>
        <v>0</v>
      </c>
      <c r="N342" s="16"/>
      <c r="O342" s="9"/>
      <c r="P342" s="11" t="s">
        <v>25</v>
      </c>
      <c r="Q342" s="11"/>
      <c r="R342" s="11"/>
      <c r="S342" s="12" t="s">
        <v>2</v>
      </c>
      <c r="T342" s="13" t="str">
        <f>sum(t332:t335)-t341</f>
        <v>0</v>
      </c>
      <c r="U342" s="16"/>
    </row>
    <row r="343" spans="1:21">
      <c r="A343" s="7"/>
      <c r="B343" s="10"/>
      <c r="C343" s="10"/>
      <c r="D343" s="10"/>
      <c r="E343" s="10"/>
      <c r="F343" s="10"/>
      <c r="G343" s="14"/>
      <c r="H343" s="7"/>
      <c r="I343" s="10"/>
      <c r="J343" s="10"/>
      <c r="K343" s="10"/>
      <c r="L343" s="10"/>
      <c r="M343" s="10"/>
      <c r="N343" s="14"/>
      <c r="O343" s="7"/>
      <c r="P343" s="10"/>
      <c r="Q343" s="10"/>
      <c r="R343" s="10"/>
      <c r="S343" s="10"/>
      <c r="T343" s="10"/>
      <c r="U343" s="14"/>
    </row>
    <row r="344" spans="1:21">
      <c r="A344" s="8"/>
      <c r="B344" s="1" t="s">
        <v>0</v>
      </c>
      <c r="C344"/>
      <c r="D344"/>
      <c r="E344"/>
      <c r="F344"/>
      <c r="G344" s="15"/>
      <c r="H344" s="8"/>
      <c r="I344" s="1" t="s">
        <v>0</v>
      </c>
      <c r="J344"/>
      <c r="K344"/>
      <c r="L344"/>
      <c r="M344"/>
      <c r="N344" s="15"/>
      <c r="O344" s="8"/>
      <c r="P344" s="1" t="s">
        <v>0</v>
      </c>
      <c r="Q344"/>
      <c r="R344"/>
      <c r="S344"/>
      <c r="T344"/>
      <c r="U344" s="15"/>
    </row>
    <row r="345" spans="1:21">
      <c r="A345" s="8"/>
      <c r="B345" t="s">
        <v>1</v>
      </c>
      <c r="C345" s="2" t="s">
        <v>2</v>
      </c>
      <c r="D345" t="s">
        <v>134</v>
      </c>
      <c r="E345"/>
      <c r="F345"/>
      <c r="G345" s="15"/>
      <c r="H345" s="8"/>
      <c r="I345" t="s">
        <v>1</v>
      </c>
      <c r="J345" s="2" t="s">
        <v>2</v>
      </c>
      <c r="K345" t="s">
        <v>135</v>
      </c>
      <c r="L345"/>
      <c r="M345"/>
      <c r="N345" s="15"/>
      <c r="O345" s="8"/>
      <c r="P345" t="s">
        <v>1</v>
      </c>
      <c r="Q345" s="2" t="s">
        <v>2</v>
      </c>
      <c r="R345" t="s">
        <v>136</v>
      </c>
      <c r="S345"/>
      <c r="T345"/>
      <c r="U345" s="15"/>
    </row>
    <row r="346" spans="1:21">
      <c r="A346" s="8"/>
      <c r="B346" t="s">
        <v>6</v>
      </c>
      <c r="C346" s="2" t="s">
        <v>2</v>
      </c>
      <c r="D346">
        <v>1985</v>
      </c>
      <c r="E346"/>
      <c r="F346"/>
      <c r="G346" s="15"/>
      <c r="H346" s="8"/>
      <c r="I346" t="s">
        <v>6</v>
      </c>
      <c r="J346" s="2" t="s">
        <v>2</v>
      </c>
      <c r="K346" t="s">
        <v>137</v>
      </c>
      <c r="L346"/>
      <c r="M346"/>
      <c r="N346" s="15"/>
      <c r="O346" s="8"/>
      <c r="P346" t="s">
        <v>6</v>
      </c>
      <c r="Q346" s="2" t="s">
        <v>2</v>
      </c>
      <c r="R346">
        <v>2531</v>
      </c>
      <c r="S346"/>
      <c r="T346"/>
      <c r="U346" s="15"/>
    </row>
    <row r="347" spans="1:21">
      <c r="A347" s="8"/>
      <c r="B347" t="s">
        <v>10</v>
      </c>
      <c r="C347" s="2" t="s">
        <v>2</v>
      </c>
      <c r="D347" t="s">
        <v>133</v>
      </c>
      <c r="E347"/>
      <c r="F347"/>
      <c r="G347" s="15"/>
      <c r="H347" s="8"/>
      <c r="I347" t="s">
        <v>10</v>
      </c>
      <c r="J347" s="2" t="s">
        <v>2</v>
      </c>
      <c r="K347" t="s">
        <v>133</v>
      </c>
      <c r="L347"/>
      <c r="M347"/>
      <c r="N347" s="15"/>
      <c r="O347" s="8"/>
      <c r="P347" t="s">
        <v>10</v>
      </c>
      <c r="Q347" s="2" t="s">
        <v>2</v>
      </c>
      <c r="R347" t="s">
        <v>133</v>
      </c>
      <c r="S347"/>
      <c r="T347"/>
      <c r="U347" s="15"/>
    </row>
    <row r="348" spans="1:21">
      <c r="A348" s="8"/>
      <c r="B348" t="s">
        <v>12</v>
      </c>
      <c r="C348" s="2" t="s">
        <v>2</v>
      </c>
      <c r="D348" t="s">
        <v>13</v>
      </c>
      <c r="E348"/>
      <c r="F348"/>
      <c r="G348" s="15"/>
      <c r="H348" s="8"/>
      <c r="I348" t="s">
        <v>12</v>
      </c>
      <c r="J348" s="2" t="s">
        <v>2</v>
      </c>
      <c r="K348" t="s">
        <v>13</v>
      </c>
      <c r="L348"/>
      <c r="M348"/>
      <c r="N348" s="15"/>
      <c r="O348" s="8"/>
      <c r="P348" t="s">
        <v>12</v>
      </c>
      <c r="Q348" s="2" t="s">
        <v>2</v>
      </c>
      <c r="R348" t="s">
        <v>13</v>
      </c>
      <c r="S348"/>
      <c r="T348"/>
      <c r="U348" s="15"/>
    </row>
    <row r="349" spans="1:21">
      <c r="A349" s="8"/>
      <c r="B349" s="3" t="s">
        <v>14</v>
      </c>
      <c r="C349" s="4" t="s">
        <v>2</v>
      </c>
      <c r="D349" s="3" t="s">
        <v>15</v>
      </c>
      <c r="E349" s="3"/>
      <c r="F349" s="3"/>
      <c r="G349" s="15"/>
      <c r="H349" s="8"/>
      <c r="I349" s="3" t="s">
        <v>14</v>
      </c>
      <c r="J349" s="4" t="s">
        <v>2</v>
      </c>
      <c r="K349" s="3" t="s">
        <v>15</v>
      </c>
      <c r="L349" s="3"/>
      <c r="M349" s="3"/>
      <c r="N349" s="15"/>
      <c r="O349" s="8"/>
      <c r="P349" s="3" t="s">
        <v>14</v>
      </c>
      <c r="Q349" s="4" t="s">
        <v>2</v>
      </c>
      <c r="R349" s="3" t="s">
        <v>15</v>
      </c>
      <c r="S349" s="3"/>
      <c r="T349" s="3"/>
      <c r="U349" s="15"/>
    </row>
    <row r="350" spans="1:21">
      <c r="A350" s="8"/>
      <c r="B350" t="s">
        <v>16</v>
      </c>
      <c r="C350"/>
      <c r="D350"/>
      <c r="E350" s="2" t="s">
        <v>2</v>
      </c>
      <c r="F350" s="5">
        <v>4843000</v>
      </c>
      <c r="G350" s="15"/>
      <c r="H350" s="8"/>
      <c r="I350" t="s">
        <v>16</v>
      </c>
      <c r="J350"/>
      <c r="K350"/>
      <c r="L350" s="2" t="s">
        <v>2</v>
      </c>
      <c r="M350" s="5">
        <v>0</v>
      </c>
      <c r="N350" s="15"/>
      <c r="O350" s="8"/>
      <c r="P350" t="s">
        <v>16</v>
      </c>
      <c r="Q350"/>
      <c r="R350"/>
      <c r="S350" s="2" t="s">
        <v>2</v>
      </c>
      <c r="T350" s="5">
        <v>4023000</v>
      </c>
      <c r="U350" s="15"/>
    </row>
    <row r="351" spans="1:21">
      <c r="A351" s="8"/>
      <c r="B351" t="s">
        <v>17</v>
      </c>
      <c r="C351"/>
      <c r="D351"/>
      <c r="E351" s="2" t="s">
        <v>2</v>
      </c>
      <c r="F351" s="5">
        <v>400000</v>
      </c>
      <c r="G351" s="15"/>
      <c r="H351" s="8"/>
      <c r="I351" t="s">
        <v>17</v>
      </c>
      <c r="J351"/>
      <c r="K351"/>
      <c r="L351" s="2" t="s">
        <v>2</v>
      </c>
      <c r="M351" s="5">
        <v>0</v>
      </c>
      <c r="N351" s="15"/>
      <c r="O351" s="8"/>
      <c r="P351" t="s">
        <v>17</v>
      </c>
      <c r="Q351"/>
      <c r="R351"/>
      <c r="S351" s="2" t="s">
        <v>2</v>
      </c>
      <c r="T351" s="5">
        <v>250000</v>
      </c>
      <c r="U351" s="15"/>
    </row>
    <row r="352" spans="1:21">
      <c r="A352" s="8"/>
      <c r="B352" t="s">
        <v>18</v>
      </c>
      <c r="C352"/>
      <c r="D352"/>
      <c r="E352" s="2" t="s">
        <v>2</v>
      </c>
      <c r="F352" s="5">
        <v>0</v>
      </c>
      <c r="G352" s="15"/>
      <c r="H352" s="8"/>
      <c r="I352" t="s">
        <v>18</v>
      </c>
      <c r="J352"/>
      <c r="K352"/>
      <c r="L352" s="2" t="s">
        <v>2</v>
      </c>
      <c r="M352" s="5">
        <v>0</v>
      </c>
      <c r="N352" s="15"/>
      <c r="O352" s="8"/>
      <c r="P352" t="s">
        <v>18</v>
      </c>
      <c r="Q352"/>
      <c r="R352"/>
      <c r="S352" s="2" t="s">
        <v>2</v>
      </c>
      <c r="T352" s="5">
        <v>0</v>
      </c>
      <c r="U352" s="15"/>
    </row>
    <row r="353" spans="1:21">
      <c r="A353" s="8"/>
      <c r="B353" t="s">
        <v>19</v>
      </c>
      <c r="C353"/>
      <c r="D353"/>
      <c r="E353" s="2" t="s">
        <v>2</v>
      </c>
      <c r="F353" s="5">
        <v>0</v>
      </c>
      <c r="G353" s="15"/>
      <c r="H353" s="8"/>
      <c r="I353" t="s">
        <v>19</v>
      </c>
      <c r="J353"/>
      <c r="K353"/>
      <c r="L353" s="2" t="s">
        <v>2</v>
      </c>
      <c r="M353" s="5">
        <v>0</v>
      </c>
      <c r="N353" s="15"/>
      <c r="O353" s="8"/>
      <c r="P353" t="s">
        <v>19</v>
      </c>
      <c r="Q353"/>
      <c r="R353"/>
      <c r="S353" s="2" t="s">
        <v>2</v>
      </c>
      <c r="T353" s="5">
        <v>0</v>
      </c>
      <c r="U353" s="15"/>
    </row>
    <row r="354" spans="1:21">
      <c r="A354" s="8"/>
      <c r="B354"/>
      <c r="C354"/>
      <c r="D354"/>
      <c r="E354"/>
      <c r="F354"/>
      <c r="G354" s="15"/>
      <c r="H354" s="8"/>
      <c r="I354"/>
      <c r="J354"/>
      <c r="K354"/>
      <c r="L354"/>
      <c r="M354"/>
      <c r="N354" s="15"/>
      <c r="O354" s="8"/>
      <c r="P354"/>
      <c r="Q354"/>
      <c r="R354"/>
      <c r="S354"/>
      <c r="T354"/>
      <c r="U354" s="15"/>
    </row>
    <row r="355" spans="1:21">
      <c r="A355" s="8"/>
      <c r="B355" s="2" t="s">
        <v>20</v>
      </c>
      <c r="C355"/>
      <c r="D355"/>
      <c r="E355"/>
      <c r="F355"/>
      <c r="G355" s="15"/>
      <c r="H355" s="8"/>
      <c r="I355" s="2" t="s">
        <v>20</v>
      </c>
      <c r="J355"/>
      <c r="K355"/>
      <c r="L355"/>
      <c r="M355"/>
      <c r="N355" s="15"/>
      <c r="O355" s="8"/>
      <c r="P355" s="2" t="s">
        <v>20</v>
      </c>
      <c r="Q355"/>
      <c r="R355"/>
      <c r="S355"/>
      <c r="T355"/>
      <c r="U355" s="15"/>
    </row>
    <row r="356" spans="1:21">
      <c r="A356" s="8"/>
      <c r="B356" t="s">
        <v>21</v>
      </c>
      <c r="C356"/>
      <c r="D356"/>
      <c r="E356" s="2" t="s">
        <v>2</v>
      </c>
      <c r="F356" s="5">
        <v>2905800</v>
      </c>
      <c r="G356" s="15"/>
      <c r="H356" s="8"/>
      <c r="I356" t="s">
        <v>21</v>
      </c>
      <c r="J356"/>
      <c r="K356"/>
      <c r="L356" s="2" t="s">
        <v>2</v>
      </c>
      <c r="M356" s="5">
        <v>0</v>
      </c>
      <c r="N356" s="15"/>
      <c r="O356" s="8"/>
      <c r="P356" t="s">
        <v>21</v>
      </c>
      <c r="Q356"/>
      <c r="R356"/>
      <c r="S356" s="2" t="s">
        <v>2</v>
      </c>
      <c r="T356" s="5">
        <v>2413800</v>
      </c>
      <c r="U356" s="15"/>
    </row>
    <row r="357" spans="1:21">
      <c r="A357" s="8"/>
      <c r="B357" t="s">
        <v>22</v>
      </c>
      <c r="C357"/>
      <c r="D357"/>
      <c r="E357" s="2" t="s">
        <v>2</v>
      </c>
      <c r="F357" s="5">
        <v>145290</v>
      </c>
      <c r="G357" s="15"/>
      <c r="H357" s="8"/>
      <c r="I357" t="s">
        <v>22</v>
      </c>
      <c r="J357"/>
      <c r="K357"/>
      <c r="L357" s="2" t="s">
        <v>2</v>
      </c>
      <c r="M357" s="5">
        <v>0</v>
      </c>
      <c r="N357" s="15"/>
      <c r="O357" s="8"/>
      <c r="P357" t="s">
        <v>22</v>
      </c>
      <c r="Q357"/>
      <c r="R357"/>
      <c r="S357" s="2" t="s">
        <v>2</v>
      </c>
      <c r="T357" s="5">
        <v>120690</v>
      </c>
      <c r="U357" s="15"/>
    </row>
    <row r="358" spans="1:21">
      <c r="A358" s="8"/>
      <c r="B358" s="3" t="s">
        <v>23</v>
      </c>
      <c r="C358" s="3"/>
      <c r="D358" s="3"/>
      <c r="E358" s="4" t="s">
        <v>2</v>
      </c>
      <c r="F358" s="6">
        <v>48430</v>
      </c>
      <c r="G358" s="15"/>
      <c r="H358" s="8"/>
      <c r="I358" s="3" t="s">
        <v>23</v>
      </c>
      <c r="J358" s="3"/>
      <c r="K358" s="3"/>
      <c r="L358" s="4" t="s">
        <v>2</v>
      </c>
      <c r="M358" s="6">
        <v>0</v>
      </c>
      <c r="N358" s="15"/>
      <c r="O358" s="8"/>
      <c r="P358" s="3" t="s">
        <v>23</v>
      </c>
      <c r="Q358" s="3"/>
      <c r="R358" s="3"/>
      <c r="S358" s="4" t="s">
        <v>2</v>
      </c>
      <c r="T358" s="6">
        <v>40230</v>
      </c>
      <c r="U358" s="15"/>
    </row>
    <row r="359" spans="1:21">
      <c r="A359" s="8"/>
      <c r="B359" t="s">
        <v>24</v>
      </c>
      <c r="C359"/>
      <c r="D359"/>
      <c r="E359" s="2" t="s">
        <v>2</v>
      </c>
      <c r="F359" s="5" t="str">
        <f>sum(f356:f358)</f>
        <v>0</v>
      </c>
      <c r="G359" s="15"/>
      <c r="H359" s="8"/>
      <c r="I359" t="s">
        <v>24</v>
      </c>
      <c r="J359"/>
      <c r="K359"/>
      <c r="L359" s="2" t="s">
        <v>2</v>
      </c>
      <c r="M359" s="5" t="str">
        <f>sum(m356:m358)</f>
        <v>0</v>
      </c>
      <c r="N359" s="15"/>
      <c r="O359" s="8"/>
      <c r="P359" t="s">
        <v>24</v>
      </c>
      <c r="Q359"/>
      <c r="R359"/>
      <c r="S359" s="2" t="s">
        <v>2</v>
      </c>
      <c r="T359" s="5" t="str">
        <f>sum(t356:t358)</f>
        <v>0</v>
      </c>
      <c r="U359" s="15"/>
    </row>
    <row r="360" spans="1:21">
      <c r="A360" s="9"/>
      <c r="B360" s="11" t="s">
        <v>25</v>
      </c>
      <c r="C360" s="11"/>
      <c r="D360" s="11"/>
      <c r="E360" s="12" t="s">
        <v>2</v>
      </c>
      <c r="F360" s="13" t="str">
        <f>sum(f350:f353)-f359</f>
        <v>0</v>
      </c>
      <c r="G360" s="16"/>
      <c r="H360" s="9"/>
      <c r="I360" s="11" t="s">
        <v>25</v>
      </c>
      <c r="J360" s="11"/>
      <c r="K360" s="11"/>
      <c r="L360" s="12" t="s">
        <v>2</v>
      </c>
      <c r="M360" s="13" t="str">
        <f>sum(m350:m353)-m359</f>
        <v>0</v>
      </c>
      <c r="N360" s="16"/>
      <c r="O360" s="9"/>
      <c r="P360" s="11" t="s">
        <v>25</v>
      </c>
      <c r="Q360" s="11"/>
      <c r="R360" s="11"/>
      <c r="S360" s="12" t="s">
        <v>2</v>
      </c>
      <c r="T360" s="13" t="str">
        <f>sum(t350:t353)-t359</f>
        <v>0</v>
      </c>
      <c r="U360" s="16"/>
    </row>
    <row r="361" spans="1:21">
      <c r="A361" s="7"/>
      <c r="B361" s="10"/>
      <c r="C361" s="10"/>
      <c r="D361" s="10"/>
      <c r="E361" s="10"/>
      <c r="F361" s="10"/>
      <c r="G361" s="14"/>
      <c r="H361" s="7"/>
      <c r="I361" s="10"/>
      <c r="J361" s="10"/>
      <c r="K361" s="10"/>
      <c r="L361" s="10"/>
      <c r="M361" s="10"/>
      <c r="N361" s="14"/>
      <c r="O361" s="7"/>
      <c r="P361" s="10"/>
      <c r="Q361" s="10"/>
      <c r="R361" s="10"/>
      <c r="S361" s="10"/>
      <c r="T361" s="10"/>
      <c r="U361" s="14"/>
    </row>
    <row r="362" spans="1:21">
      <c r="A362" s="8"/>
      <c r="B362" s="1" t="s">
        <v>0</v>
      </c>
      <c r="C362"/>
      <c r="D362"/>
      <c r="E362"/>
      <c r="F362"/>
      <c r="G362" s="15"/>
      <c r="H362" s="8"/>
      <c r="I362" s="1" t="s">
        <v>0</v>
      </c>
      <c r="J362"/>
      <c r="K362"/>
      <c r="L362"/>
      <c r="M362"/>
      <c r="N362" s="15"/>
      <c r="O362" s="8"/>
      <c r="P362" s="1" t="s">
        <v>0</v>
      </c>
      <c r="Q362"/>
      <c r="R362"/>
      <c r="S362"/>
      <c r="T362"/>
      <c r="U362" s="15"/>
    </row>
    <row r="363" spans="1:21">
      <c r="A363" s="8"/>
      <c r="B363" t="s">
        <v>1</v>
      </c>
      <c r="C363" s="2" t="s">
        <v>2</v>
      </c>
      <c r="D363" t="s">
        <v>138</v>
      </c>
      <c r="E363"/>
      <c r="F363"/>
      <c r="G363" s="15"/>
      <c r="H363" s="8"/>
      <c r="I363" t="s">
        <v>1</v>
      </c>
      <c r="J363" s="2" t="s">
        <v>2</v>
      </c>
      <c r="K363" t="s">
        <v>139</v>
      </c>
      <c r="L363"/>
      <c r="M363"/>
      <c r="N363" s="15"/>
      <c r="O363" s="8"/>
      <c r="P363" t="s">
        <v>1</v>
      </c>
      <c r="Q363" s="2" t="s">
        <v>2</v>
      </c>
      <c r="R363" t="s">
        <v>140</v>
      </c>
      <c r="S363"/>
      <c r="T363"/>
      <c r="U363" s="15"/>
    </row>
    <row r="364" spans="1:21">
      <c r="A364" s="8"/>
      <c r="B364" t="s">
        <v>6</v>
      </c>
      <c r="C364" s="2" t="s">
        <v>2</v>
      </c>
      <c r="D364">
        <v>2612</v>
      </c>
      <c r="E364"/>
      <c r="F364"/>
      <c r="G364" s="15"/>
      <c r="H364" s="8"/>
      <c r="I364" t="s">
        <v>6</v>
      </c>
      <c r="J364" s="2" t="s">
        <v>2</v>
      </c>
      <c r="K364">
        <v>2706</v>
      </c>
      <c r="L364"/>
      <c r="M364"/>
      <c r="N364" s="15"/>
      <c r="O364" s="8"/>
      <c r="P364" t="s">
        <v>6</v>
      </c>
      <c r="Q364" s="2" t="s">
        <v>2</v>
      </c>
      <c r="R364">
        <v>2906</v>
      </c>
      <c r="S364"/>
      <c r="T364"/>
      <c r="U364" s="15"/>
    </row>
    <row r="365" spans="1:21">
      <c r="A365" s="8"/>
      <c r="B365" t="s">
        <v>10</v>
      </c>
      <c r="C365" s="2" t="s">
        <v>2</v>
      </c>
      <c r="D365" t="s">
        <v>133</v>
      </c>
      <c r="E365"/>
      <c r="F365"/>
      <c r="G365" s="15"/>
      <c r="H365" s="8"/>
      <c r="I365" t="s">
        <v>10</v>
      </c>
      <c r="J365" s="2" t="s">
        <v>2</v>
      </c>
      <c r="K365" t="s">
        <v>133</v>
      </c>
      <c r="L365"/>
      <c r="M365"/>
      <c r="N365" s="15"/>
      <c r="O365" s="8"/>
      <c r="P365" t="s">
        <v>10</v>
      </c>
      <c r="Q365" s="2" t="s">
        <v>2</v>
      </c>
      <c r="R365" t="s">
        <v>133</v>
      </c>
      <c r="S365"/>
      <c r="T365"/>
      <c r="U365" s="15"/>
    </row>
    <row r="366" spans="1:21">
      <c r="A366" s="8"/>
      <c r="B366" t="s">
        <v>12</v>
      </c>
      <c r="C366" s="2" t="s">
        <v>2</v>
      </c>
      <c r="D366" t="s">
        <v>13</v>
      </c>
      <c r="E366"/>
      <c r="F366"/>
      <c r="G366" s="15"/>
      <c r="H366" s="8"/>
      <c r="I366" t="s">
        <v>12</v>
      </c>
      <c r="J366" s="2" t="s">
        <v>2</v>
      </c>
      <c r="K366" t="s">
        <v>13</v>
      </c>
      <c r="L366"/>
      <c r="M366"/>
      <c r="N366" s="15"/>
      <c r="O366" s="8"/>
      <c r="P366" t="s">
        <v>12</v>
      </c>
      <c r="Q366" s="2" t="s">
        <v>2</v>
      </c>
      <c r="R366" t="s">
        <v>13</v>
      </c>
      <c r="S366"/>
      <c r="T366"/>
      <c r="U366" s="15"/>
    </row>
    <row r="367" spans="1:21">
      <c r="A367" s="8"/>
      <c r="B367" s="3" t="s">
        <v>14</v>
      </c>
      <c r="C367" s="4" t="s">
        <v>2</v>
      </c>
      <c r="D367" s="3" t="s">
        <v>15</v>
      </c>
      <c r="E367" s="3"/>
      <c r="F367" s="3"/>
      <c r="G367" s="15"/>
      <c r="H367" s="8"/>
      <c r="I367" s="3" t="s">
        <v>14</v>
      </c>
      <c r="J367" s="4" t="s">
        <v>2</v>
      </c>
      <c r="K367" s="3" t="s">
        <v>15</v>
      </c>
      <c r="L367" s="3"/>
      <c r="M367" s="3"/>
      <c r="N367" s="15"/>
      <c r="O367" s="8"/>
      <c r="P367" s="3" t="s">
        <v>14</v>
      </c>
      <c r="Q367" s="4" t="s">
        <v>2</v>
      </c>
      <c r="R367" s="3" t="s">
        <v>15</v>
      </c>
      <c r="S367" s="3"/>
      <c r="T367" s="3"/>
      <c r="U367" s="15"/>
    </row>
    <row r="368" spans="1:21">
      <c r="A368" s="8"/>
      <c r="B368" t="s">
        <v>16</v>
      </c>
      <c r="C368"/>
      <c r="D368"/>
      <c r="E368" s="2" t="s">
        <v>2</v>
      </c>
      <c r="F368" s="5">
        <v>4273000</v>
      </c>
      <c r="G368" s="15"/>
      <c r="H368" s="8"/>
      <c r="I368" t="s">
        <v>16</v>
      </c>
      <c r="J368"/>
      <c r="K368"/>
      <c r="L368" s="2" t="s">
        <v>2</v>
      </c>
      <c r="M368" s="5">
        <v>3975000</v>
      </c>
      <c r="N368" s="15"/>
      <c r="O368" s="8"/>
      <c r="P368" t="s">
        <v>16</v>
      </c>
      <c r="Q368"/>
      <c r="R368"/>
      <c r="S368" s="2" t="s">
        <v>2</v>
      </c>
      <c r="T368" s="5">
        <v>3724000</v>
      </c>
      <c r="U368" s="15"/>
    </row>
    <row r="369" spans="1:21">
      <c r="A369" s="8"/>
      <c r="B369" t="s">
        <v>17</v>
      </c>
      <c r="C369"/>
      <c r="D369"/>
      <c r="E369" s="2" t="s">
        <v>2</v>
      </c>
      <c r="F369" s="5">
        <v>300000</v>
      </c>
      <c r="G369" s="15"/>
      <c r="H369" s="8"/>
      <c r="I369" t="s">
        <v>17</v>
      </c>
      <c r="J369"/>
      <c r="K369"/>
      <c r="L369" s="2" t="s">
        <v>2</v>
      </c>
      <c r="M369" s="5">
        <v>250000</v>
      </c>
      <c r="N369" s="15"/>
      <c r="O369" s="8"/>
      <c r="P369" t="s">
        <v>17</v>
      </c>
      <c r="Q369"/>
      <c r="R369"/>
      <c r="S369" s="2" t="s">
        <v>2</v>
      </c>
      <c r="T369" s="5">
        <v>250000</v>
      </c>
      <c r="U369" s="15"/>
    </row>
    <row r="370" spans="1:21">
      <c r="A370" s="8"/>
      <c r="B370" t="s">
        <v>18</v>
      </c>
      <c r="C370"/>
      <c r="D370"/>
      <c r="E370" s="2" t="s">
        <v>2</v>
      </c>
      <c r="F370" s="5">
        <v>0</v>
      </c>
      <c r="G370" s="15"/>
      <c r="H370" s="8"/>
      <c r="I370" t="s">
        <v>18</v>
      </c>
      <c r="J370"/>
      <c r="K370"/>
      <c r="L370" s="2" t="s">
        <v>2</v>
      </c>
      <c r="M370" s="5">
        <v>0</v>
      </c>
      <c r="N370" s="15"/>
      <c r="O370" s="8"/>
      <c r="P370" t="s">
        <v>18</v>
      </c>
      <c r="Q370"/>
      <c r="R370"/>
      <c r="S370" s="2" t="s">
        <v>2</v>
      </c>
      <c r="T370" s="5">
        <v>0</v>
      </c>
      <c r="U370" s="15"/>
    </row>
    <row r="371" spans="1:21">
      <c r="A371" s="8"/>
      <c r="B371" t="s">
        <v>19</v>
      </c>
      <c r="C371"/>
      <c r="D371"/>
      <c r="E371" s="2" t="s">
        <v>2</v>
      </c>
      <c r="F371" s="5">
        <v>0</v>
      </c>
      <c r="G371" s="15"/>
      <c r="H371" s="8"/>
      <c r="I371" t="s">
        <v>19</v>
      </c>
      <c r="J371"/>
      <c r="K371"/>
      <c r="L371" s="2" t="s">
        <v>2</v>
      </c>
      <c r="M371" s="5">
        <v>0</v>
      </c>
      <c r="N371" s="15"/>
      <c r="O371" s="8"/>
      <c r="P371" t="s">
        <v>19</v>
      </c>
      <c r="Q371"/>
      <c r="R371"/>
      <c r="S371" s="2" t="s">
        <v>2</v>
      </c>
      <c r="T371" s="5">
        <v>0</v>
      </c>
      <c r="U371" s="15"/>
    </row>
    <row r="372" spans="1:21">
      <c r="A372" s="8"/>
      <c r="B372"/>
      <c r="C372"/>
      <c r="D372"/>
      <c r="E372"/>
      <c r="F372"/>
      <c r="G372" s="15"/>
      <c r="H372" s="8"/>
      <c r="I372"/>
      <c r="J372"/>
      <c r="K372"/>
      <c r="L372"/>
      <c r="M372"/>
      <c r="N372" s="15"/>
      <c r="O372" s="8"/>
      <c r="P372"/>
      <c r="Q372"/>
      <c r="R372"/>
      <c r="S372"/>
      <c r="T372"/>
      <c r="U372" s="15"/>
    </row>
    <row r="373" spans="1:21">
      <c r="A373" s="8"/>
      <c r="B373" s="2" t="s">
        <v>20</v>
      </c>
      <c r="C373"/>
      <c r="D373"/>
      <c r="E373"/>
      <c r="F373"/>
      <c r="G373" s="15"/>
      <c r="H373" s="8"/>
      <c r="I373" s="2" t="s">
        <v>20</v>
      </c>
      <c r="J373"/>
      <c r="K373"/>
      <c r="L373"/>
      <c r="M373"/>
      <c r="N373" s="15"/>
      <c r="O373" s="8"/>
      <c r="P373" s="2" t="s">
        <v>20</v>
      </c>
      <c r="Q373"/>
      <c r="R373"/>
      <c r="S373"/>
      <c r="T373"/>
      <c r="U373" s="15"/>
    </row>
    <row r="374" spans="1:21">
      <c r="A374" s="8"/>
      <c r="B374" t="s">
        <v>21</v>
      </c>
      <c r="C374"/>
      <c r="D374"/>
      <c r="E374" s="2" t="s">
        <v>2</v>
      </c>
      <c r="F374" s="5">
        <v>2734720</v>
      </c>
      <c r="G374" s="15"/>
      <c r="H374" s="8"/>
      <c r="I374" t="s">
        <v>21</v>
      </c>
      <c r="J374"/>
      <c r="K374"/>
      <c r="L374" s="2" t="s">
        <v>2</v>
      </c>
      <c r="M374" s="5">
        <v>2544000</v>
      </c>
      <c r="N374" s="15"/>
      <c r="O374" s="8"/>
      <c r="P374" t="s">
        <v>21</v>
      </c>
      <c r="Q374"/>
      <c r="R374"/>
      <c r="S374" s="2" t="s">
        <v>2</v>
      </c>
      <c r="T374" s="5">
        <v>2234400</v>
      </c>
      <c r="U374" s="15"/>
    </row>
    <row r="375" spans="1:21">
      <c r="A375" s="8"/>
      <c r="B375" t="s">
        <v>22</v>
      </c>
      <c r="C375"/>
      <c r="D375"/>
      <c r="E375" s="2" t="s">
        <v>2</v>
      </c>
      <c r="F375" s="5">
        <v>128190</v>
      </c>
      <c r="G375" s="15"/>
      <c r="H375" s="8"/>
      <c r="I375" t="s">
        <v>22</v>
      </c>
      <c r="J375"/>
      <c r="K375"/>
      <c r="L375" s="2" t="s">
        <v>2</v>
      </c>
      <c r="M375" s="5">
        <v>119250</v>
      </c>
      <c r="N375" s="15"/>
      <c r="O375" s="8"/>
      <c r="P375" t="s">
        <v>22</v>
      </c>
      <c r="Q375"/>
      <c r="R375"/>
      <c r="S375" s="2" t="s">
        <v>2</v>
      </c>
      <c r="T375" s="5">
        <v>111720</v>
      </c>
      <c r="U375" s="15"/>
    </row>
    <row r="376" spans="1:21">
      <c r="A376" s="8"/>
      <c r="B376" s="3" t="s">
        <v>23</v>
      </c>
      <c r="C376" s="3"/>
      <c r="D376" s="3"/>
      <c r="E376" s="4" t="s">
        <v>2</v>
      </c>
      <c r="F376" s="6">
        <v>42730</v>
      </c>
      <c r="G376" s="15"/>
      <c r="H376" s="8"/>
      <c r="I376" s="3" t="s">
        <v>23</v>
      </c>
      <c r="J376" s="3"/>
      <c r="K376" s="3"/>
      <c r="L376" s="4" t="s">
        <v>2</v>
      </c>
      <c r="M376" s="6">
        <v>39750</v>
      </c>
      <c r="N376" s="15"/>
      <c r="O376" s="8"/>
      <c r="P376" s="3" t="s">
        <v>23</v>
      </c>
      <c r="Q376" s="3"/>
      <c r="R376" s="3"/>
      <c r="S376" s="4" t="s">
        <v>2</v>
      </c>
      <c r="T376" s="6">
        <v>37240</v>
      </c>
      <c r="U376" s="15"/>
    </row>
    <row r="377" spans="1:21">
      <c r="A377" s="8"/>
      <c r="B377" t="s">
        <v>24</v>
      </c>
      <c r="C377"/>
      <c r="D377"/>
      <c r="E377" s="2" t="s">
        <v>2</v>
      </c>
      <c r="F377" s="5" t="str">
        <f>sum(f374:f376)</f>
        <v>0</v>
      </c>
      <c r="G377" s="15"/>
      <c r="H377" s="8"/>
      <c r="I377" t="s">
        <v>24</v>
      </c>
      <c r="J377"/>
      <c r="K377"/>
      <c r="L377" s="2" t="s">
        <v>2</v>
      </c>
      <c r="M377" s="5" t="str">
        <f>sum(m374:m376)</f>
        <v>0</v>
      </c>
      <c r="N377" s="15"/>
      <c r="O377" s="8"/>
      <c r="P377" t="s">
        <v>24</v>
      </c>
      <c r="Q377"/>
      <c r="R377"/>
      <c r="S377" s="2" t="s">
        <v>2</v>
      </c>
      <c r="T377" s="5" t="str">
        <f>sum(t374:t376)</f>
        <v>0</v>
      </c>
      <c r="U377" s="15"/>
    </row>
    <row r="378" spans="1:21">
      <c r="A378" s="9"/>
      <c r="B378" s="11" t="s">
        <v>25</v>
      </c>
      <c r="C378" s="11"/>
      <c r="D378" s="11"/>
      <c r="E378" s="12" t="s">
        <v>2</v>
      </c>
      <c r="F378" s="13" t="str">
        <f>sum(f368:f371)-f377</f>
        <v>0</v>
      </c>
      <c r="G378" s="16"/>
      <c r="H378" s="9"/>
      <c r="I378" s="11" t="s">
        <v>25</v>
      </c>
      <c r="J378" s="11"/>
      <c r="K378" s="11"/>
      <c r="L378" s="12" t="s">
        <v>2</v>
      </c>
      <c r="M378" s="13" t="str">
        <f>sum(m368:m371)-m377</f>
        <v>0</v>
      </c>
      <c r="N378" s="16"/>
      <c r="O378" s="9"/>
      <c r="P378" s="11" t="s">
        <v>25</v>
      </c>
      <c r="Q378" s="11"/>
      <c r="R378" s="11"/>
      <c r="S378" s="12" t="s">
        <v>2</v>
      </c>
      <c r="T378" s="13" t="str">
        <f>sum(t368:t371)-t377</f>
        <v>0</v>
      </c>
      <c r="U378" s="16"/>
    </row>
    <row r="379" spans="1:21">
      <c r="A379" s="7"/>
      <c r="B379" s="10"/>
      <c r="C379" s="10"/>
      <c r="D379" s="10"/>
      <c r="E379" s="10"/>
      <c r="F379" s="10"/>
      <c r="G379" s="14"/>
      <c r="H379" s="7"/>
      <c r="I379" s="10"/>
      <c r="J379" s="10"/>
      <c r="K379" s="10"/>
      <c r="L379" s="10"/>
      <c r="M379" s="10"/>
      <c r="N379" s="14"/>
      <c r="O379" s="7"/>
      <c r="P379" s="10"/>
      <c r="Q379" s="10"/>
      <c r="R379" s="10"/>
      <c r="S379" s="10"/>
      <c r="T379" s="10"/>
      <c r="U379" s="14"/>
    </row>
    <row r="380" spans="1:21">
      <c r="A380" s="8"/>
      <c r="B380" s="1" t="s">
        <v>0</v>
      </c>
      <c r="C380"/>
      <c r="D380"/>
      <c r="E380"/>
      <c r="F380"/>
      <c r="G380" s="15"/>
      <c r="H380" s="8"/>
      <c r="I380" s="1" t="s">
        <v>0</v>
      </c>
      <c r="J380"/>
      <c r="K380"/>
      <c r="L380"/>
      <c r="M380"/>
      <c r="N380" s="15"/>
      <c r="O380" s="8"/>
      <c r="P380" s="1" t="s">
        <v>0</v>
      </c>
      <c r="Q380"/>
      <c r="R380"/>
      <c r="S380"/>
      <c r="T380"/>
      <c r="U380" s="15"/>
    </row>
    <row r="381" spans="1:21">
      <c r="A381" s="8"/>
      <c r="B381" t="s">
        <v>1</v>
      </c>
      <c r="C381" s="2" t="s">
        <v>2</v>
      </c>
      <c r="D381" t="s">
        <v>141</v>
      </c>
      <c r="E381"/>
      <c r="F381"/>
      <c r="G381" s="15"/>
      <c r="H381" s="8"/>
      <c r="I381" t="s">
        <v>1</v>
      </c>
      <c r="J381" s="2" t="s">
        <v>2</v>
      </c>
      <c r="K381" t="s">
        <v>142</v>
      </c>
      <c r="L381"/>
      <c r="M381"/>
      <c r="N381" s="15"/>
      <c r="O381" s="8"/>
      <c r="P381" t="s">
        <v>1</v>
      </c>
      <c r="Q381" s="2" t="s">
        <v>2</v>
      </c>
      <c r="R381" t="s">
        <v>143</v>
      </c>
      <c r="S381"/>
      <c r="T381"/>
      <c r="U381" s="15"/>
    </row>
    <row r="382" spans="1:21">
      <c r="A382" s="8"/>
      <c r="B382" t="s">
        <v>6</v>
      </c>
      <c r="C382" s="2" t="s">
        <v>2</v>
      </c>
      <c r="D382">
        <v>2924</v>
      </c>
      <c r="E382"/>
      <c r="F382"/>
      <c r="G382" s="15"/>
      <c r="H382" s="8"/>
      <c r="I382" t="s">
        <v>6</v>
      </c>
      <c r="J382" s="2" t="s">
        <v>2</v>
      </c>
      <c r="K382">
        <v>2775</v>
      </c>
      <c r="L382"/>
      <c r="M382"/>
      <c r="N382" s="15"/>
      <c r="O382" s="8"/>
      <c r="P382" t="s">
        <v>6</v>
      </c>
      <c r="Q382" s="2" t="s">
        <v>2</v>
      </c>
      <c r="R382" t="s">
        <v>144</v>
      </c>
      <c r="S382"/>
      <c r="T382"/>
      <c r="U382" s="15"/>
    </row>
    <row r="383" spans="1:21">
      <c r="A383" s="8"/>
      <c r="B383" t="s">
        <v>10</v>
      </c>
      <c r="C383" s="2" t="s">
        <v>2</v>
      </c>
      <c r="D383" t="s">
        <v>133</v>
      </c>
      <c r="E383"/>
      <c r="F383"/>
      <c r="G383" s="15"/>
      <c r="H383" s="8"/>
      <c r="I383" t="s">
        <v>10</v>
      </c>
      <c r="J383" s="2" t="s">
        <v>2</v>
      </c>
      <c r="K383" t="s">
        <v>133</v>
      </c>
      <c r="L383"/>
      <c r="M383"/>
      <c r="N383" s="15"/>
      <c r="O383" s="8"/>
      <c r="P383" t="s">
        <v>10</v>
      </c>
      <c r="Q383" s="2" t="s">
        <v>2</v>
      </c>
      <c r="R383" t="s">
        <v>133</v>
      </c>
      <c r="S383"/>
      <c r="T383"/>
      <c r="U383" s="15"/>
    </row>
    <row r="384" spans="1:21">
      <c r="A384" s="8"/>
      <c r="B384" t="s">
        <v>12</v>
      </c>
      <c r="C384" s="2" t="s">
        <v>2</v>
      </c>
      <c r="D384" t="s">
        <v>13</v>
      </c>
      <c r="E384"/>
      <c r="F384"/>
      <c r="G384" s="15"/>
      <c r="H384" s="8"/>
      <c r="I384" t="s">
        <v>12</v>
      </c>
      <c r="J384" s="2" t="s">
        <v>2</v>
      </c>
      <c r="K384" t="s">
        <v>13</v>
      </c>
      <c r="L384"/>
      <c r="M384"/>
      <c r="N384" s="15"/>
      <c r="O384" s="8"/>
      <c r="P384" t="s">
        <v>12</v>
      </c>
      <c r="Q384" s="2" t="s">
        <v>2</v>
      </c>
      <c r="R384" t="s">
        <v>13</v>
      </c>
      <c r="S384"/>
      <c r="T384"/>
      <c r="U384" s="15"/>
    </row>
    <row r="385" spans="1:21">
      <c r="A385" s="8"/>
      <c r="B385" s="3" t="s">
        <v>14</v>
      </c>
      <c r="C385" s="4" t="s">
        <v>2</v>
      </c>
      <c r="D385" s="3" t="s">
        <v>15</v>
      </c>
      <c r="E385" s="3"/>
      <c r="F385" s="3"/>
      <c r="G385" s="15"/>
      <c r="H385" s="8"/>
      <c r="I385" s="3" t="s">
        <v>14</v>
      </c>
      <c r="J385" s="4" t="s">
        <v>2</v>
      </c>
      <c r="K385" s="3" t="s">
        <v>15</v>
      </c>
      <c r="L385" s="3"/>
      <c r="M385" s="3"/>
      <c r="N385" s="15"/>
      <c r="O385" s="8"/>
      <c r="P385" s="3" t="s">
        <v>14</v>
      </c>
      <c r="Q385" s="4" t="s">
        <v>2</v>
      </c>
      <c r="R385" s="3" t="s">
        <v>15</v>
      </c>
      <c r="S385" s="3"/>
      <c r="T385" s="3"/>
      <c r="U385" s="15"/>
    </row>
    <row r="386" spans="1:21">
      <c r="A386" s="8"/>
      <c r="B386" t="s">
        <v>16</v>
      </c>
      <c r="C386"/>
      <c r="D386"/>
      <c r="E386" s="2" t="s">
        <v>2</v>
      </c>
      <c r="F386" s="5">
        <v>3724000</v>
      </c>
      <c r="G386" s="15"/>
      <c r="H386" s="8"/>
      <c r="I386" t="s">
        <v>16</v>
      </c>
      <c r="J386"/>
      <c r="K386"/>
      <c r="L386" s="2" t="s">
        <v>2</v>
      </c>
      <c r="M386" s="5">
        <v>3724000</v>
      </c>
      <c r="N386" s="15"/>
      <c r="O386" s="8"/>
      <c r="P386" t="s">
        <v>16</v>
      </c>
      <c r="Q386"/>
      <c r="R386"/>
      <c r="S386" s="2" t="s">
        <v>2</v>
      </c>
      <c r="T386" s="5">
        <v>4421000</v>
      </c>
      <c r="U386" s="15"/>
    </row>
    <row r="387" spans="1:21">
      <c r="A387" s="8"/>
      <c r="B387" t="s">
        <v>17</v>
      </c>
      <c r="C387"/>
      <c r="D387"/>
      <c r="E387" s="2" t="s">
        <v>2</v>
      </c>
      <c r="F387" s="5">
        <v>250000</v>
      </c>
      <c r="G387" s="15"/>
      <c r="H387" s="8"/>
      <c r="I387" t="s">
        <v>17</v>
      </c>
      <c r="J387"/>
      <c r="K387"/>
      <c r="L387" s="2" t="s">
        <v>2</v>
      </c>
      <c r="M387" s="5">
        <v>250000</v>
      </c>
      <c r="N387" s="15"/>
      <c r="O387" s="8"/>
      <c r="P387" t="s">
        <v>17</v>
      </c>
      <c r="Q387"/>
      <c r="R387"/>
      <c r="S387" s="2" t="s">
        <v>2</v>
      </c>
      <c r="T387" s="5">
        <v>200000</v>
      </c>
      <c r="U387" s="15"/>
    </row>
    <row r="388" spans="1:21">
      <c r="A388" s="8"/>
      <c r="B388" t="s">
        <v>18</v>
      </c>
      <c r="C388"/>
      <c r="D388"/>
      <c r="E388" s="2" t="s">
        <v>2</v>
      </c>
      <c r="F388" s="5">
        <v>0</v>
      </c>
      <c r="G388" s="15"/>
      <c r="H388" s="8"/>
      <c r="I388" t="s">
        <v>18</v>
      </c>
      <c r="J388"/>
      <c r="K388"/>
      <c r="L388" s="2" t="s">
        <v>2</v>
      </c>
      <c r="M388" s="5">
        <v>0</v>
      </c>
      <c r="N388" s="15"/>
      <c r="O388" s="8"/>
      <c r="P388" t="s">
        <v>18</v>
      </c>
      <c r="Q388"/>
      <c r="R388"/>
      <c r="S388" s="2" t="s">
        <v>2</v>
      </c>
      <c r="T388" s="5">
        <v>25000</v>
      </c>
      <c r="U388" s="15"/>
    </row>
    <row r="389" spans="1:21">
      <c r="A389" s="8"/>
      <c r="B389" t="s">
        <v>19</v>
      </c>
      <c r="C389"/>
      <c r="D389"/>
      <c r="E389" s="2" t="s">
        <v>2</v>
      </c>
      <c r="F389" s="5">
        <v>0</v>
      </c>
      <c r="G389" s="15"/>
      <c r="H389" s="8"/>
      <c r="I389" t="s">
        <v>19</v>
      </c>
      <c r="J389"/>
      <c r="K389"/>
      <c r="L389" s="2" t="s">
        <v>2</v>
      </c>
      <c r="M389" s="5">
        <v>0</v>
      </c>
      <c r="N389" s="15"/>
      <c r="O389" s="8"/>
      <c r="P389" t="s">
        <v>19</v>
      </c>
      <c r="Q389"/>
      <c r="R389"/>
      <c r="S389" s="2" t="s">
        <v>2</v>
      </c>
      <c r="T389" s="5">
        <v>10000</v>
      </c>
      <c r="U389" s="15"/>
    </row>
    <row r="390" spans="1:21">
      <c r="A390" s="8"/>
      <c r="B390"/>
      <c r="C390"/>
      <c r="D390"/>
      <c r="E390"/>
      <c r="F390"/>
      <c r="G390" s="15"/>
      <c r="H390" s="8"/>
      <c r="I390"/>
      <c r="J390"/>
      <c r="K390"/>
      <c r="L390"/>
      <c r="M390"/>
      <c r="N390" s="15"/>
      <c r="O390" s="8"/>
      <c r="P390"/>
      <c r="Q390"/>
      <c r="R390"/>
      <c r="S390"/>
      <c r="T390"/>
      <c r="U390" s="15"/>
    </row>
    <row r="391" spans="1:21">
      <c r="A391" s="8"/>
      <c r="B391" s="2" t="s">
        <v>20</v>
      </c>
      <c r="C391"/>
      <c r="D391"/>
      <c r="E391"/>
      <c r="F391"/>
      <c r="G391" s="15"/>
      <c r="H391" s="8"/>
      <c r="I391" s="2" t="s">
        <v>20</v>
      </c>
      <c r="J391"/>
      <c r="K391"/>
      <c r="L391"/>
      <c r="M391"/>
      <c r="N391" s="15"/>
      <c r="O391" s="8"/>
      <c r="P391" s="2" t="s">
        <v>20</v>
      </c>
      <c r="Q391"/>
      <c r="R391"/>
      <c r="S391"/>
      <c r="T391"/>
      <c r="U391" s="15"/>
    </row>
    <row r="392" spans="1:21">
      <c r="A392" s="8"/>
      <c r="B392" t="s">
        <v>21</v>
      </c>
      <c r="C392"/>
      <c r="D392"/>
      <c r="E392" s="2" t="s">
        <v>2</v>
      </c>
      <c r="F392" s="5">
        <v>2085440</v>
      </c>
      <c r="G392" s="15"/>
      <c r="H392" s="8"/>
      <c r="I392" t="s">
        <v>21</v>
      </c>
      <c r="J392"/>
      <c r="K392"/>
      <c r="L392" s="2" t="s">
        <v>2</v>
      </c>
      <c r="M392" s="5">
        <v>2383360</v>
      </c>
      <c r="N392" s="15"/>
      <c r="O392" s="8"/>
      <c r="P392" t="s">
        <v>21</v>
      </c>
      <c r="Q392"/>
      <c r="R392"/>
      <c r="S392" s="2" t="s">
        <v>2</v>
      </c>
      <c r="T392" s="5">
        <v>0</v>
      </c>
      <c r="U392" s="15"/>
    </row>
    <row r="393" spans="1:21">
      <c r="A393" s="8"/>
      <c r="B393" t="s">
        <v>22</v>
      </c>
      <c r="C393"/>
      <c r="D393"/>
      <c r="E393" s="2" t="s">
        <v>2</v>
      </c>
      <c r="F393" s="5">
        <v>111720</v>
      </c>
      <c r="G393" s="15"/>
      <c r="H393" s="8"/>
      <c r="I393" t="s">
        <v>22</v>
      </c>
      <c r="J393"/>
      <c r="K393"/>
      <c r="L393" s="2" t="s">
        <v>2</v>
      </c>
      <c r="M393" s="5">
        <v>111720</v>
      </c>
      <c r="N393" s="15"/>
      <c r="O393" s="8"/>
      <c r="P393" t="s">
        <v>22</v>
      </c>
      <c r="Q393"/>
      <c r="R393"/>
      <c r="S393" s="2" t="s">
        <v>2</v>
      </c>
      <c r="T393" s="5">
        <v>132630</v>
      </c>
      <c r="U393" s="15"/>
    </row>
    <row r="394" spans="1:21">
      <c r="A394" s="8"/>
      <c r="B394" s="3" t="s">
        <v>23</v>
      </c>
      <c r="C394" s="3"/>
      <c r="D394" s="3"/>
      <c r="E394" s="4" t="s">
        <v>2</v>
      </c>
      <c r="F394" s="6">
        <v>37240</v>
      </c>
      <c r="G394" s="15"/>
      <c r="H394" s="8"/>
      <c r="I394" s="3" t="s">
        <v>23</v>
      </c>
      <c r="J394" s="3"/>
      <c r="K394" s="3"/>
      <c r="L394" s="4" t="s">
        <v>2</v>
      </c>
      <c r="M394" s="6">
        <v>37240</v>
      </c>
      <c r="N394" s="15"/>
      <c r="O394" s="8"/>
      <c r="P394" s="3" t="s">
        <v>23</v>
      </c>
      <c r="Q394" s="3"/>
      <c r="R394" s="3"/>
      <c r="S394" s="4" t="s">
        <v>2</v>
      </c>
      <c r="T394" s="6">
        <v>44210</v>
      </c>
      <c r="U394" s="15"/>
    </row>
    <row r="395" spans="1:21">
      <c r="A395" s="8"/>
      <c r="B395" t="s">
        <v>24</v>
      </c>
      <c r="C395"/>
      <c r="D395"/>
      <c r="E395" s="2" t="s">
        <v>2</v>
      </c>
      <c r="F395" s="5" t="str">
        <f>sum(f392:f394)</f>
        <v>0</v>
      </c>
      <c r="G395" s="15"/>
      <c r="H395" s="8"/>
      <c r="I395" t="s">
        <v>24</v>
      </c>
      <c r="J395"/>
      <c r="K395"/>
      <c r="L395" s="2" t="s">
        <v>2</v>
      </c>
      <c r="M395" s="5" t="str">
        <f>sum(m392:m394)</f>
        <v>0</v>
      </c>
      <c r="N395" s="15"/>
      <c r="O395" s="8"/>
      <c r="P395" t="s">
        <v>24</v>
      </c>
      <c r="Q395"/>
      <c r="R395"/>
      <c r="S395" s="2" t="s">
        <v>2</v>
      </c>
      <c r="T395" s="5" t="str">
        <f>sum(t392:t394)</f>
        <v>0</v>
      </c>
      <c r="U395" s="15"/>
    </row>
    <row r="396" spans="1:21">
      <c r="A396" s="9"/>
      <c r="B396" s="11" t="s">
        <v>25</v>
      </c>
      <c r="C396" s="11"/>
      <c r="D396" s="11"/>
      <c r="E396" s="12" t="s">
        <v>2</v>
      </c>
      <c r="F396" s="13" t="str">
        <f>sum(f386:f389)-f395</f>
        <v>0</v>
      </c>
      <c r="G396" s="16"/>
      <c r="H396" s="9"/>
      <c r="I396" s="11" t="s">
        <v>25</v>
      </c>
      <c r="J396" s="11"/>
      <c r="K396" s="11"/>
      <c r="L396" s="12" t="s">
        <v>2</v>
      </c>
      <c r="M396" s="13" t="str">
        <f>sum(m386:m389)-m395</f>
        <v>0</v>
      </c>
      <c r="N396" s="16"/>
      <c r="O396" s="9"/>
      <c r="P396" s="11" t="s">
        <v>25</v>
      </c>
      <c r="Q396" s="11"/>
      <c r="R396" s="11"/>
      <c r="S396" s="12" t="s">
        <v>2</v>
      </c>
      <c r="T396" s="13" t="str">
        <f>sum(t386:t389)-t395</f>
        <v>0</v>
      </c>
      <c r="U396" s="16"/>
    </row>
    <row r="397" spans="1:21">
      <c r="A397" s="7"/>
      <c r="B397" s="10"/>
      <c r="C397" s="10"/>
      <c r="D397" s="10"/>
      <c r="E397" s="10"/>
      <c r="F397" s="10"/>
      <c r="G397" s="14"/>
      <c r="H397" s="7"/>
      <c r="I397" s="10"/>
      <c r="J397" s="10"/>
      <c r="K397" s="10"/>
      <c r="L397" s="10"/>
      <c r="M397" s="10"/>
      <c r="N397" s="14"/>
      <c r="O397" s="7"/>
      <c r="P397" s="10"/>
      <c r="Q397" s="10"/>
      <c r="R397" s="10"/>
      <c r="S397" s="10"/>
      <c r="T397" s="10"/>
      <c r="U397" s="14"/>
    </row>
    <row r="398" spans="1:21">
      <c r="A398" s="8"/>
      <c r="B398" s="1" t="s">
        <v>0</v>
      </c>
      <c r="C398"/>
      <c r="D398"/>
      <c r="E398"/>
      <c r="F398"/>
      <c r="G398" s="15"/>
      <c r="H398" s="8"/>
      <c r="I398" s="1" t="s">
        <v>0</v>
      </c>
      <c r="J398"/>
      <c r="K398"/>
      <c r="L398"/>
      <c r="M398"/>
      <c r="N398" s="15"/>
      <c r="O398" s="8"/>
      <c r="P398" s="1" t="s">
        <v>0</v>
      </c>
      <c r="Q398"/>
      <c r="R398"/>
      <c r="S398"/>
      <c r="T398"/>
      <c r="U398" s="15"/>
    </row>
    <row r="399" spans="1:21">
      <c r="A399" s="8"/>
      <c r="B399" t="s">
        <v>1</v>
      </c>
      <c r="C399" s="2" t="s">
        <v>2</v>
      </c>
      <c r="D399" t="s">
        <v>145</v>
      </c>
      <c r="E399"/>
      <c r="F399"/>
      <c r="G399" s="15"/>
      <c r="H399" s="8"/>
      <c r="I399" t="s">
        <v>1</v>
      </c>
      <c r="J399" s="2" t="s">
        <v>2</v>
      </c>
      <c r="K399" t="s">
        <v>146</v>
      </c>
      <c r="L399"/>
      <c r="M399"/>
      <c r="N399" s="15"/>
      <c r="O399" s="8"/>
      <c r="P399" t="s">
        <v>1</v>
      </c>
      <c r="Q399" s="2" t="s">
        <v>2</v>
      </c>
      <c r="R399" t="s">
        <v>147</v>
      </c>
      <c r="S399"/>
      <c r="T399"/>
      <c r="U399" s="15"/>
    </row>
    <row r="400" spans="1:21">
      <c r="A400" s="8"/>
      <c r="B400" t="s">
        <v>6</v>
      </c>
      <c r="C400" s="2" t="s">
        <v>2</v>
      </c>
      <c r="D400" t="s">
        <v>148</v>
      </c>
      <c r="E400"/>
      <c r="F400"/>
      <c r="G400" s="15"/>
      <c r="H400" s="8"/>
      <c r="I400" t="s">
        <v>6</v>
      </c>
      <c r="J400" s="2" t="s">
        <v>2</v>
      </c>
      <c r="K400" t="s">
        <v>149</v>
      </c>
      <c r="L400"/>
      <c r="M400"/>
      <c r="N400" s="15"/>
      <c r="O400" s="8"/>
      <c r="P400" t="s">
        <v>6</v>
      </c>
      <c r="Q400" s="2" t="s">
        <v>2</v>
      </c>
      <c r="R400" t="s">
        <v>150</v>
      </c>
      <c r="S400"/>
      <c r="T400"/>
      <c r="U400" s="15"/>
    </row>
    <row r="401" spans="1:21">
      <c r="A401" s="8"/>
      <c r="B401" t="s">
        <v>10</v>
      </c>
      <c r="C401" s="2" t="s">
        <v>2</v>
      </c>
      <c r="D401" t="s">
        <v>151</v>
      </c>
      <c r="E401"/>
      <c r="F401"/>
      <c r="G401" s="15"/>
      <c r="H401" s="8"/>
      <c r="I401" t="s">
        <v>10</v>
      </c>
      <c r="J401" s="2" t="s">
        <v>2</v>
      </c>
      <c r="K401" t="s">
        <v>151</v>
      </c>
      <c r="L401"/>
      <c r="M401"/>
      <c r="N401" s="15"/>
      <c r="O401" s="8"/>
      <c r="P401" t="s">
        <v>10</v>
      </c>
      <c r="Q401" s="2" t="s">
        <v>2</v>
      </c>
      <c r="R401" t="s">
        <v>151</v>
      </c>
      <c r="S401"/>
      <c r="T401"/>
      <c r="U401" s="15"/>
    </row>
    <row r="402" spans="1:21">
      <c r="A402" s="8"/>
      <c r="B402" t="s">
        <v>12</v>
      </c>
      <c r="C402" s="2" t="s">
        <v>2</v>
      </c>
      <c r="D402" t="s">
        <v>13</v>
      </c>
      <c r="E402"/>
      <c r="F402"/>
      <c r="G402" s="15"/>
      <c r="H402" s="8"/>
      <c r="I402" t="s">
        <v>12</v>
      </c>
      <c r="J402" s="2" t="s">
        <v>2</v>
      </c>
      <c r="K402" t="s">
        <v>13</v>
      </c>
      <c r="L402"/>
      <c r="M402"/>
      <c r="N402" s="15"/>
      <c r="O402" s="8"/>
      <c r="P402" t="s">
        <v>12</v>
      </c>
      <c r="Q402" s="2" t="s">
        <v>2</v>
      </c>
      <c r="R402" t="s">
        <v>13</v>
      </c>
      <c r="S402"/>
      <c r="T402"/>
      <c r="U402" s="15"/>
    </row>
    <row r="403" spans="1:21">
      <c r="A403" s="8"/>
      <c r="B403" s="3" t="s">
        <v>14</v>
      </c>
      <c r="C403" s="4" t="s">
        <v>2</v>
      </c>
      <c r="D403" s="3" t="s">
        <v>15</v>
      </c>
      <c r="E403" s="3"/>
      <c r="F403" s="3"/>
      <c r="G403" s="15"/>
      <c r="H403" s="8"/>
      <c r="I403" s="3" t="s">
        <v>14</v>
      </c>
      <c r="J403" s="4" t="s">
        <v>2</v>
      </c>
      <c r="K403" s="3" t="s">
        <v>15</v>
      </c>
      <c r="L403" s="3"/>
      <c r="M403" s="3"/>
      <c r="N403" s="15"/>
      <c r="O403" s="8"/>
      <c r="P403" s="3" t="s">
        <v>14</v>
      </c>
      <c r="Q403" s="4" t="s">
        <v>2</v>
      </c>
      <c r="R403" s="3" t="s">
        <v>15</v>
      </c>
      <c r="S403" s="3"/>
      <c r="T403" s="3"/>
      <c r="U403" s="15"/>
    </row>
    <row r="404" spans="1:21">
      <c r="A404" s="8"/>
      <c r="B404" t="s">
        <v>16</v>
      </c>
      <c r="C404"/>
      <c r="D404"/>
      <c r="E404" s="2" t="s">
        <v>2</v>
      </c>
      <c r="F404" s="5">
        <v>3594000</v>
      </c>
      <c r="G404" s="15"/>
      <c r="H404" s="8"/>
      <c r="I404" t="s">
        <v>16</v>
      </c>
      <c r="J404"/>
      <c r="K404"/>
      <c r="L404" s="2" t="s">
        <v>2</v>
      </c>
      <c r="M404" s="5">
        <v>3596000</v>
      </c>
      <c r="N404" s="15"/>
      <c r="O404" s="8"/>
      <c r="P404" t="s">
        <v>16</v>
      </c>
      <c r="Q404"/>
      <c r="R404"/>
      <c r="S404" s="2" t="s">
        <v>2</v>
      </c>
      <c r="T404" s="5">
        <v>4188000</v>
      </c>
      <c r="U404" s="15"/>
    </row>
    <row r="405" spans="1:21">
      <c r="A405" s="8"/>
      <c r="B405" t="s">
        <v>17</v>
      </c>
      <c r="C405"/>
      <c r="D405"/>
      <c r="E405" s="2" t="s">
        <v>2</v>
      </c>
      <c r="F405" s="5">
        <v>0</v>
      </c>
      <c r="G405" s="15"/>
      <c r="H405" s="8"/>
      <c r="I405" t="s">
        <v>17</v>
      </c>
      <c r="J405"/>
      <c r="K405"/>
      <c r="L405" s="2" t="s">
        <v>2</v>
      </c>
      <c r="M405" s="5">
        <v>10000</v>
      </c>
      <c r="N405" s="15"/>
      <c r="O405" s="8"/>
      <c r="P405" t="s">
        <v>17</v>
      </c>
      <c r="Q405"/>
      <c r="R405"/>
      <c r="S405" s="2" t="s">
        <v>2</v>
      </c>
      <c r="T405" s="5">
        <v>200000</v>
      </c>
      <c r="U405" s="15"/>
    </row>
    <row r="406" spans="1:21">
      <c r="A406" s="8"/>
      <c r="B406" t="s">
        <v>18</v>
      </c>
      <c r="C406"/>
      <c r="D406"/>
      <c r="E406" s="2" t="s">
        <v>2</v>
      </c>
      <c r="F406" s="5">
        <v>0</v>
      </c>
      <c r="G406" s="15"/>
      <c r="H406" s="8"/>
      <c r="I406" t="s">
        <v>18</v>
      </c>
      <c r="J406"/>
      <c r="K406"/>
      <c r="L406" s="2" t="s">
        <v>2</v>
      </c>
      <c r="M406" s="5">
        <v>0</v>
      </c>
      <c r="N406" s="15"/>
      <c r="O406" s="8"/>
      <c r="P406" t="s">
        <v>18</v>
      </c>
      <c r="Q406"/>
      <c r="R406"/>
      <c r="S406" s="2" t="s">
        <v>2</v>
      </c>
      <c r="T406" s="5">
        <v>0</v>
      </c>
      <c r="U406" s="15"/>
    </row>
    <row r="407" spans="1:21">
      <c r="A407" s="8"/>
      <c r="B407" t="s">
        <v>19</v>
      </c>
      <c r="C407"/>
      <c r="D407"/>
      <c r="E407" s="2" t="s">
        <v>2</v>
      </c>
      <c r="F407" s="5">
        <v>6000</v>
      </c>
      <c r="G407" s="15"/>
      <c r="H407" s="8"/>
      <c r="I407" t="s">
        <v>19</v>
      </c>
      <c r="J407"/>
      <c r="K407"/>
      <c r="L407" s="2" t="s">
        <v>2</v>
      </c>
      <c r="M407" s="5">
        <v>0</v>
      </c>
      <c r="N407" s="15"/>
      <c r="O407" s="8"/>
      <c r="P407" t="s">
        <v>19</v>
      </c>
      <c r="Q407"/>
      <c r="R407"/>
      <c r="S407" s="2" t="s">
        <v>2</v>
      </c>
      <c r="T407" s="5">
        <v>0</v>
      </c>
      <c r="U407" s="15"/>
    </row>
    <row r="408" spans="1:21">
      <c r="A408" s="8"/>
      <c r="B408"/>
      <c r="C408"/>
      <c r="D408"/>
      <c r="E408"/>
      <c r="F408"/>
      <c r="G408" s="15"/>
      <c r="H408" s="8"/>
      <c r="I408"/>
      <c r="J408"/>
      <c r="K408"/>
      <c r="L408"/>
      <c r="M408"/>
      <c r="N408" s="15"/>
      <c r="O408" s="8"/>
      <c r="P408"/>
      <c r="Q408"/>
      <c r="R408"/>
      <c r="S408"/>
      <c r="T408"/>
      <c r="U408" s="15"/>
    </row>
    <row r="409" spans="1:21">
      <c r="A409" s="8"/>
      <c r="B409" s="2" t="s">
        <v>20</v>
      </c>
      <c r="C409"/>
      <c r="D409"/>
      <c r="E409"/>
      <c r="F409"/>
      <c r="G409" s="15"/>
      <c r="H409" s="8"/>
      <c r="I409" s="2" t="s">
        <v>20</v>
      </c>
      <c r="J409"/>
      <c r="K409"/>
      <c r="L409"/>
      <c r="M409"/>
      <c r="N409" s="15"/>
      <c r="O409" s="8"/>
      <c r="P409" s="2" t="s">
        <v>20</v>
      </c>
      <c r="Q409"/>
      <c r="R409"/>
      <c r="S409"/>
      <c r="T409"/>
      <c r="U409" s="15"/>
    </row>
    <row r="410" spans="1:21">
      <c r="A410" s="8"/>
      <c r="B410" t="s">
        <v>21</v>
      </c>
      <c r="C410"/>
      <c r="D410"/>
      <c r="E410" s="2" t="s">
        <v>2</v>
      </c>
      <c r="F410" s="5">
        <v>2156400</v>
      </c>
      <c r="G410" s="15"/>
      <c r="H410" s="8"/>
      <c r="I410" t="s">
        <v>21</v>
      </c>
      <c r="J410"/>
      <c r="K410"/>
      <c r="L410" s="2" t="s">
        <v>2</v>
      </c>
      <c r="M410" s="5">
        <v>1917866.62</v>
      </c>
      <c r="N410" s="15"/>
      <c r="O410" s="8"/>
      <c r="P410" t="s">
        <v>21</v>
      </c>
      <c r="Q410"/>
      <c r="R410"/>
      <c r="S410" s="2" t="s">
        <v>2</v>
      </c>
      <c r="T410" s="5">
        <v>2512800</v>
      </c>
      <c r="U410" s="15"/>
    </row>
    <row r="411" spans="1:21">
      <c r="A411" s="8"/>
      <c r="B411" t="s">
        <v>22</v>
      </c>
      <c r="C411"/>
      <c r="D411"/>
      <c r="E411" s="2" t="s">
        <v>2</v>
      </c>
      <c r="F411" s="5">
        <v>107820</v>
      </c>
      <c r="G411" s="15"/>
      <c r="H411" s="8"/>
      <c r="I411" t="s">
        <v>22</v>
      </c>
      <c r="J411"/>
      <c r="K411"/>
      <c r="L411" s="2" t="s">
        <v>2</v>
      </c>
      <c r="M411" s="5">
        <v>107880</v>
      </c>
      <c r="N411" s="15"/>
      <c r="O411" s="8"/>
      <c r="P411" t="s">
        <v>22</v>
      </c>
      <c r="Q411"/>
      <c r="R411"/>
      <c r="S411" s="2" t="s">
        <v>2</v>
      </c>
      <c r="T411" s="5">
        <v>125640</v>
      </c>
      <c r="U411" s="15"/>
    </row>
    <row r="412" spans="1:21">
      <c r="A412" s="8"/>
      <c r="B412" s="3" t="s">
        <v>23</v>
      </c>
      <c r="C412" s="3"/>
      <c r="D412" s="3"/>
      <c r="E412" s="4" t="s">
        <v>2</v>
      </c>
      <c r="F412" s="6">
        <v>35745</v>
      </c>
      <c r="G412" s="15"/>
      <c r="H412" s="8"/>
      <c r="I412" s="3" t="s">
        <v>23</v>
      </c>
      <c r="J412" s="3"/>
      <c r="K412" s="3"/>
      <c r="L412" s="4" t="s">
        <v>2</v>
      </c>
      <c r="M412" s="6">
        <v>35745</v>
      </c>
      <c r="N412" s="15"/>
      <c r="O412" s="8"/>
      <c r="P412" s="3" t="s">
        <v>23</v>
      </c>
      <c r="Q412" s="3"/>
      <c r="R412" s="3"/>
      <c r="S412" s="4" t="s">
        <v>2</v>
      </c>
      <c r="T412" s="6">
        <v>41880</v>
      </c>
      <c r="U412" s="15"/>
    </row>
    <row r="413" spans="1:21">
      <c r="A413" s="8"/>
      <c r="B413" t="s">
        <v>24</v>
      </c>
      <c r="C413"/>
      <c r="D413"/>
      <c r="E413" s="2" t="s">
        <v>2</v>
      </c>
      <c r="F413" s="5" t="str">
        <f>sum(f410:f412)</f>
        <v>0</v>
      </c>
      <c r="G413" s="15"/>
      <c r="H413" s="8"/>
      <c r="I413" t="s">
        <v>24</v>
      </c>
      <c r="J413"/>
      <c r="K413"/>
      <c r="L413" s="2" t="s">
        <v>2</v>
      </c>
      <c r="M413" s="5" t="str">
        <f>sum(m410:m412)</f>
        <v>0</v>
      </c>
      <c r="N413" s="15"/>
      <c r="O413" s="8"/>
      <c r="P413" t="s">
        <v>24</v>
      </c>
      <c r="Q413"/>
      <c r="R413"/>
      <c r="S413" s="2" t="s">
        <v>2</v>
      </c>
      <c r="T413" s="5" t="str">
        <f>sum(t410:t412)</f>
        <v>0</v>
      </c>
      <c r="U413" s="15"/>
    </row>
    <row r="414" spans="1:21">
      <c r="A414" s="9"/>
      <c r="B414" s="11" t="s">
        <v>25</v>
      </c>
      <c r="C414" s="11"/>
      <c r="D414" s="11"/>
      <c r="E414" s="12" t="s">
        <v>2</v>
      </c>
      <c r="F414" s="13" t="str">
        <f>sum(f404:f407)-f413</f>
        <v>0</v>
      </c>
      <c r="G414" s="16"/>
      <c r="H414" s="9"/>
      <c r="I414" s="11" t="s">
        <v>25</v>
      </c>
      <c r="J414" s="11"/>
      <c r="K414" s="11"/>
      <c r="L414" s="12" t="s">
        <v>2</v>
      </c>
      <c r="M414" s="13" t="str">
        <f>sum(m404:m407)-m413</f>
        <v>0</v>
      </c>
      <c r="N414" s="16"/>
      <c r="O414" s="9"/>
      <c r="P414" s="11" t="s">
        <v>25</v>
      </c>
      <c r="Q414" s="11"/>
      <c r="R414" s="11"/>
      <c r="S414" s="12" t="s">
        <v>2</v>
      </c>
      <c r="T414" s="13" t="str">
        <f>sum(t404:t407)-t413</f>
        <v>0</v>
      </c>
      <c r="U414" s="16"/>
    </row>
    <row r="415" spans="1:21">
      <c r="A415" s="7"/>
      <c r="B415" s="10"/>
      <c r="C415" s="10"/>
      <c r="D415" s="10"/>
      <c r="E415" s="10"/>
      <c r="F415" s="10"/>
      <c r="G415" s="14"/>
      <c r="H415" s="7"/>
      <c r="I415" s="10"/>
      <c r="J415" s="10"/>
      <c r="K415" s="10"/>
      <c r="L415" s="10"/>
      <c r="M415" s="10"/>
      <c r="N415" s="14"/>
      <c r="O415" s="7"/>
      <c r="P415" s="10"/>
      <c r="Q415" s="10"/>
      <c r="R415" s="10"/>
      <c r="S415" s="10"/>
      <c r="T415" s="10"/>
      <c r="U415" s="14"/>
    </row>
    <row r="416" spans="1:21">
      <c r="A416" s="8"/>
      <c r="B416" s="1" t="s">
        <v>0</v>
      </c>
      <c r="C416"/>
      <c r="D416"/>
      <c r="E416"/>
      <c r="F416"/>
      <c r="G416" s="15"/>
      <c r="H416" s="8"/>
      <c r="I416" s="1" t="s">
        <v>0</v>
      </c>
      <c r="J416"/>
      <c r="K416"/>
      <c r="L416"/>
      <c r="M416"/>
      <c r="N416" s="15"/>
      <c r="O416" s="8"/>
      <c r="P416" s="1" t="s">
        <v>0</v>
      </c>
      <c r="Q416"/>
      <c r="R416"/>
      <c r="S416"/>
      <c r="T416"/>
      <c r="U416" s="15"/>
    </row>
    <row r="417" spans="1:21">
      <c r="A417" s="8"/>
      <c r="B417" t="s">
        <v>1</v>
      </c>
      <c r="C417" s="2" t="s">
        <v>2</v>
      </c>
      <c r="D417" t="s">
        <v>152</v>
      </c>
      <c r="E417"/>
      <c r="F417"/>
      <c r="G417" s="15"/>
      <c r="H417" s="8"/>
      <c r="I417" t="s">
        <v>1</v>
      </c>
      <c r="J417" s="2" t="s">
        <v>2</v>
      </c>
      <c r="K417" t="s">
        <v>153</v>
      </c>
      <c r="L417"/>
      <c r="M417"/>
      <c r="N417" s="15"/>
      <c r="O417" s="8"/>
      <c r="P417" t="s">
        <v>1</v>
      </c>
      <c r="Q417" s="2" t="s">
        <v>2</v>
      </c>
      <c r="R417" t="s">
        <v>154</v>
      </c>
      <c r="S417"/>
      <c r="T417"/>
      <c r="U417" s="15"/>
    </row>
    <row r="418" spans="1:21">
      <c r="A418" s="8"/>
      <c r="B418" t="s">
        <v>6</v>
      </c>
      <c r="C418" s="2" t="s">
        <v>2</v>
      </c>
      <c r="D418" t="s">
        <v>155</v>
      </c>
      <c r="E418"/>
      <c r="F418"/>
      <c r="G418" s="15"/>
      <c r="H418" s="8"/>
      <c r="I418" t="s">
        <v>6</v>
      </c>
      <c r="J418" s="2" t="s">
        <v>2</v>
      </c>
      <c r="K418">
        <v>630</v>
      </c>
      <c r="L418"/>
      <c r="M418"/>
      <c r="N418" s="15"/>
      <c r="O418" s="8"/>
      <c r="P418" t="s">
        <v>6</v>
      </c>
      <c r="Q418" s="2" t="s">
        <v>2</v>
      </c>
      <c r="R418" t="s">
        <v>156</v>
      </c>
      <c r="S418"/>
      <c r="T418"/>
      <c r="U418" s="15"/>
    </row>
    <row r="419" spans="1:21">
      <c r="A419" s="8"/>
      <c r="B419" t="s">
        <v>10</v>
      </c>
      <c r="C419" s="2" t="s">
        <v>2</v>
      </c>
      <c r="D419" t="s">
        <v>151</v>
      </c>
      <c r="E419"/>
      <c r="F419"/>
      <c r="G419" s="15"/>
      <c r="H419" s="8"/>
      <c r="I419" t="s">
        <v>10</v>
      </c>
      <c r="J419" s="2" t="s">
        <v>2</v>
      </c>
      <c r="K419" t="s">
        <v>151</v>
      </c>
      <c r="L419"/>
      <c r="M419"/>
      <c r="N419" s="15"/>
      <c r="O419" s="8"/>
      <c r="P419" t="s">
        <v>10</v>
      </c>
      <c r="Q419" s="2" t="s">
        <v>2</v>
      </c>
      <c r="R419" t="s">
        <v>151</v>
      </c>
      <c r="S419"/>
      <c r="T419"/>
      <c r="U419" s="15"/>
    </row>
    <row r="420" spans="1:21">
      <c r="A420" s="8"/>
      <c r="B420" t="s">
        <v>12</v>
      </c>
      <c r="C420" s="2" t="s">
        <v>2</v>
      </c>
      <c r="D420" t="s">
        <v>13</v>
      </c>
      <c r="E420"/>
      <c r="F420"/>
      <c r="G420" s="15"/>
      <c r="H420" s="8"/>
      <c r="I420" t="s">
        <v>12</v>
      </c>
      <c r="J420" s="2" t="s">
        <v>2</v>
      </c>
      <c r="K420" t="s">
        <v>13</v>
      </c>
      <c r="L420"/>
      <c r="M420"/>
      <c r="N420" s="15"/>
      <c r="O420" s="8"/>
      <c r="P420" t="s">
        <v>12</v>
      </c>
      <c r="Q420" s="2" t="s">
        <v>2</v>
      </c>
      <c r="R420" t="s">
        <v>13</v>
      </c>
      <c r="S420"/>
      <c r="T420"/>
      <c r="U420" s="15"/>
    </row>
    <row r="421" spans="1:21">
      <c r="A421" s="8"/>
      <c r="B421" s="3" t="s">
        <v>14</v>
      </c>
      <c r="C421" s="4" t="s">
        <v>2</v>
      </c>
      <c r="D421" s="3" t="s">
        <v>15</v>
      </c>
      <c r="E421" s="3"/>
      <c r="F421" s="3"/>
      <c r="G421" s="15"/>
      <c r="H421" s="8"/>
      <c r="I421" s="3" t="s">
        <v>14</v>
      </c>
      <c r="J421" s="4" t="s">
        <v>2</v>
      </c>
      <c r="K421" s="3" t="s">
        <v>15</v>
      </c>
      <c r="L421" s="3"/>
      <c r="M421" s="3"/>
      <c r="N421" s="15"/>
      <c r="O421" s="8"/>
      <c r="P421" s="3" t="s">
        <v>14</v>
      </c>
      <c r="Q421" s="4" t="s">
        <v>2</v>
      </c>
      <c r="R421" s="3" t="s">
        <v>15</v>
      </c>
      <c r="S421" s="3"/>
      <c r="T421" s="3"/>
      <c r="U421" s="15"/>
    </row>
    <row r="422" spans="1:21">
      <c r="A422" s="8"/>
      <c r="B422" t="s">
        <v>16</v>
      </c>
      <c r="C422"/>
      <c r="D422"/>
      <c r="E422" s="2" t="s">
        <v>2</v>
      </c>
      <c r="F422" s="5">
        <v>3596000</v>
      </c>
      <c r="G422" s="15"/>
      <c r="H422" s="8"/>
      <c r="I422" t="s">
        <v>16</v>
      </c>
      <c r="J422"/>
      <c r="K422"/>
      <c r="L422" s="2" t="s">
        <v>2</v>
      </c>
      <c r="M422" s="5">
        <v>3590000</v>
      </c>
      <c r="N422" s="15"/>
      <c r="O422" s="8"/>
      <c r="P422" t="s">
        <v>16</v>
      </c>
      <c r="Q422"/>
      <c r="R422"/>
      <c r="S422" s="2" t="s">
        <v>2</v>
      </c>
      <c r="T422" s="5">
        <v>3594000</v>
      </c>
      <c r="U422" s="15"/>
    </row>
    <row r="423" spans="1:21">
      <c r="A423" s="8"/>
      <c r="B423" t="s">
        <v>17</v>
      </c>
      <c r="C423"/>
      <c r="D423"/>
      <c r="E423" s="2" t="s">
        <v>2</v>
      </c>
      <c r="F423" s="5">
        <v>10000</v>
      </c>
      <c r="G423" s="15"/>
      <c r="H423" s="8"/>
      <c r="I423" t="s">
        <v>17</v>
      </c>
      <c r="J423"/>
      <c r="K423"/>
      <c r="L423" s="2" t="s">
        <v>2</v>
      </c>
      <c r="M423" s="5">
        <v>0</v>
      </c>
      <c r="N423" s="15"/>
      <c r="O423" s="8"/>
      <c r="P423" t="s">
        <v>17</v>
      </c>
      <c r="Q423"/>
      <c r="R423"/>
      <c r="S423" s="2" t="s">
        <v>2</v>
      </c>
      <c r="T423" s="5">
        <v>10000</v>
      </c>
      <c r="U423" s="15"/>
    </row>
    <row r="424" spans="1:21">
      <c r="A424" s="8"/>
      <c r="B424" t="s">
        <v>18</v>
      </c>
      <c r="C424"/>
      <c r="D424"/>
      <c r="E424" s="2" t="s">
        <v>2</v>
      </c>
      <c r="F424" s="5">
        <v>0</v>
      </c>
      <c r="G424" s="15"/>
      <c r="H424" s="8"/>
      <c r="I424" t="s">
        <v>18</v>
      </c>
      <c r="J424"/>
      <c r="K424"/>
      <c r="L424" s="2" t="s">
        <v>2</v>
      </c>
      <c r="M424" s="5">
        <v>0</v>
      </c>
      <c r="N424" s="15"/>
      <c r="O424" s="8"/>
      <c r="P424" t="s">
        <v>18</v>
      </c>
      <c r="Q424"/>
      <c r="R424"/>
      <c r="S424" s="2" t="s">
        <v>2</v>
      </c>
      <c r="T424" s="5">
        <v>0</v>
      </c>
      <c r="U424" s="15"/>
    </row>
    <row r="425" spans="1:21">
      <c r="A425" s="8"/>
      <c r="B425" t="s">
        <v>19</v>
      </c>
      <c r="C425"/>
      <c r="D425"/>
      <c r="E425" s="2" t="s">
        <v>2</v>
      </c>
      <c r="F425" s="5">
        <v>2000</v>
      </c>
      <c r="G425" s="15"/>
      <c r="H425" s="8"/>
      <c r="I425" t="s">
        <v>19</v>
      </c>
      <c r="J425"/>
      <c r="K425"/>
      <c r="L425" s="2" t="s">
        <v>2</v>
      </c>
      <c r="M425" s="5">
        <v>0</v>
      </c>
      <c r="N425" s="15"/>
      <c r="O425" s="8"/>
      <c r="P425" t="s">
        <v>19</v>
      </c>
      <c r="Q425"/>
      <c r="R425"/>
      <c r="S425" s="2" t="s">
        <v>2</v>
      </c>
      <c r="T425" s="5">
        <v>0</v>
      </c>
      <c r="U425" s="15"/>
    </row>
    <row r="426" spans="1:21">
      <c r="A426" s="8"/>
      <c r="B426"/>
      <c r="C426"/>
      <c r="D426"/>
      <c r="E426"/>
      <c r="F426"/>
      <c r="G426" s="15"/>
      <c r="H426" s="8"/>
      <c r="I426"/>
      <c r="J426"/>
      <c r="K426"/>
      <c r="L426"/>
      <c r="M426"/>
      <c r="N426" s="15"/>
      <c r="O426" s="8"/>
      <c r="P426"/>
      <c r="Q426"/>
      <c r="R426"/>
      <c r="S426"/>
      <c r="T426"/>
      <c r="U426" s="15"/>
    </row>
    <row r="427" spans="1:21">
      <c r="A427" s="8"/>
      <c r="B427" s="2" t="s">
        <v>20</v>
      </c>
      <c r="C427"/>
      <c r="D427"/>
      <c r="E427"/>
      <c r="F427"/>
      <c r="G427" s="15"/>
      <c r="H427" s="8"/>
      <c r="I427" s="2" t="s">
        <v>20</v>
      </c>
      <c r="J427"/>
      <c r="K427"/>
      <c r="L427"/>
      <c r="M427"/>
      <c r="N427" s="15"/>
      <c r="O427" s="8"/>
      <c r="P427" s="2" t="s">
        <v>20</v>
      </c>
      <c r="Q427"/>
      <c r="R427"/>
      <c r="S427"/>
      <c r="T427"/>
      <c r="U427" s="15"/>
    </row>
    <row r="428" spans="1:21">
      <c r="A428" s="8"/>
      <c r="B428" t="s">
        <v>21</v>
      </c>
      <c r="C428"/>
      <c r="D428"/>
      <c r="E428" s="2" t="s">
        <v>2</v>
      </c>
      <c r="F428" s="5">
        <v>2157600</v>
      </c>
      <c r="G428" s="15"/>
      <c r="H428" s="8"/>
      <c r="I428" t="s">
        <v>21</v>
      </c>
      <c r="J428"/>
      <c r="K428"/>
      <c r="L428" s="2" t="s">
        <v>2</v>
      </c>
      <c r="M428" s="5">
        <v>718000</v>
      </c>
      <c r="N428" s="15"/>
      <c r="O428" s="8"/>
      <c r="P428" t="s">
        <v>21</v>
      </c>
      <c r="Q428"/>
      <c r="R428"/>
      <c r="S428" s="2" t="s">
        <v>2</v>
      </c>
      <c r="T428" s="5">
        <v>2300160</v>
      </c>
      <c r="U428" s="15"/>
    </row>
    <row r="429" spans="1:21">
      <c r="A429" s="8"/>
      <c r="B429" t="s">
        <v>22</v>
      </c>
      <c r="C429"/>
      <c r="D429"/>
      <c r="E429" s="2" t="s">
        <v>2</v>
      </c>
      <c r="F429" s="5">
        <v>107880</v>
      </c>
      <c r="G429" s="15"/>
      <c r="H429" s="8"/>
      <c r="I429" t="s">
        <v>22</v>
      </c>
      <c r="J429"/>
      <c r="K429"/>
      <c r="L429" s="2" t="s">
        <v>2</v>
      </c>
      <c r="M429" s="5">
        <v>107700</v>
      </c>
      <c r="N429" s="15"/>
      <c r="O429" s="8"/>
      <c r="P429" t="s">
        <v>22</v>
      </c>
      <c r="Q429"/>
      <c r="R429"/>
      <c r="S429" s="2" t="s">
        <v>2</v>
      </c>
      <c r="T429" s="5">
        <v>107820</v>
      </c>
      <c r="U429" s="15"/>
    </row>
    <row r="430" spans="1:21">
      <c r="A430" s="8"/>
      <c r="B430" s="3" t="s">
        <v>23</v>
      </c>
      <c r="C430" s="3"/>
      <c r="D430" s="3"/>
      <c r="E430" s="4" t="s">
        <v>2</v>
      </c>
      <c r="F430" s="6">
        <v>35745</v>
      </c>
      <c r="G430" s="15"/>
      <c r="H430" s="8"/>
      <c r="I430" s="3" t="s">
        <v>23</v>
      </c>
      <c r="J430" s="3"/>
      <c r="K430" s="3"/>
      <c r="L430" s="4" t="s">
        <v>2</v>
      </c>
      <c r="M430" s="6">
        <v>35745</v>
      </c>
      <c r="N430" s="15"/>
      <c r="O430" s="8"/>
      <c r="P430" s="3" t="s">
        <v>23</v>
      </c>
      <c r="Q430" s="3"/>
      <c r="R430" s="3"/>
      <c r="S430" s="4" t="s">
        <v>2</v>
      </c>
      <c r="T430" s="6">
        <v>35745</v>
      </c>
      <c r="U430" s="15"/>
    </row>
    <row r="431" spans="1:21">
      <c r="A431" s="8"/>
      <c r="B431" t="s">
        <v>24</v>
      </c>
      <c r="C431"/>
      <c r="D431"/>
      <c r="E431" s="2" t="s">
        <v>2</v>
      </c>
      <c r="F431" s="5" t="str">
        <f>sum(f428:f430)</f>
        <v>0</v>
      </c>
      <c r="G431" s="15"/>
      <c r="H431" s="8"/>
      <c r="I431" t="s">
        <v>24</v>
      </c>
      <c r="J431"/>
      <c r="K431"/>
      <c r="L431" s="2" t="s">
        <v>2</v>
      </c>
      <c r="M431" s="5" t="str">
        <f>sum(m428:m430)</f>
        <v>0</v>
      </c>
      <c r="N431" s="15"/>
      <c r="O431" s="8"/>
      <c r="P431" t="s">
        <v>24</v>
      </c>
      <c r="Q431"/>
      <c r="R431"/>
      <c r="S431" s="2" t="s">
        <v>2</v>
      </c>
      <c r="T431" s="5" t="str">
        <f>sum(t428:t430)</f>
        <v>0</v>
      </c>
      <c r="U431" s="15"/>
    </row>
    <row r="432" spans="1:21">
      <c r="A432" s="9"/>
      <c r="B432" s="11" t="s">
        <v>25</v>
      </c>
      <c r="C432" s="11"/>
      <c r="D432" s="11"/>
      <c r="E432" s="12" t="s">
        <v>2</v>
      </c>
      <c r="F432" s="13" t="str">
        <f>sum(f422:f425)-f431</f>
        <v>0</v>
      </c>
      <c r="G432" s="16"/>
      <c r="H432" s="9"/>
      <c r="I432" s="11" t="s">
        <v>25</v>
      </c>
      <c r="J432" s="11"/>
      <c r="K432" s="11"/>
      <c r="L432" s="12" t="s">
        <v>2</v>
      </c>
      <c r="M432" s="13" t="str">
        <f>sum(m422:m425)-m431</f>
        <v>0</v>
      </c>
      <c r="N432" s="16"/>
      <c r="O432" s="9"/>
      <c r="P432" s="11" t="s">
        <v>25</v>
      </c>
      <c r="Q432" s="11"/>
      <c r="R432" s="11"/>
      <c r="S432" s="12" t="s">
        <v>2</v>
      </c>
      <c r="T432" s="13" t="str">
        <f>sum(t422:t425)-t431</f>
        <v>0</v>
      </c>
      <c r="U432" s="16"/>
    </row>
    <row r="433" spans="1:21">
      <c r="A433" s="7"/>
      <c r="B433" s="10"/>
      <c r="C433" s="10"/>
      <c r="D433" s="10"/>
      <c r="E433" s="10"/>
      <c r="F433" s="10"/>
      <c r="G433" s="14"/>
      <c r="H433" s="7"/>
      <c r="I433" s="10"/>
      <c r="J433" s="10"/>
      <c r="K433" s="10"/>
      <c r="L433" s="10"/>
      <c r="M433" s="10"/>
      <c r="N433" s="14"/>
      <c r="O433" s="7"/>
      <c r="P433" s="10"/>
      <c r="Q433" s="10"/>
      <c r="R433" s="10"/>
      <c r="S433" s="10"/>
      <c r="T433" s="10"/>
      <c r="U433" s="14"/>
    </row>
    <row r="434" spans="1:21">
      <c r="A434" s="8"/>
      <c r="B434" s="1" t="s">
        <v>0</v>
      </c>
      <c r="C434"/>
      <c r="D434"/>
      <c r="E434"/>
      <c r="F434"/>
      <c r="G434" s="15"/>
      <c r="H434" s="8"/>
      <c r="I434" s="1" t="s">
        <v>0</v>
      </c>
      <c r="J434"/>
      <c r="K434"/>
      <c r="L434"/>
      <c r="M434"/>
      <c r="N434" s="15"/>
      <c r="O434" s="8"/>
      <c r="P434" s="1" t="s">
        <v>0</v>
      </c>
      <c r="Q434"/>
      <c r="R434"/>
      <c r="S434"/>
      <c r="T434"/>
      <c r="U434" s="15"/>
    </row>
    <row r="435" spans="1:21">
      <c r="A435" s="8"/>
      <c r="B435" t="s">
        <v>1</v>
      </c>
      <c r="C435" s="2" t="s">
        <v>2</v>
      </c>
      <c r="D435" t="s">
        <v>157</v>
      </c>
      <c r="E435"/>
      <c r="F435"/>
      <c r="G435" s="15"/>
      <c r="H435" s="8"/>
      <c r="I435" t="s">
        <v>1</v>
      </c>
      <c r="J435" s="2" t="s">
        <v>2</v>
      </c>
      <c r="K435" t="s">
        <v>158</v>
      </c>
      <c r="L435"/>
      <c r="M435"/>
      <c r="N435" s="15"/>
      <c r="O435" s="8"/>
      <c r="P435" t="s">
        <v>1</v>
      </c>
      <c r="Q435" s="2" t="s">
        <v>2</v>
      </c>
      <c r="R435" t="s">
        <v>159</v>
      </c>
      <c r="S435"/>
      <c r="T435"/>
      <c r="U435" s="15"/>
    </row>
    <row r="436" spans="1:21">
      <c r="A436" s="8"/>
      <c r="B436" t="s">
        <v>6</v>
      </c>
      <c r="C436" s="2" t="s">
        <v>2</v>
      </c>
      <c r="D436" t="s">
        <v>160</v>
      </c>
      <c r="E436"/>
      <c r="F436"/>
      <c r="G436" s="15"/>
      <c r="H436" s="8"/>
      <c r="I436" t="s">
        <v>6</v>
      </c>
      <c r="J436" s="2" t="s">
        <v>2</v>
      </c>
      <c r="K436" t="s">
        <v>161</v>
      </c>
      <c r="L436"/>
      <c r="M436"/>
      <c r="N436" s="15"/>
      <c r="O436" s="8"/>
      <c r="P436" t="s">
        <v>6</v>
      </c>
      <c r="Q436" s="2" t="s">
        <v>2</v>
      </c>
      <c r="R436" t="s">
        <v>162</v>
      </c>
      <c r="S436"/>
      <c r="T436"/>
      <c r="U436" s="15"/>
    </row>
    <row r="437" spans="1:21">
      <c r="A437" s="8"/>
      <c r="B437" t="s">
        <v>10</v>
      </c>
      <c r="C437" s="2" t="s">
        <v>2</v>
      </c>
      <c r="D437" t="s">
        <v>163</v>
      </c>
      <c r="E437"/>
      <c r="F437"/>
      <c r="G437" s="15"/>
      <c r="H437" s="8"/>
      <c r="I437" t="s">
        <v>10</v>
      </c>
      <c r="J437" s="2" t="s">
        <v>2</v>
      </c>
      <c r="K437" t="s">
        <v>163</v>
      </c>
      <c r="L437"/>
      <c r="M437"/>
      <c r="N437" s="15"/>
      <c r="O437" s="8"/>
      <c r="P437" t="s">
        <v>10</v>
      </c>
      <c r="Q437" s="2" t="s">
        <v>2</v>
      </c>
      <c r="R437" t="s">
        <v>163</v>
      </c>
      <c r="S437"/>
      <c r="T437"/>
      <c r="U437" s="15"/>
    </row>
    <row r="438" spans="1:21">
      <c r="A438" s="8"/>
      <c r="B438" t="s">
        <v>12</v>
      </c>
      <c r="C438" s="2" t="s">
        <v>2</v>
      </c>
      <c r="D438" t="s">
        <v>13</v>
      </c>
      <c r="E438"/>
      <c r="F438"/>
      <c r="G438" s="15"/>
      <c r="H438" s="8"/>
      <c r="I438" t="s">
        <v>12</v>
      </c>
      <c r="J438" s="2" t="s">
        <v>2</v>
      </c>
      <c r="K438" t="s">
        <v>13</v>
      </c>
      <c r="L438"/>
      <c r="M438"/>
      <c r="N438" s="15"/>
      <c r="O438" s="8"/>
      <c r="P438" t="s">
        <v>12</v>
      </c>
      <c r="Q438" s="2" t="s">
        <v>2</v>
      </c>
      <c r="R438" t="s">
        <v>13</v>
      </c>
      <c r="S438"/>
      <c r="T438"/>
      <c r="U438" s="15"/>
    </row>
    <row r="439" spans="1:21">
      <c r="A439" s="8"/>
      <c r="B439" s="3" t="s">
        <v>14</v>
      </c>
      <c r="C439" s="4" t="s">
        <v>2</v>
      </c>
      <c r="D439" s="3" t="s">
        <v>15</v>
      </c>
      <c r="E439" s="3"/>
      <c r="F439" s="3"/>
      <c r="G439" s="15"/>
      <c r="H439" s="8"/>
      <c r="I439" s="3" t="s">
        <v>14</v>
      </c>
      <c r="J439" s="4" t="s">
        <v>2</v>
      </c>
      <c r="K439" s="3" t="s">
        <v>15</v>
      </c>
      <c r="L439" s="3"/>
      <c r="M439" s="3"/>
      <c r="N439" s="15"/>
      <c r="O439" s="8"/>
      <c r="P439" s="3" t="s">
        <v>14</v>
      </c>
      <c r="Q439" s="4" t="s">
        <v>2</v>
      </c>
      <c r="R439" s="3" t="s">
        <v>15</v>
      </c>
      <c r="S439" s="3"/>
      <c r="T439" s="3"/>
      <c r="U439" s="15"/>
    </row>
    <row r="440" spans="1:21">
      <c r="A440" s="8"/>
      <c r="B440" t="s">
        <v>16</v>
      </c>
      <c r="C440"/>
      <c r="D440"/>
      <c r="E440" s="2" t="s">
        <v>2</v>
      </c>
      <c r="F440" s="5">
        <v>3594000</v>
      </c>
      <c r="G440" s="15"/>
      <c r="H440" s="8"/>
      <c r="I440" t="s">
        <v>16</v>
      </c>
      <c r="J440"/>
      <c r="K440"/>
      <c r="L440" s="2" t="s">
        <v>2</v>
      </c>
      <c r="M440" s="5">
        <v>3594000</v>
      </c>
      <c r="N440" s="15"/>
      <c r="O440" s="8"/>
      <c r="P440" t="s">
        <v>16</v>
      </c>
      <c r="Q440"/>
      <c r="R440"/>
      <c r="S440" s="2" t="s">
        <v>2</v>
      </c>
      <c r="T440" s="5">
        <v>3594000</v>
      </c>
      <c r="U440" s="15"/>
    </row>
    <row r="441" spans="1:21">
      <c r="A441" s="8"/>
      <c r="B441" t="s">
        <v>17</v>
      </c>
      <c r="C441"/>
      <c r="D441"/>
      <c r="E441" s="2" t="s">
        <v>2</v>
      </c>
      <c r="F441" s="5">
        <v>0</v>
      </c>
      <c r="G441" s="15"/>
      <c r="H441" s="8"/>
      <c r="I441" t="s">
        <v>17</v>
      </c>
      <c r="J441"/>
      <c r="K441"/>
      <c r="L441" s="2" t="s">
        <v>2</v>
      </c>
      <c r="M441" s="5">
        <v>80000</v>
      </c>
      <c r="N441" s="15"/>
      <c r="O441" s="8"/>
      <c r="P441" t="s">
        <v>17</v>
      </c>
      <c r="Q441"/>
      <c r="R441"/>
      <c r="S441" s="2" t="s">
        <v>2</v>
      </c>
      <c r="T441" s="5">
        <v>0</v>
      </c>
      <c r="U441" s="15"/>
    </row>
    <row r="442" spans="1:21">
      <c r="A442" s="8"/>
      <c r="B442" t="s">
        <v>18</v>
      </c>
      <c r="C442"/>
      <c r="D442"/>
      <c r="E442" s="2" t="s">
        <v>2</v>
      </c>
      <c r="F442" s="5">
        <v>0</v>
      </c>
      <c r="G442" s="15"/>
      <c r="H442" s="8"/>
      <c r="I442" t="s">
        <v>18</v>
      </c>
      <c r="J442"/>
      <c r="K442"/>
      <c r="L442" s="2" t="s">
        <v>2</v>
      </c>
      <c r="M442" s="5">
        <v>0</v>
      </c>
      <c r="N442" s="15"/>
      <c r="O442" s="8"/>
      <c r="P442" t="s">
        <v>18</v>
      </c>
      <c r="Q442"/>
      <c r="R442"/>
      <c r="S442" s="2" t="s">
        <v>2</v>
      </c>
      <c r="T442" s="5">
        <v>0</v>
      </c>
      <c r="U442" s="15"/>
    </row>
    <row r="443" spans="1:21">
      <c r="A443" s="8"/>
      <c r="B443" t="s">
        <v>19</v>
      </c>
      <c r="C443"/>
      <c r="D443"/>
      <c r="E443" s="2" t="s">
        <v>2</v>
      </c>
      <c r="F443" s="5">
        <v>0</v>
      </c>
      <c r="G443" s="15"/>
      <c r="H443" s="8"/>
      <c r="I443" t="s">
        <v>19</v>
      </c>
      <c r="J443"/>
      <c r="K443"/>
      <c r="L443" s="2" t="s">
        <v>2</v>
      </c>
      <c r="M443" s="5">
        <v>0</v>
      </c>
      <c r="N443" s="15"/>
      <c r="O443" s="8"/>
      <c r="P443" t="s">
        <v>19</v>
      </c>
      <c r="Q443"/>
      <c r="R443"/>
      <c r="S443" s="2" t="s">
        <v>2</v>
      </c>
      <c r="T443" s="5">
        <v>0</v>
      </c>
      <c r="U443" s="15"/>
    </row>
    <row r="444" spans="1:21">
      <c r="A444" s="8"/>
      <c r="B444"/>
      <c r="C444"/>
      <c r="D444"/>
      <c r="E444"/>
      <c r="F444"/>
      <c r="G444" s="15"/>
      <c r="H444" s="8"/>
      <c r="I444"/>
      <c r="J444"/>
      <c r="K444"/>
      <c r="L444"/>
      <c r="M444"/>
      <c r="N444" s="15"/>
      <c r="O444" s="8"/>
      <c r="P444"/>
      <c r="Q444"/>
      <c r="R444"/>
      <c r="S444"/>
      <c r="T444"/>
      <c r="U444" s="15"/>
    </row>
    <row r="445" spans="1:21">
      <c r="A445" s="8"/>
      <c r="B445" s="2" t="s">
        <v>20</v>
      </c>
      <c r="C445"/>
      <c r="D445"/>
      <c r="E445"/>
      <c r="F445"/>
      <c r="G445" s="15"/>
      <c r="H445" s="8"/>
      <c r="I445" s="2" t="s">
        <v>20</v>
      </c>
      <c r="J445"/>
      <c r="K445"/>
      <c r="L445"/>
      <c r="M445"/>
      <c r="N445" s="15"/>
      <c r="O445" s="8"/>
      <c r="P445" s="2" t="s">
        <v>20</v>
      </c>
      <c r="Q445"/>
      <c r="R445"/>
      <c r="S445"/>
      <c r="T445"/>
      <c r="U445" s="15"/>
    </row>
    <row r="446" spans="1:21">
      <c r="A446" s="8"/>
      <c r="B446" t="s">
        <v>21</v>
      </c>
      <c r="C446"/>
      <c r="D446"/>
      <c r="E446" s="2" t="s">
        <v>2</v>
      </c>
      <c r="F446" s="5">
        <v>1497500</v>
      </c>
      <c r="G446" s="15"/>
      <c r="H446" s="8"/>
      <c r="I446" t="s">
        <v>21</v>
      </c>
      <c r="J446"/>
      <c r="K446"/>
      <c r="L446" s="2" t="s">
        <v>2</v>
      </c>
      <c r="M446" s="5">
        <v>1557400</v>
      </c>
      <c r="N446" s="15"/>
      <c r="O446" s="8"/>
      <c r="P446" t="s">
        <v>21</v>
      </c>
      <c r="Q446"/>
      <c r="R446"/>
      <c r="S446" s="2" t="s">
        <v>2</v>
      </c>
      <c r="T446" s="5">
        <v>1557400</v>
      </c>
      <c r="U446" s="15"/>
    </row>
    <row r="447" spans="1:21">
      <c r="A447" s="8"/>
      <c r="B447" t="s">
        <v>22</v>
      </c>
      <c r="C447"/>
      <c r="D447"/>
      <c r="E447" s="2" t="s">
        <v>2</v>
      </c>
      <c r="F447" s="5">
        <v>107820</v>
      </c>
      <c r="G447" s="15"/>
      <c r="H447" s="8"/>
      <c r="I447" t="s">
        <v>22</v>
      </c>
      <c r="J447"/>
      <c r="K447"/>
      <c r="L447" s="2" t="s">
        <v>2</v>
      </c>
      <c r="M447" s="5">
        <v>107820</v>
      </c>
      <c r="N447" s="15"/>
      <c r="O447" s="8"/>
      <c r="P447" t="s">
        <v>22</v>
      </c>
      <c r="Q447"/>
      <c r="R447"/>
      <c r="S447" s="2" t="s">
        <v>2</v>
      </c>
      <c r="T447" s="5">
        <v>107820</v>
      </c>
      <c r="U447" s="15"/>
    </row>
    <row r="448" spans="1:21">
      <c r="A448" s="8"/>
      <c r="B448" s="3" t="s">
        <v>23</v>
      </c>
      <c r="C448" s="3"/>
      <c r="D448" s="3"/>
      <c r="E448" s="4" t="s">
        <v>2</v>
      </c>
      <c r="F448" s="6">
        <v>35745</v>
      </c>
      <c r="G448" s="15"/>
      <c r="H448" s="8"/>
      <c r="I448" s="3" t="s">
        <v>23</v>
      </c>
      <c r="J448" s="3"/>
      <c r="K448" s="3"/>
      <c r="L448" s="4" t="s">
        <v>2</v>
      </c>
      <c r="M448" s="6">
        <v>35745</v>
      </c>
      <c r="N448" s="15"/>
      <c r="O448" s="8"/>
      <c r="P448" s="3" t="s">
        <v>23</v>
      </c>
      <c r="Q448" s="3"/>
      <c r="R448" s="3"/>
      <c r="S448" s="4" t="s">
        <v>2</v>
      </c>
      <c r="T448" s="6">
        <v>35745</v>
      </c>
      <c r="U448" s="15"/>
    </row>
    <row r="449" spans="1:21">
      <c r="A449" s="8"/>
      <c r="B449" t="s">
        <v>24</v>
      </c>
      <c r="C449"/>
      <c r="D449"/>
      <c r="E449" s="2" t="s">
        <v>2</v>
      </c>
      <c r="F449" s="5" t="str">
        <f>sum(f446:f448)</f>
        <v>0</v>
      </c>
      <c r="G449" s="15"/>
      <c r="H449" s="8"/>
      <c r="I449" t="s">
        <v>24</v>
      </c>
      <c r="J449"/>
      <c r="K449"/>
      <c r="L449" s="2" t="s">
        <v>2</v>
      </c>
      <c r="M449" s="5" t="str">
        <f>sum(m446:m448)</f>
        <v>0</v>
      </c>
      <c r="N449" s="15"/>
      <c r="O449" s="8"/>
      <c r="P449" t="s">
        <v>24</v>
      </c>
      <c r="Q449"/>
      <c r="R449"/>
      <c r="S449" s="2" t="s">
        <v>2</v>
      </c>
      <c r="T449" s="5" t="str">
        <f>sum(t446:t448)</f>
        <v>0</v>
      </c>
      <c r="U449" s="15"/>
    </row>
    <row r="450" spans="1:21">
      <c r="A450" s="9"/>
      <c r="B450" s="11" t="s">
        <v>25</v>
      </c>
      <c r="C450" s="11"/>
      <c r="D450" s="11"/>
      <c r="E450" s="12" t="s">
        <v>2</v>
      </c>
      <c r="F450" s="13" t="str">
        <f>sum(f440:f443)-f449</f>
        <v>0</v>
      </c>
      <c r="G450" s="16"/>
      <c r="H450" s="9"/>
      <c r="I450" s="11" t="s">
        <v>25</v>
      </c>
      <c r="J450" s="11"/>
      <c r="K450" s="11"/>
      <c r="L450" s="12" t="s">
        <v>2</v>
      </c>
      <c r="M450" s="13" t="str">
        <f>sum(m440:m443)-m449</f>
        <v>0</v>
      </c>
      <c r="N450" s="16"/>
      <c r="O450" s="9"/>
      <c r="P450" s="11" t="s">
        <v>25</v>
      </c>
      <c r="Q450" s="11"/>
      <c r="R450" s="11"/>
      <c r="S450" s="12" t="s">
        <v>2</v>
      </c>
      <c r="T450" s="13" t="str">
        <f>sum(t440:t443)-t449</f>
        <v>0</v>
      </c>
      <c r="U450" s="16"/>
    </row>
    <row r="451" spans="1:21">
      <c r="A451" s="7"/>
      <c r="B451" s="10"/>
      <c r="C451" s="10"/>
      <c r="D451" s="10"/>
      <c r="E451" s="10"/>
      <c r="F451" s="10"/>
      <c r="G451" s="14"/>
      <c r="H451" s="7"/>
      <c r="I451" s="10"/>
      <c r="J451" s="10"/>
      <c r="K451" s="10"/>
      <c r="L451" s="10"/>
      <c r="M451" s="10"/>
      <c r="N451" s="14"/>
      <c r="O451" s="7"/>
      <c r="P451" s="10"/>
      <c r="Q451" s="10"/>
      <c r="R451" s="10"/>
      <c r="S451" s="10"/>
      <c r="T451" s="10"/>
      <c r="U451" s="14"/>
    </row>
    <row r="452" spans="1:21">
      <c r="A452" s="8"/>
      <c r="B452" s="1" t="s">
        <v>0</v>
      </c>
      <c r="C452"/>
      <c r="D452"/>
      <c r="E452"/>
      <c r="F452"/>
      <c r="G452" s="15"/>
      <c r="H452" s="8"/>
      <c r="I452" s="1" t="s">
        <v>0</v>
      </c>
      <c r="J452"/>
      <c r="K452"/>
      <c r="L452"/>
      <c r="M452"/>
      <c r="N452" s="15"/>
      <c r="O452" s="8"/>
      <c r="P452" s="1" t="s">
        <v>0</v>
      </c>
      <c r="Q452"/>
      <c r="R452"/>
      <c r="S452"/>
      <c r="T452"/>
      <c r="U452" s="15"/>
    </row>
    <row r="453" spans="1:21">
      <c r="A453" s="8"/>
      <c r="B453" t="s">
        <v>1</v>
      </c>
      <c r="C453" s="2" t="s">
        <v>2</v>
      </c>
      <c r="D453" t="s">
        <v>164</v>
      </c>
      <c r="E453"/>
      <c r="F453"/>
      <c r="G453" s="15"/>
      <c r="H453" s="8"/>
      <c r="I453" t="s">
        <v>1</v>
      </c>
      <c r="J453" s="2" t="s">
        <v>2</v>
      </c>
      <c r="K453" t="s">
        <v>165</v>
      </c>
      <c r="L453"/>
      <c r="M453"/>
      <c r="N453" s="15"/>
      <c r="O453" s="8"/>
      <c r="P453" t="s">
        <v>1</v>
      </c>
      <c r="Q453" s="2" t="s">
        <v>2</v>
      </c>
      <c r="R453" t="s">
        <v>166</v>
      </c>
      <c r="S453"/>
      <c r="T453"/>
      <c r="U453" s="15"/>
    </row>
    <row r="454" spans="1:21">
      <c r="A454" s="8"/>
      <c r="B454" t="s">
        <v>6</v>
      </c>
      <c r="C454" s="2" t="s">
        <v>2</v>
      </c>
      <c r="D454" t="s">
        <v>167</v>
      </c>
      <c r="E454"/>
      <c r="F454"/>
      <c r="G454" s="15"/>
      <c r="H454" s="8"/>
      <c r="I454" t="s">
        <v>6</v>
      </c>
      <c r="J454" s="2" t="s">
        <v>2</v>
      </c>
      <c r="K454" t="s">
        <v>168</v>
      </c>
      <c r="L454"/>
      <c r="M454"/>
      <c r="N454" s="15"/>
      <c r="O454" s="8"/>
      <c r="P454" t="s">
        <v>6</v>
      </c>
      <c r="Q454" s="2" t="s">
        <v>2</v>
      </c>
      <c r="R454" t="s">
        <v>169</v>
      </c>
      <c r="S454"/>
      <c r="T454"/>
      <c r="U454" s="15"/>
    </row>
    <row r="455" spans="1:21">
      <c r="A455" s="8"/>
      <c r="B455" t="s">
        <v>10</v>
      </c>
      <c r="C455" s="2" t="s">
        <v>2</v>
      </c>
      <c r="D455" t="s">
        <v>170</v>
      </c>
      <c r="E455"/>
      <c r="F455"/>
      <c r="G455" s="15"/>
      <c r="H455" s="8"/>
      <c r="I455" t="s">
        <v>10</v>
      </c>
      <c r="J455" s="2" t="s">
        <v>2</v>
      </c>
      <c r="K455" t="s">
        <v>170</v>
      </c>
      <c r="L455"/>
      <c r="M455"/>
      <c r="N455" s="15"/>
      <c r="O455" s="8"/>
      <c r="P455" t="s">
        <v>10</v>
      </c>
      <c r="Q455" s="2" t="s">
        <v>2</v>
      </c>
      <c r="R455" t="s">
        <v>171</v>
      </c>
      <c r="S455"/>
      <c r="T455"/>
      <c r="U455" s="15"/>
    </row>
    <row r="456" spans="1:21">
      <c r="A456" s="8"/>
      <c r="B456" t="s">
        <v>12</v>
      </c>
      <c r="C456" s="2" t="s">
        <v>2</v>
      </c>
      <c r="D456" t="s">
        <v>13</v>
      </c>
      <c r="E456"/>
      <c r="F456"/>
      <c r="G456" s="15"/>
      <c r="H456" s="8"/>
      <c r="I456" t="s">
        <v>12</v>
      </c>
      <c r="J456" s="2" t="s">
        <v>2</v>
      </c>
      <c r="K456" t="s">
        <v>13</v>
      </c>
      <c r="L456"/>
      <c r="M456"/>
      <c r="N456" s="15"/>
      <c r="O456" s="8"/>
      <c r="P456" t="s">
        <v>12</v>
      </c>
      <c r="Q456" s="2" t="s">
        <v>2</v>
      </c>
      <c r="R456" t="s">
        <v>13</v>
      </c>
      <c r="S456"/>
      <c r="T456"/>
      <c r="U456" s="15"/>
    </row>
    <row r="457" spans="1:21">
      <c r="A457" s="8"/>
      <c r="B457" s="3" t="s">
        <v>14</v>
      </c>
      <c r="C457" s="4" t="s">
        <v>2</v>
      </c>
      <c r="D457" s="3" t="s">
        <v>15</v>
      </c>
      <c r="E457" s="3"/>
      <c r="F457" s="3"/>
      <c r="G457" s="15"/>
      <c r="H457" s="8"/>
      <c r="I457" s="3" t="s">
        <v>14</v>
      </c>
      <c r="J457" s="4" t="s">
        <v>2</v>
      </c>
      <c r="K457" s="3" t="s">
        <v>15</v>
      </c>
      <c r="L457" s="3"/>
      <c r="M457" s="3"/>
      <c r="N457" s="15"/>
      <c r="O457" s="8"/>
      <c r="P457" s="3" t="s">
        <v>14</v>
      </c>
      <c r="Q457" s="4" t="s">
        <v>2</v>
      </c>
      <c r="R457" s="3" t="s">
        <v>15</v>
      </c>
      <c r="S457" s="3"/>
      <c r="T457" s="3"/>
      <c r="U457" s="15"/>
    </row>
    <row r="458" spans="1:21">
      <c r="A458" s="8"/>
      <c r="B458" t="s">
        <v>16</v>
      </c>
      <c r="C458"/>
      <c r="D458"/>
      <c r="E458" s="2" t="s">
        <v>2</v>
      </c>
      <c r="F458" s="5">
        <v>3589000</v>
      </c>
      <c r="G458" s="15"/>
      <c r="H458" s="8"/>
      <c r="I458" t="s">
        <v>16</v>
      </c>
      <c r="J458"/>
      <c r="K458"/>
      <c r="L458" s="2" t="s">
        <v>2</v>
      </c>
      <c r="M458" s="5">
        <v>3597000</v>
      </c>
      <c r="N458" s="15"/>
      <c r="O458" s="8"/>
      <c r="P458" t="s">
        <v>16</v>
      </c>
      <c r="Q458"/>
      <c r="R458"/>
      <c r="S458" s="2" t="s">
        <v>2</v>
      </c>
      <c r="T458" s="5">
        <v>3596000</v>
      </c>
      <c r="U458" s="15"/>
    </row>
    <row r="459" spans="1:21">
      <c r="A459" s="8"/>
      <c r="B459" t="s">
        <v>17</v>
      </c>
      <c r="C459"/>
      <c r="D459"/>
      <c r="E459" s="2" t="s">
        <v>2</v>
      </c>
      <c r="F459" s="5">
        <v>25000</v>
      </c>
      <c r="G459" s="15"/>
      <c r="H459" s="8"/>
      <c r="I459" t="s">
        <v>17</v>
      </c>
      <c r="J459"/>
      <c r="K459"/>
      <c r="L459" s="2" t="s">
        <v>2</v>
      </c>
      <c r="M459" s="5">
        <v>0</v>
      </c>
      <c r="N459" s="15"/>
      <c r="O459" s="8"/>
      <c r="P459" t="s">
        <v>17</v>
      </c>
      <c r="Q459"/>
      <c r="R459"/>
      <c r="S459" s="2" t="s">
        <v>2</v>
      </c>
      <c r="T459" s="5">
        <v>80000</v>
      </c>
      <c r="U459" s="15"/>
    </row>
    <row r="460" spans="1:21">
      <c r="A460" s="8"/>
      <c r="B460" t="s">
        <v>18</v>
      </c>
      <c r="C460"/>
      <c r="D460"/>
      <c r="E460" s="2" t="s">
        <v>2</v>
      </c>
      <c r="F460" s="5">
        <v>0</v>
      </c>
      <c r="G460" s="15"/>
      <c r="H460" s="8"/>
      <c r="I460" t="s">
        <v>18</v>
      </c>
      <c r="J460"/>
      <c r="K460"/>
      <c r="L460" s="2" t="s">
        <v>2</v>
      </c>
      <c r="M460" s="5">
        <v>0</v>
      </c>
      <c r="N460" s="15"/>
      <c r="O460" s="8"/>
      <c r="P460" t="s">
        <v>18</v>
      </c>
      <c r="Q460"/>
      <c r="R460"/>
      <c r="S460" s="2" t="s">
        <v>2</v>
      </c>
      <c r="T460" s="5">
        <v>0</v>
      </c>
      <c r="U460" s="15"/>
    </row>
    <row r="461" spans="1:21">
      <c r="A461" s="8"/>
      <c r="B461" t="s">
        <v>19</v>
      </c>
      <c r="C461"/>
      <c r="D461"/>
      <c r="E461" s="2" t="s">
        <v>2</v>
      </c>
      <c r="F461" s="5">
        <v>22000</v>
      </c>
      <c r="G461" s="15"/>
      <c r="H461" s="8"/>
      <c r="I461" t="s">
        <v>19</v>
      </c>
      <c r="J461"/>
      <c r="K461"/>
      <c r="L461" s="2" t="s">
        <v>2</v>
      </c>
      <c r="M461" s="5">
        <v>12000</v>
      </c>
      <c r="N461" s="15"/>
      <c r="O461" s="8"/>
      <c r="P461" t="s">
        <v>19</v>
      </c>
      <c r="Q461"/>
      <c r="R461"/>
      <c r="S461" s="2" t="s">
        <v>2</v>
      </c>
      <c r="T461" s="5">
        <v>4000</v>
      </c>
      <c r="U461" s="15"/>
    </row>
    <row r="462" spans="1:21">
      <c r="A462" s="8"/>
      <c r="B462"/>
      <c r="C462"/>
      <c r="D462"/>
      <c r="E462"/>
      <c r="F462"/>
      <c r="G462" s="15"/>
      <c r="H462" s="8"/>
      <c r="I462"/>
      <c r="J462"/>
      <c r="K462"/>
      <c r="L462"/>
      <c r="M462"/>
      <c r="N462" s="15"/>
      <c r="O462" s="8"/>
      <c r="P462"/>
      <c r="Q462"/>
      <c r="R462"/>
      <c r="S462"/>
      <c r="T462"/>
      <c r="U462" s="15"/>
    </row>
    <row r="463" spans="1:21">
      <c r="A463" s="8"/>
      <c r="B463" s="2" t="s">
        <v>20</v>
      </c>
      <c r="C463"/>
      <c r="D463"/>
      <c r="E463"/>
      <c r="F463"/>
      <c r="G463" s="15"/>
      <c r="H463" s="8"/>
      <c r="I463" s="2" t="s">
        <v>20</v>
      </c>
      <c r="J463"/>
      <c r="K463"/>
      <c r="L463"/>
      <c r="M463"/>
      <c r="N463" s="15"/>
      <c r="O463" s="8"/>
      <c r="P463" s="2" t="s">
        <v>20</v>
      </c>
      <c r="Q463"/>
      <c r="R463"/>
      <c r="S463"/>
      <c r="T463"/>
      <c r="U463" s="15"/>
    </row>
    <row r="464" spans="1:21">
      <c r="A464" s="8"/>
      <c r="B464" t="s">
        <v>21</v>
      </c>
      <c r="C464"/>
      <c r="D464"/>
      <c r="E464" s="2" t="s">
        <v>2</v>
      </c>
      <c r="F464" s="5">
        <v>239266.67</v>
      </c>
      <c r="G464" s="15"/>
      <c r="H464" s="8"/>
      <c r="I464" t="s">
        <v>21</v>
      </c>
      <c r="J464"/>
      <c r="K464"/>
      <c r="L464" s="2" t="s">
        <v>2</v>
      </c>
      <c r="M464" s="5">
        <v>719400</v>
      </c>
      <c r="N464" s="15"/>
      <c r="O464" s="8"/>
      <c r="P464" t="s">
        <v>21</v>
      </c>
      <c r="Q464"/>
      <c r="R464"/>
      <c r="S464" s="2" t="s">
        <v>2</v>
      </c>
      <c r="T464" s="5">
        <v>1917866.62</v>
      </c>
      <c r="U464" s="15"/>
    </row>
    <row r="465" spans="1:21">
      <c r="A465" s="8"/>
      <c r="B465" t="s">
        <v>22</v>
      </c>
      <c r="C465"/>
      <c r="D465"/>
      <c r="E465" s="2" t="s">
        <v>2</v>
      </c>
      <c r="F465" s="5">
        <v>107670</v>
      </c>
      <c r="G465" s="15"/>
      <c r="H465" s="8"/>
      <c r="I465" t="s">
        <v>22</v>
      </c>
      <c r="J465"/>
      <c r="K465"/>
      <c r="L465" s="2" t="s">
        <v>2</v>
      </c>
      <c r="M465" s="5">
        <v>107910</v>
      </c>
      <c r="N465" s="15"/>
      <c r="O465" s="8"/>
      <c r="P465" t="s">
        <v>22</v>
      </c>
      <c r="Q465"/>
      <c r="R465"/>
      <c r="S465" s="2" t="s">
        <v>2</v>
      </c>
      <c r="T465" s="5">
        <v>107880</v>
      </c>
      <c r="U465" s="15"/>
    </row>
    <row r="466" spans="1:21">
      <c r="A466" s="8"/>
      <c r="B466" s="3" t="s">
        <v>23</v>
      </c>
      <c r="C466" s="3"/>
      <c r="D466" s="3"/>
      <c r="E466" s="4" t="s">
        <v>2</v>
      </c>
      <c r="F466" s="6">
        <v>35745</v>
      </c>
      <c r="G466" s="15"/>
      <c r="H466" s="8"/>
      <c r="I466" s="3" t="s">
        <v>23</v>
      </c>
      <c r="J466" s="3"/>
      <c r="K466" s="3"/>
      <c r="L466" s="4" t="s">
        <v>2</v>
      </c>
      <c r="M466" s="6">
        <v>35745</v>
      </c>
      <c r="N466" s="15"/>
      <c r="O466" s="8"/>
      <c r="P466" s="3" t="s">
        <v>23</v>
      </c>
      <c r="Q466" s="3"/>
      <c r="R466" s="3"/>
      <c r="S466" s="4" t="s">
        <v>2</v>
      </c>
      <c r="T466" s="6">
        <v>35745</v>
      </c>
      <c r="U466" s="15"/>
    </row>
    <row r="467" spans="1:21">
      <c r="A467" s="8"/>
      <c r="B467" t="s">
        <v>24</v>
      </c>
      <c r="C467"/>
      <c r="D467"/>
      <c r="E467" s="2" t="s">
        <v>2</v>
      </c>
      <c r="F467" s="5" t="str">
        <f>sum(f464:f466)</f>
        <v>0</v>
      </c>
      <c r="G467" s="15"/>
      <c r="H467" s="8"/>
      <c r="I467" t="s">
        <v>24</v>
      </c>
      <c r="J467"/>
      <c r="K467"/>
      <c r="L467" s="2" t="s">
        <v>2</v>
      </c>
      <c r="M467" s="5" t="str">
        <f>sum(m464:m466)</f>
        <v>0</v>
      </c>
      <c r="N467" s="15"/>
      <c r="O467" s="8"/>
      <c r="P467" t="s">
        <v>24</v>
      </c>
      <c r="Q467"/>
      <c r="R467"/>
      <c r="S467" s="2" t="s">
        <v>2</v>
      </c>
      <c r="T467" s="5" t="str">
        <f>sum(t464:t466)</f>
        <v>0</v>
      </c>
      <c r="U467" s="15"/>
    </row>
    <row r="468" spans="1:21">
      <c r="A468" s="9"/>
      <c r="B468" s="11" t="s">
        <v>25</v>
      </c>
      <c r="C468" s="11"/>
      <c r="D468" s="11"/>
      <c r="E468" s="12" t="s">
        <v>2</v>
      </c>
      <c r="F468" s="13" t="str">
        <f>sum(f458:f461)-f467</f>
        <v>0</v>
      </c>
      <c r="G468" s="16"/>
      <c r="H468" s="9"/>
      <c r="I468" s="11" t="s">
        <v>25</v>
      </c>
      <c r="J468" s="11"/>
      <c r="K468" s="11"/>
      <c r="L468" s="12" t="s">
        <v>2</v>
      </c>
      <c r="M468" s="13" t="str">
        <f>sum(m458:m461)-m467</f>
        <v>0</v>
      </c>
      <c r="N468" s="16"/>
      <c r="O468" s="9"/>
      <c r="P468" s="11" t="s">
        <v>25</v>
      </c>
      <c r="Q468" s="11"/>
      <c r="R468" s="11"/>
      <c r="S468" s="12" t="s">
        <v>2</v>
      </c>
      <c r="T468" s="13" t="str">
        <f>sum(t458:t461)-t467</f>
        <v>0</v>
      </c>
      <c r="U468" s="16"/>
    </row>
    <row r="469" spans="1:21">
      <c r="A469" s="7"/>
      <c r="B469" s="10"/>
      <c r="C469" s="10"/>
      <c r="D469" s="10"/>
      <c r="E469" s="10"/>
      <c r="F469" s="10"/>
      <c r="G469" s="14"/>
      <c r="H469" s="7"/>
      <c r="I469" s="10"/>
      <c r="J469" s="10"/>
      <c r="K469" s="10"/>
      <c r="L469" s="10"/>
      <c r="M469" s="10"/>
      <c r="N469" s="14"/>
      <c r="O469" s="7"/>
      <c r="P469" s="10"/>
      <c r="Q469" s="10"/>
      <c r="R469" s="10"/>
      <c r="S469" s="10"/>
      <c r="T469" s="10"/>
      <c r="U469" s="14"/>
    </row>
    <row r="470" spans="1:21">
      <c r="A470" s="8"/>
      <c r="B470" s="1" t="s">
        <v>0</v>
      </c>
      <c r="C470"/>
      <c r="D470"/>
      <c r="E470"/>
      <c r="F470"/>
      <c r="G470" s="15"/>
      <c r="H470" s="8"/>
      <c r="I470" s="1" t="s">
        <v>0</v>
      </c>
      <c r="J470"/>
      <c r="K470"/>
      <c r="L470"/>
      <c r="M470"/>
      <c r="N470" s="15"/>
      <c r="O470" s="8"/>
      <c r="P470" s="1" t="s">
        <v>0</v>
      </c>
      <c r="Q470"/>
      <c r="R470"/>
      <c r="S470"/>
      <c r="T470"/>
      <c r="U470" s="15"/>
    </row>
    <row r="471" spans="1:21">
      <c r="A471" s="8"/>
      <c r="B471" t="s">
        <v>1</v>
      </c>
      <c r="C471" s="2" t="s">
        <v>2</v>
      </c>
      <c r="D471" t="s">
        <v>172</v>
      </c>
      <c r="E471"/>
      <c r="F471"/>
      <c r="G471" s="15"/>
      <c r="H471" s="8"/>
      <c r="I471" t="s">
        <v>1</v>
      </c>
      <c r="J471" s="2" t="s">
        <v>2</v>
      </c>
      <c r="K471" t="s">
        <v>173</v>
      </c>
      <c r="L471"/>
      <c r="M471"/>
      <c r="N471" s="15"/>
      <c r="O471" s="8"/>
      <c r="P471" t="s">
        <v>1</v>
      </c>
      <c r="Q471" s="2" t="s">
        <v>2</v>
      </c>
      <c r="R471" t="s">
        <v>174</v>
      </c>
      <c r="S471"/>
      <c r="T471"/>
      <c r="U471" s="15"/>
    </row>
    <row r="472" spans="1:21">
      <c r="A472" s="8"/>
      <c r="B472" t="s">
        <v>6</v>
      </c>
      <c r="C472" s="2" t="s">
        <v>2</v>
      </c>
      <c r="D472" t="s">
        <v>175</v>
      </c>
      <c r="E472"/>
      <c r="F472"/>
      <c r="G472" s="15"/>
      <c r="H472" s="8"/>
      <c r="I472" t="s">
        <v>6</v>
      </c>
      <c r="J472" s="2" t="s">
        <v>2</v>
      </c>
      <c r="K472" t="s">
        <v>176</v>
      </c>
      <c r="L472"/>
      <c r="M472"/>
      <c r="N472" s="15"/>
      <c r="O472" s="8"/>
      <c r="P472" t="s">
        <v>6</v>
      </c>
      <c r="Q472" s="2" t="s">
        <v>2</v>
      </c>
      <c r="R472" t="s">
        <v>177</v>
      </c>
      <c r="S472"/>
      <c r="T472"/>
      <c r="U472" s="15"/>
    </row>
    <row r="473" spans="1:21">
      <c r="A473" s="8"/>
      <c r="B473" t="s">
        <v>10</v>
      </c>
      <c r="C473" s="2" t="s">
        <v>2</v>
      </c>
      <c r="D473" t="s">
        <v>171</v>
      </c>
      <c r="E473"/>
      <c r="F473"/>
      <c r="G473" s="15"/>
      <c r="H473" s="8"/>
      <c r="I473" t="s">
        <v>10</v>
      </c>
      <c r="J473" s="2" t="s">
        <v>2</v>
      </c>
      <c r="K473" t="s">
        <v>178</v>
      </c>
      <c r="L473"/>
      <c r="M473"/>
      <c r="N473" s="15"/>
      <c r="O473" s="8"/>
      <c r="P473" t="s">
        <v>10</v>
      </c>
      <c r="Q473" s="2" t="s">
        <v>2</v>
      </c>
      <c r="R473" t="s">
        <v>178</v>
      </c>
      <c r="S473"/>
      <c r="T473"/>
      <c r="U473" s="15"/>
    </row>
    <row r="474" spans="1:21">
      <c r="A474" s="8"/>
      <c r="B474" t="s">
        <v>12</v>
      </c>
      <c r="C474" s="2" t="s">
        <v>2</v>
      </c>
      <c r="D474" t="s">
        <v>13</v>
      </c>
      <c r="E474"/>
      <c r="F474"/>
      <c r="G474" s="15"/>
      <c r="H474" s="8"/>
      <c r="I474" t="s">
        <v>12</v>
      </c>
      <c r="J474" s="2" t="s">
        <v>2</v>
      </c>
      <c r="K474" t="s">
        <v>13</v>
      </c>
      <c r="L474"/>
      <c r="M474"/>
      <c r="N474" s="15"/>
      <c r="O474" s="8"/>
      <c r="P474" t="s">
        <v>12</v>
      </c>
      <c r="Q474" s="2" t="s">
        <v>2</v>
      </c>
      <c r="R474" t="s">
        <v>13</v>
      </c>
      <c r="S474"/>
      <c r="T474"/>
      <c r="U474" s="15"/>
    </row>
    <row r="475" spans="1:21">
      <c r="A475" s="8"/>
      <c r="B475" s="3" t="s">
        <v>14</v>
      </c>
      <c r="C475" s="4" t="s">
        <v>2</v>
      </c>
      <c r="D475" s="3" t="s">
        <v>15</v>
      </c>
      <c r="E475" s="3"/>
      <c r="F475" s="3"/>
      <c r="G475" s="15"/>
      <c r="H475" s="8"/>
      <c r="I475" s="3" t="s">
        <v>14</v>
      </c>
      <c r="J475" s="4" t="s">
        <v>2</v>
      </c>
      <c r="K475" s="3" t="s">
        <v>15</v>
      </c>
      <c r="L475" s="3"/>
      <c r="M475" s="3"/>
      <c r="N475" s="15"/>
      <c r="O475" s="8"/>
      <c r="P475" s="3" t="s">
        <v>14</v>
      </c>
      <c r="Q475" s="4" t="s">
        <v>2</v>
      </c>
      <c r="R475" s="3" t="s">
        <v>15</v>
      </c>
      <c r="S475" s="3"/>
      <c r="T475" s="3"/>
      <c r="U475" s="15"/>
    </row>
    <row r="476" spans="1:21">
      <c r="A476" s="8"/>
      <c r="B476" t="s">
        <v>16</v>
      </c>
      <c r="C476"/>
      <c r="D476"/>
      <c r="E476" s="2" t="s">
        <v>2</v>
      </c>
      <c r="F476" s="5">
        <v>3597000</v>
      </c>
      <c r="G476" s="15"/>
      <c r="H476" s="8"/>
      <c r="I476" t="s">
        <v>16</v>
      </c>
      <c r="J476"/>
      <c r="K476"/>
      <c r="L476" s="2" t="s">
        <v>2</v>
      </c>
      <c r="M476" s="5">
        <v>3597000</v>
      </c>
      <c r="N476" s="15"/>
      <c r="O476" s="8"/>
      <c r="P476" t="s">
        <v>16</v>
      </c>
      <c r="Q476"/>
      <c r="R476"/>
      <c r="S476" s="2" t="s">
        <v>2</v>
      </c>
      <c r="T476" s="5">
        <v>3590000</v>
      </c>
      <c r="U476" s="15"/>
    </row>
    <row r="477" spans="1:21">
      <c r="A477" s="8"/>
      <c r="B477" t="s">
        <v>17</v>
      </c>
      <c r="C477"/>
      <c r="D477"/>
      <c r="E477" s="2" t="s">
        <v>2</v>
      </c>
      <c r="F477" s="5">
        <v>0</v>
      </c>
      <c r="G477" s="15"/>
      <c r="H477" s="8"/>
      <c r="I477" t="s">
        <v>17</v>
      </c>
      <c r="J477"/>
      <c r="K477"/>
      <c r="L477" s="2" t="s">
        <v>2</v>
      </c>
      <c r="M477" s="5">
        <v>0</v>
      </c>
      <c r="N477" s="15"/>
      <c r="O477" s="8"/>
      <c r="P477" t="s">
        <v>17</v>
      </c>
      <c r="Q477"/>
      <c r="R477"/>
      <c r="S477" s="2" t="s">
        <v>2</v>
      </c>
      <c r="T477" s="5">
        <v>0</v>
      </c>
      <c r="U477" s="15"/>
    </row>
    <row r="478" spans="1:21">
      <c r="A478" s="8"/>
      <c r="B478" t="s">
        <v>18</v>
      </c>
      <c r="C478"/>
      <c r="D478"/>
      <c r="E478" s="2" t="s">
        <v>2</v>
      </c>
      <c r="F478" s="5">
        <v>0</v>
      </c>
      <c r="G478" s="15"/>
      <c r="H478" s="8"/>
      <c r="I478" t="s">
        <v>18</v>
      </c>
      <c r="J478"/>
      <c r="K478"/>
      <c r="L478" s="2" t="s">
        <v>2</v>
      </c>
      <c r="M478" s="5">
        <v>0</v>
      </c>
      <c r="N478" s="15"/>
      <c r="O478" s="8"/>
      <c r="P478" t="s">
        <v>18</v>
      </c>
      <c r="Q478"/>
      <c r="R478"/>
      <c r="S478" s="2" t="s">
        <v>2</v>
      </c>
      <c r="T478" s="5">
        <v>0</v>
      </c>
      <c r="U478" s="15"/>
    </row>
    <row r="479" spans="1:21">
      <c r="A479" s="8"/>
      <c r="B479" t="s">
        <v>19</v>
      </c>
      <c r="C479"/>
      <c r="D479"/>
      <c r="E479" s="2" t="s">
        <v>2</v>
      </c>
      <c r="F479" s="5">
        <v>18000</v>
      </c>
      <c r="G479" s="15"/>
      <c r="H479" s="8"/>
      <c r="I479" t="s">
        <v>19</v>
      </c>
      <c r="J479"/>
      <c r="K479"/>
      <c r="L479" s="2" t="s">
        <v>2</v>
      </c>
      <c r="M479" s="5">
        <v>0</v>
      </c>
      <c r="N479" s="15"/>
      <c r="O479" s="8"/>
      <c r="P479" t="s">
        <v>19</v>
      </c>
      <c r="Q479"/>
      <c r="R479"/>
      <c r="S479" s="2" t="s">
        <v>2</v>
      </c>
      <c r="T479" s="5">
        <v>0</v>
      </c>
      <c r="U479" s="15"/>
    </row>
    <row r="480" spans="1:21">
      <c r="A480" s="8"/>
      <c r="B480"/>
      <c r="C480"/>
      <c r="D480"/>
      <c r="E480"/>
      <c r="F480"/>
      <c r="G480" s="15"/>
      <c r="H480" s="8"/>
      <c r="I480"/>
      <c r="J480"/>
      <c r="K480"/>
      <c r="L480"/>
      <c r="M480"/>
      <c r="N480" s="15"/>
      <c r="O480" s="8"/>
      <c r="P480"/>
      <c r="Q480"/>
      <c r="R480"/>
      <c r="S480"/>
      <c r="T480"/>
      <c r="U480" s="15"/>
    </row>
    <row r="481" spans="1:21">
      <c r="A481" s="8"/>
      <c r="B481" s="2" t="s">
        <v>20</v>
      </c>
      <c r="C481"/>
      <c r="D481"/>
      <c r="E481"/>
      <c r="F481"/>
      <c r="G481" s="15"/>
      <c r="H481" s="8"/>
      <c r="I481" s="2" t="s">
        <v>20</v>
      </c>
      <c r="J481"/>
      <c r="K481"/>
      <c r="L481"/>
      <c r="M481"/>
      <c r="N481" s="15"/>
      <c r="O481" s="8"/>
      <c r="P481" s="2" t="s">
        <v>20</v>
      </c>
      <c r="Q481"/>
      <c r="R481"/>
      <c r="S481"/>
      <c r="T481"/>
      <c r="U481" s="15"/>
    </row>
    <row r="482" spans="1:21">
      <c r="A482" s="8"/>
      <c r="B482" t="s">
        <v>21</v>
      </c>
      <c r="C482"/>
      <c r="D482"/>
      <c r="E482" s="2" t="s">
        <v>2</v>
      </c>
      <c r="F482" s="5">
        <v>479600</v>
      </c>
      <c r="G482" s="15"/>
      <c r="H482" s="8"/>
      <c r="I482" t="s">
        <v>21</v>
      </c>
      <c r="J482"/>
      <c r="K482"/>
      <c r="L482" s="2" t="s">
        <v>2</v>
      </c>
      <c r="M482" s="5">
        <v>2302080</v>
      </c>
      <c r="N482" s="15"/>
      <c r="O482" s="8"/>
      <c r="P482" t="s">
        <v>21</v>
      </c>
      <c r="Q482"/>
      <c r="R482"/>
      <c r="S482" s="2" t="s">
        <v>2</v>
      </c>
      <c r="T482" s="5">
        <v>2297600</v>
      </c>
      <c r="U482" s="15"/>
    </row>
    <row r="483" spans="1:21">
      <c r="A483" s="8"/>
      <c r="B483" t="s">
        <v>22</v>
      </c>
      <c r="C483"/>
      <c r="D483"/>
      <c r="E483" s="2" t="s">
        <v>2</v>
      </c>
      <c r="F483" s="5">
        <v>107910</v>
      </c>
      <c r="G483" s="15"/>
      <c r="H483" s="8"/>
      <c r="I483" t="s">
        <v>22</v>
      </c>
      <c r="J483"/>
      <c r="K483"/>
      <c r="L483" s="2" t="s">
        <v>2</v>
      </c>
      <c r="M483" s="5">
        <v>107910</v>
      </c>
      <c r="N483" s="15"/>
      <c r="O483" s="8"/>
      <c r="P483" t="s">
        <v>22</v>
      </c>
      <c r="Q483"/>
      <c r="R483"/>
      <c r="S483" s="2" t="s">
        <v>2</v>
      </c>
      <c r="T483" s="5">
        <v>107700</v>
      </c>
      <c r="U483" s="15"/>
    </row>
    <row r="484" spans="1:21">
      <c r="A484" s="8"/>
      <c r="B484" s="3" t="s">
        <v>23</v>
      </c>
      <c r="C484" s="3"/>
      <c r="D484" s="3"/>
      <c r="E484" s="4" t="s">
        <v>2</v>
      </c>
      <c r="F484" s="6">
        <v>35745</v>
      </c>
      <c r="G484" s="15"/>
      <c r="H484" s="8"/>
      <c r="I484" s="3" t="s">
        <v>23</v>
      </c>
      <c r="J484" s="3"/>
      <c r="K484" s="3"/>
      <c r="L484" s="4" t="s">
        <v>2</v>
      </c>
      <c r="M484" s="6">
        <v>35745</v>
      </c>
      <c r="N484" s="15"/>
      <c r="O484" s="8"/>
      <c r="P484" s="3" t="s">
        <v>23</v>
      </c>
      <c r="Q484" s="3"/>
      <c r="R484" s="3"/>
      <c r="S484" s="4" t="s">
        <v>2</v>
      </c>
      <c r="T484" s="6">
        <v>35745</v>
      </c>
      <c r="U484" s="15"/>
    </row>
    <row r="485" spans="1:21">
      <c r="A485" s="8"/>
      <c r="B485" t="s">
        <v>24</v>
      </c>
      <c r="C485"/>
      <c r="D485"/>
      <c r="E485" s="2" t="s">
        <v>2</v>
      </c>
      <c r="F485" s="5" t="str">
        <f>sum(f482:f484)</f>
        <v>0</v>
      </c>
      <c r="G485" s="15"/>
      <c r="H485" s="8"/>
      <c r="I485" t="s">
        <v>24</v>
      </c>
      <c r="J485"/>
      <c r="K485"/>
      <c r="L485" s="2" t="s">
        <v>2</v>
      </c>
      <c r="M485" s="5" t="str">
        <f>sum(m482:m484)</f>
        <v>0</v>
      </c>
      <c r="N485" s="15"/>
      <c r="O485" s="8"/>
      <c r="P485" t="s">
        <v>24</v>
      </c>
      <c r="Q485"/>
      <c r="R485"/>
      <c r="S485" s="2" t="s">
        <v>2</v>
      </c>
      <c r="T485" s="5" t="str">
        <f>sum(t482:t484)</f>
        <v>0</v>
      </c>
      <c r="U485" s="15"/>
    </row>
    <row r="486" spans="1:21">
      <c r="A486" s="9"/>
      <c r="B486" s="11" t="s">
        <v>25</v>
      </c>
      <c r="C486" s="11"/>
      <c r="D486" s="11"/>
      <c r="E486" s="12" t="s">
        <v>2</v>
      </c>
      <c r="F486" s="13" t="str">
        <f>sum(f476:f479)-f485</f>
        <v>0</v>
      </c>
      <c r="G486" s="16"/>
      <c r="H486" s="9"/>
      <c r="I486" s="11" t="s">
        <v>25</v>
      </c>
      <c r="J486" s="11"/>
      <c r="K486" s="11"/>
      <c r="L486" s="12" t="s">
        <v>2</v>
      </c>
      <c r="M486" s="13" t="str">
        <f>sum(m476:m479)-m485</f>
        <v>0</v>
      </c>
      <c r="N486" s="16"/>
      <c r="O486" s="9"/>
      <c r="P486" s="11" t="s">
        <v>25</v>
      </c>
      <c r="Q486" s="11"/>
      <c r="R486" s="11"/>
      <c r="S486" s="12" t="s">
        <v>2</v>
      </c>
      <c r="T486" s="13" t="str">
        <f>sum(t476:t479)-t485</f>
        <v>0</v>
      </c>
      <c r="U486" s="16"/>
    </row>
    <row r="487" spans="1:21">
      <c r="A487" s="7"/>
      <c r="B487" s="10"/>
      <c r="C487" s="10"/>
      <c r="D487" s="10"/>
      <c r="E487" s="10"/>
      <c r="F487" s="10"/>
      <c r="G487" s="14"/>
      <c r="H487" s="7"/>
      <c r="I487" s="10"/>
      <c r="J487" s="10"/>
      <c r="K487" s="10"/>
      <c r="L487" s="10"/>
      <c r="M487" s="10"/>
      <c r="N487" s="14"/>
      <c r="O487" s="7"/>
      <c r="P487" s="10"/>
      <c r="Q487" s="10"/>
      <c r="R487" s="10"/>
      <c r="S487" s="10"/>
      <c r="T487" s="10"/>
      <c r="U487" s="14"/>
    </row>
    <row r="488" spans="1:21">
      <c r="A488" s="8"/>
      <c r="B488" s="1" t="s">
        <v>0</v>
      </c>
      <c r="C488"/>
      <c r="D488"/>
      <c r="E488"/>
      <c r="F488"/>
      <c r="G488" s="15"/>
      <c r="H488" s="8"/>
      <c r="I488" s="1" t="s">
        <v>0</v>
      </c>
      <c r="J488"/>
      <c r="K488"/>
      <c r="L488"/>
      <c r="M488"/>
      <c r="N488" s="15"/>
      <c r="O488" s="8"/>
      <c r="P488" s="1" t="s">
        <v>0</v>
      </c>
      <c r="Q488"/>
      <c r="R488"/>
      <c r="S488"/>
      <c r="T488"/>
      <c r="U488" s="15"/>
    </row>
    <row r="489" spans="1:21">
      <c r="A489" s="8"/>
      <c r="B489" t="s">
        <v>1</v>
      </c>
      <c r="C489" s="2" t="s">
        <v>2</v>
      </c>
      <c r="D489" t="s">
        <v>179</v>
      </c>
      <c r="E489"/>
      <c r="F489"/>
      <c r="G489" s="15"/>
      <c r="H489" s="8"/>
      <c r="I489" t="s">
        <v>1</v>
      </c>
      <c r="J489" s="2" t="s">
        <v>2</v>
      </c>
      <c r="K489" t="s">
        <v>180</v>
      </c>
      <c r="L489"/>
      <c r="M489"/>
      <c r="N489" s="15"/>
      <c r="O489" s="8"/>
      <c r="P489" t="s">
        <v>1</v>
      </c>
      <c r="Q489" s="2" t="s">
        <v>2</v>
      </c>
      <c r="R489" t="s">
        <v>181</v>
      </c>
      <c r="S489"/>
      <c r="T489"/>
      <c r="U489" s="15"/>
    </row>
    <row r="490" spans="1:21">
      <c r="A490" s="8"/>
      <c r="B490" t="s">
        <v>6</v>
      </c>
      <c r="C490" s="2" t="s">
        <v>2</v>
      </c>
      <c r="D490" t="s">
        <v>182</v>
      </c>
      <c r="E490"/>
      <c r="F490"/>
      <c r="G490" s="15"/>
      <c r="H490" s="8"/>
      <c r="I490" t="s">
        <v>6</v>
      </c>
      <c r="J490" s="2" t="s">
        <v>2</v>
      </c>
      <c r="K490" t="s">
        <v>183</v>
      </c>
      <c r="L490"/>
      <c r="M490"/>
      <c r="N490" s="15"/>
      <c r="O490" s="8"/>
      <c r="P490" t="s">
        <v>6</v>
      </c>
      <c r="Q490" s="2" t="s">
        <v>2</v>
      </c>
      <c r="R490" t="s">
        <v>184</v>
      </c>
      <c r="S490"/>
      <c r="T490"/>
      <c r="U490" s="15"/>
    </row>
    <row r="491" spans="1:21">
      <c r="A491" s="8"/>
      <c r="B491" t="s">
        <v>10</v>
      </c>
      <c r="C491" s="2" t="s">
        <v>2</v>
      </c>
      <c r="D491" t="s">
        <v>178</v>
      </c>
      <c r="E491"/>
      <c r="F491"/>
      <c r="G491" s="15"/>
      <c r="H491" s="8"/>
      <c r="I491" t="s">
        <v>10</v>
      </c>
      <c r="J491" s="2" t="s">
        <v>2</v>
      </c>
      <c r="K491" t="s">
        <v>178</v>
      </c>
      <c r="L491"/>
      <c r="M491"/>
      <c r="N491" s="15"/>
      <c r="O491" s="8"/>
      <c r="P491" t="s">
        <v>10</v>
      </c>
      <c r="Q491" s="2" t="s">
        <v>2</v>
      </c>
      <c r="R491" t="s">
        <v>178</v>
      </c>
      <c r="S491"/>
      <c r="T491"/>
      <c r="U491" s="15"/>
    </row>
    <row r="492" spans="1:21">
      <c r="A492" s="8"/>
      <c r="B492" t="s">
        <v>12</v>
      </c>
      <c r="C492" s="2" t="s">
        <v>2</v>
      </c>
      <c r="D492" t="s">
        <v>13</v>
      </c>
      <c r="E492"/>
      <c r="F492"/>
      <c r="G492" s="15"/>
      <c r="H492" s="8"/>
      <c r="I492" t="s">
        <v>12</v>
      </c>
      <c r="J492" s="2" t="s">
        <v>2</v>
      </c>
      <c r="K492" t="s">
        <v>13</v>
      </c>
      <c r="L492"/>
      <c r="M492"/>
      <c r="N492" s="15"/>
      <c r="O492" s="8"/>
      <c r="P492" t="s">
        <v>12</v>
      </c>
      <c r="Q492" s="2" t="s">
        <v>2</v>
      </c>
      <c r="R492" t="s">
        <v>13</v>
      </c>
      <c r="S492"/>
      <c r="T492"/>
      <c r="U492" s="15"/>
    </row>
    <row r="493" spans="1:21">
      <c r="A493" s="8"/>
      <c r="B493" s="3" t="s">
        <v>14</v>
      </c>
      <c r="C493" s="4" t="s">
        <v>2</v>
      </c>
      <c r="D493" s="3" t="s">
        <v>15</v>
      </c>
      <c r="E493" s="3"/>
      <c r="F493" s="3"/>
      <c r="G493" s="15"/>
      <c r="H493" s="8"/>
      <c r="I493" s="3" t="s">
        <v>14</v>
      </c>
      <c r="J493" s="4" t="s">
        <v>2</v>
      </c>
      <c r="K493" s="3" t="s">
        <v>15</v>
      </c>
      <c r="L493" s="3"/>
      <c r="M493" s="3"/>
      <c r="N493" s="15"/>
      <c r="O493" s="8"/>
      <c r="P493" s="3" t="s">
        <v>14</v>
      </c>
      <c r="Q493" s="4" t="s">
        <v>2</v>
      </c>
      <c r="R493" s="3" t="s">
        <v>15</v>
      </c>
      <c r="S493" s="3"/>
      <c r="T493" s="3"/>
      <c r="U493" s="15"/>
    </row>
    <row r="494" spans="1:21">
      <c r="A494" s="8"/>
      <c r="B494" t="s">
        <v>16</v>
      </c>
      <c r="C494"/>
      <c r="D494"/>
      <c r="E494" s="2" t="s">
        <v>2</v>
      </c>
      <c r="F494" s="5">
        <v>3595000</v>
      </c>
      <c r="G494" s="15"/>
      <c r="H494" s="8"/>
      <c r="I494" t="s">
        <v>16</v>
      </c>
      <c r="J494"/>
      <c r="K494"/>
      <c r="L494" s="2" t="s">
        <v>2</v>
      </c>
      <c r="M494" s="5">
        <v>3591000</v>
      </c>
      <c r="N494" s="15"/>
      <c r="O494" s="8"/>
      <c r="P494" t="s">
        <v>16</v>
      </c>
      <c r="Q494"/>
      <c r="R494"/>
      <c r="S494" s="2" t="s">
        <v>2</v>
      </c>
      <c r="T494" s="5">
        <v>3597000</v>
      </c>
      <c r="U494" s="15"/>
    </row>
    <row r="495" spans="1:21">
      <c r="A495" s="8"/>
      <c r="B495" t="s">
        <v>17</v>
      </c>
      <c r="C495"/>
      <c r="D495"/>
      <c r="E495" s="2" t="s">
        <v>2</v>
      </c>
      <c r="F495" s="5">
        <v>0</v>
      </c>
      <c r="G495" s="15"/>
      <c r="H495" s="8"/>
      <c r="I495" t="s">
        <v>17</v>
      </c>
      <c r="J495"/>
      <c r="K495"/>
      <c r="L495" s="2" t="s">
        <v>2</v>
      </c>
      <c r="M495" s="5">
        <v>30000</v>
      </c>
      <c r="N495" s="15"/>
      <c r="O495" s="8"/>
      <c r="P495" t="s">
        <v>17</v>
      </c>
      <c r="Q495"/>
      <c r="R495"/>
      <c r="S495" s="2" t="s">
        <v>2</v>
      </c>
      <c r="T495" s="5">
        <v>0</v>
      </c>
      <c r="U495" s="15"/>
    </row>
    <row r="496" spans="1:21">
      <c r="A496" s="8"/>
      <c r="B496" t="s">
        <v>18</v>
      </c>
      <c r="C496"/>
      <c r="D496"/>
      <c r="E496" s="2" t="s">
        <v>2</v>
      </c>
      <c r="F496" s="5">
        <v>0</v>
      </c>
      <c r="G496" s="15"/>
      <c r="H496" s="8"/>
      <c r="I496" t="s">
        <v>18</v>
      </c>
      <c r="J496"/>
      <c r="K496"/>
      <c r="L496" s="2" t="s">
        <v>2</v>
      </c>
      <c r="M496" s="5">
        <v>0</v>
      </c>
      <c r="N496" s="15"/>
      <c r="O496" s="8"/>
      <c r="P496" t="s">
        <v>18</v>
      </c>
      <c r="Q496"/>
      <c r="R496"/>
      <c r="S496" s="2" t="s">
        <v>2</v>
      </c>
      <c r="T496" s="5">
        <v>0</v>
      </c>
      <c r="U496" s="15"/>
    </row>
    <row r="497" spans="1:21">
      <c r="A497" s="8"/>
      <c r="B497" t="s">
        <v>19</v>
      </c>
      <c r="C497"/>
      <c r="D497"/>
      <c r="E497" s="2" t="s">
        <v>2</v>
      </c>
      <c r="F497" s="5">
        <v>0</v>
      </c>
      <c r="G497" s="15"/>
      <c r="H497" s="8"/>
      <c r="I497" t="s">
        <v>19</v>
      </c>
      <c r="J497"/>
      <c r="K497"/>
      <c r="L497" s="2" t="s">
        <v>2</v>
      </c>
      <c r="M497" s="5">
        <v>0</v>
      </c>
      <c r="N497" s="15"/>
      <c r="O497" s="8"/>
      <c r="P497" t="s">
        <v>19</v>
      </c>
      <c r="Q497"/>
      <c r="R497"/>
      <c r="S497" s="2" t="s">
        <v>2</v>
      </c>
      <c r="T497" s="5">
        <v>0</v>
      </c>
      <c r="U497" s="15"/>
    </row>
    <row r="498" spans="1:21">
      <c r="A498" s="8"/>
      <c r="B498"/>
      <c r="C498"/>
      <c r="D498"/>
      <c r="E498"/>
      <c r="F498"/>
      <c r="G498" s="15"/>
      <c r="H498" s="8"/>
      <c r="I498"/>
      <c r="J498"/>
      <c r="K498"/>
      <c r="L498"/>
      <c r="M498"/>
      <c r="N498" s="15"/>
      <c r="O498" s="8"/>
      <c r="P498"/>
      <c r="Q498"/>
      <c r="R498"/>
      <c r="S498"/>
      <c r="T498"/>
      <c r="U498" s="15"/>
    </row>
    <row r="499" spans="1:21">
      <c r="A499" s="8"/>
      <c r="B499" s="2" t="s">
        <v>20</v>
      </c>
      <c r="C499"/>
      <c r="D499"/>
      <c r="E499"/>
      <c r="F499"/>
      <c r="G499" s="15"/>
      <c r="H499" s="8"/>
      <c r="I499" s="2" t="s">
        <v>20</v>
      </c>
      <c r="J499"/>
      <c r="K499"/>
      <c r="L499"/>
      <c r="M499"/>
      <c r="N499" s="15"/>
      <c r="O499" s="8"/>
      <c r="P499" s="2" t="s">
        <v>20</v>
      </c>
      <c r="Q499"/>
      <c r="R499"/>
      <c r="S499"/>
      <c r="T499"/>
      <c r="U499" s="15"/>
    </row>
    <row r="500" spans="1:21">
      <c r="A500" s="8"/>
      <c r="B500" t="s">
        <v>21</v>
      </c>
      <c r="C500"/>
      <c r="D500"/>
      <c r="E500" s="2" t="s">
        <v>2</v>
      </c>
      <c r="F500" s="5">
        <v>2444600</v>
      </c>
      <c r="G500" s="15"/>
      <c r="H500" s="8"/>
      <c r="I500" t="s">
        <v>21</v>
      </c>
      <c r="J500"/>
      <c r="K500"/>
      <c r="L500" s="2" t="s">
        <v>2</v>
      </c>
      <c r="M500" s="5">
        <v>2154600</v>
      </c>
      <c r="N500" s="15"/>
      <c r="O500" s="8"/>
      <c r="P500" t="s">
        <v>21</v>
      </c>
      <c r="Q500"/>
      <c r="R500"/>
      <c r="S500" s="2" t="s">
        <v>2</v>
      </c>
      <c r="T500" s="5">
        <v>2158200</v>
      </c>
      <c r="U500" s="15"/>
    </row>
    <row r="501" spans="1:21">
      <c r="A501" s="8"/>
      <c r="B501" t="s">
        <v>22</v>
      </c>
      <c r="C501"/>
      <c r="D501"/>
      <c r="E501" s="2" t="s">
        <v>2</v>
      </c>
      <c r="F501" s="5">
        <v>107850</v>
      </c>
      <c r="G501" s="15"/>
      <c r="H501" s="8"/>
      <c r="I501" t="s">
        <v>22</v>
      </c>
      <c r="J501"/>
      <c r="K501"/>
      <c r="L501" s="2" t="s">
        <v>2</v>
      </c>
      <c r="M501" s="5">
        <v>107730</v>
      </c>
      <c r="N501" s="15"/>
      <c r="O501" s="8"/>
      <c r="P501" t="s">
        <v>22</v>
      </c>
      <c r="Q501"/>
      <c r="R501"/>
      <c r="S501" s="2" t="s">
        <v>2</v>
      </c>
      <c r="T501" s="5">
        <v>107910</v>
      </c>
      <c r="U501" s="15"/>
    </row>
    <row r="502" spans="1:21">
      <c r="A502" s="8"/>
      <c r="B502" s="3" t="s">
        <v>23</v>
      </c>
      <c r="C502" s="3"/>
      <c r="D502" s="3"/>
      <c r="E502" s="4" t="s">
        <v>2</v>
      </c>
      <c r="F502" s="6">
        <v>35745</v>
      </c>
      <c r="G502" s="15"/>
      <c r="H502" s="8"/>
      <c r="I502" s="3" t="s">
        <v>23</v>
      </c>
      <c r="J502" s="3"/>
      <c r="K502" s="3"/>
      <c r="L502" s="4" t="s">
        <v>2</v>
      </c>
      <c r="M502" s="6">
        <v>0</v>
      </c>
      <c r="N502" s="15"/>
      <c r="O502" s="8"/>
      <c r="P502" s="3" t="s">
        <v>23</v>
      </c>
      <c r="Q502" s="3"/>
      <c r="R502" s="3"/>
      <c r="S502" s="4" t="s">
        <v>2</v>
      </c>
      <c r="T502" s="6">
        <v>35745</v>
      </c>
      <c r="U502" s="15"/>
    </row>
    <row r="503" spans="1:21">
      <c r="A503" s="8"/>
      <c r="B503" t="s">
        <v>24</v>
      </c>
      <c r="C503"/>
      <c r="D503"/>
      <c r="E503" s="2" t="s">
        <v>2</v>
      </c>
      <c r="F503" s="5" t="str">
        <f>sum(f500:f502)</f>
        <v>0</v>
      </c>
      <c r="G503" s="15"/>
      <c r="H503" s="8"/>
      <c r="I503" t="s">
        <v>24</v>
      </c>
      <c r="J503"/>
      <c r="K503"/>
      <c r="L503" s="2" t="s">
        <v>2</v>
      </c>
      <c r="M503" s="5" t="str">
        <f>sum(m500:m502)</f>
        <v>0</v>
      </c>
      <c r="N503" s="15"/>
      <c r="O503" s="8"/>
      <c r="P503" t="s">
        <v>24</v>
      </c>
      <c r="Q503"/>
      <c r="R503"/>
      <c r="S503" s="2" t="s">
        <v>2</v>
      </c>
      <c r="T503" s="5" t="str">
        <f>sum(t500:t502)</f>
        <v>0</v>
      </c>
      <c r="U503" s="15"/>
    </row>
    <row r="504" spans="1:21">
      <c r="A504" s="9"/>
      <c r="B504" s="11" t="s">
        <v>25</v>
      </c>
      <c r="C504" s="11"/>
      <c r="D504" s="11"/>
      <c r="E504" s="12" t="s">
        <v>2</v>
      </c>
      <c r="F504" s="13" t="str">
        <f>sum(f494:f497)-f503</f>
        <v>0</v>
      </c>
      <c r="G504" s="16"/>
      <c r="H504" s="9"/>
      <c r="I504" s="11" t="s">
        <v>25</v>
      </c>
      <c r="J504" s="11"/>
      <c r="K504" s="11"/>
      <c r="L504" s="12" t="s">
        <v>2</v>
      </c>
      <c r="M504" s="13" t="str">
        <f>sum(m494:m497)-m503</f>
        <v>0</v>
      </c>
      <c r="N504" s="16"/>
      <c r="O504" s="9"/>
      <c r="P504" s="11" t="s">
        <v>25</v>
      </c>
      <c r="Q504" s="11"/>
      <c r="R504" s="11"/>
      <c r="S504" s="12" t="s">
        <v>2</v>
      </c>
      <c r="T504" s="13" t="str">
        <f>sum(t494:t497)-t503</f>
        <v>0</v>
      </c>
      <c r="U504" s="16"/>
    </row>
    <row r="505" spans="1:21">
      <c r="A505" s="7"/>
      <c r="B505" s="10"/>
      <c r="C505" s="10"/>
      <c r="D505" s="10"/>
      <c r="E505" s="10"/>
      <c r="F505" s="10"/>
      <c r="G505" s="14"/>
      <c r="H505" s="7"/>
      <c r="I505" s="10"/>
      <c r="J505" s="10"/>
      <c r="K505" s="10"/>
      <c r="L505" s="10"/>
      <c r="M505" s="10"/>
      <c r="N505" s="14"/>
      <c r="O505" s="7"/>
      <c r="P505" s="10"/>
      <c r="Q505" s="10"/>
      <c r="R505" s="10"/>
      <c r="S505" s="10"/>
      <c r="T505" s="10"/>
      <c r="U505" s="14"/>
    </row>
    <row r="506" spans="1:21">
      <c r="A506" s="8"/>
      <c r="B506" s="1" t="s">
        <v>0</v>
      </c>
      <c r="C506"/>
      <c r="D506"/>
      <c r="E506"/>
      <c r="F506"/>
      <c r="G506" s="15"/>
      <c r="H506" s="8"/>
      <c r="I506" s="1" t="s">
        <v>0</v>
      </c>
      <c r="J506"/>
      <c r="K506"/>
      <c r="L506"/>
      <c r="M506"/>
      <c r="N506" s="15"/>
      <c r="O506" s="8"/>
      <c r="P506" s="1" t="s">
        <v>0</v>
      </c>
      <c r="Q506"/>
      <c r="R506"/>
      <c r="S506"/>
      <c r="T506"/>
      <c r="U506" s="15"/>
    </row>
    <row r="507" spans="1:21">
      <c r="A507" s="8"/>
      <c r="B507" t="s">
        <v>1</v>
      </c>
      <c r="C507" s="2" t="s">
        <v>2</v>
      </c>
      <c r="D507" t="s">
        <v>185</v>
      </c>
      <c r="E507"/>
      <c r="F507"/>
      <c r="G507" s="15"/>
      <c r="H507" s="8"/>
      <c r="I507" t="s">
        <v>1</v>
      </c>
      <c r="J507" s="2" t="s">
        <v>2</v>
      </c>
      <c r="K507" t="s">
        <v>186</v>
      </c>
      <c r="L507"/>
      <c r="M507"/>
      <c r="N507" s="15"/>
      <c r="O507" s="8"/>
      <c r="P507" t="s">
        <v>1</v>
      </c>
      <c r="Q507" s="2" t="s">
        <v>2</v>
      </c>
      <c r="R507" t="s">
        <v>187</v>
      </c>
      <c r="S507"/>
      <c r="T507"/>
      <c r="U507" s="15"/>
    </row>
    <row r="508" spans="1:21">
      <c r="A508" s="8"/>
      <c r="B508" t="s">
        <v>6</v>
      </c>
      <c r="C508" s="2" t="s">
        <v>2</v>
      </c>
      <c r="D508" t="s">
        <v>188</v>
      </c>
      <c r="E508"/>
      <c r="F508"/>
      <c r="G508" s="15"/>
      <c r="H508" s="8"/>
      <c r="I508" t="s">
        <v>6</v>
      </c>
      <c r="J508" s="2" t="s">
        <v>2</v>
      </c>
      <c r="K508" t="s">
        <v>189</v>
      </c>
      <c r="L508"/>
      <c r="M508"/>
      <c r="N508" s="15"/>
      <c r="O508" s="8"/>
      <c r="P508" t="s">
        <v>6</v>
      </c>
      <c r="Q508" s="2" t="s">
        <v>2</v>
      </c>
      <c r="R508" t="s">
        <v>190</v>
      </c>
      <c r="S508"/>
      <c r="T508"/>
      <c r="U508" s="15"/>
    </row>
    <row r="509" spans="1:21">
      <c r="A509" s="8"/>
      <c r="B509" t="s">
        <v>10</v>
      </c>
      <c r="C509" s="2" t="s">
        <v>2</v>
      </c>
      <c r="D509" t="s">
        <v>178</v>
      </c>
      <c r="E509"/>
      <c r="F509"/>
      <c r="G509" s="15"/>
      <c r="H509" s="8"/>
      <c r="I509" t="s">
        <v>10</v>
      </c>
      <c r="J509" s="2" t="s">
        <v>2</v>
      </c>
      <c r="K509" t="s">
        <v>178</v>
      </c>
      <c r="L509"/>
      <c r="M509"/>
      <c r="N509" s="15"/>
      <c r="O509" s="8"/>
      <c r="P509" t="s">
        <v>10</v>
      </c>
      <c r="Q509" s="2" t="s">
        <v>2</v>
      </c>
      <c r="R509" t="s">
        <v>178</v>
      </c>
      <c r="S509"/>
      <c r="T509"/>
      <c r="U509" s="15"/>
    </row>
    <row r="510" spans="1:21">
      <c r="A510" s="8"/>
      <c r="B510" t="s">
        <v>12</v>
      </c>
      <c r="C510" s="2" t="s">
        <v>2</v>
      </c>
      <c r="D510" t="s">
        <v>13</v>
      </c>
      <c r="E510"/>
      <c r="F510"/>
      <c r="G510" s="15"/>
      <c r="H510" s="8"/>
      <c r="I510" t="s">
        <v>12</v>
      </c>
      <c r="J510" s="2" t="s">
        <v>2</v>
      </c>
      <c r="K510" t="s">
        <v>13</v>
      </c>
      <c r="L510"/>
      <c r="M510"/>
      <c r="N510" s="15"/>
      <c r="O510" s="8"/>
      <c r="P510" t="s">
        <v>12</v>
      </c>
      <c r="Q510" s="2" t="s">
        <v>2</v>
      </c>
      <c r="R510" t="s">
        <v>13</v>
      </c>
      <c r="S510"/>
      <c r="T510"/>
      <c r="U510" s="15"/>
    </row>
    <row r="511" spans="1:21">
      <c r="A511" s="8"/>
      <c r="B511" s="3" t="s">
        <v>14</v>
      </c>
      <c r="C511" s="4" t="s">
        <v>2</v>
      </c>
      <c r="D511" s="3" t="s">
        <v>15</v>
      </c>
      <c r="E511" s="3"/>
      <c r="F511" s="3"/>
      <c r="G511" s="15"/>
      <c r="H511" s="8"/>
      <c r="I511" s="3" t="s">
        <v>14</v>
      </c>
      <c r="J511" s="4" t="s">
        <v>2</v>
      </c>
      <c r="K511" s="3" t="s">
        <v>15</v>
      </c>
      <c r="L511" s="3"/>
      <c r="M511" s="3"/>
      <c r="N511" s="15"/>
      <c r="O511" s="8"/>
      <c r="P511" s="3" t="s">
        <v>14</v>
      </c>
      <c r="Q511" s="4" t="s">
        <v>2</v>
      </c>
      <c r="R511" s="3" t="s">
        <v>15</v>
      </c>
      <c r="S511" s="3"/>
      <c r="T511" s="3"/>
      <c r="U511" s="15"/>
    </row>
    <row r="512" spans="1:21">
      <c r="A512" s="8"/>
      <c r="B512" t="s">
        <v>16</v>
      </c>
      <c r="C512"/>
      <c r="D512"/>
      <c r="E512" s="2" t="s">
        <v>2</v>
      </c>
      <c r="F512" s="5">
        <v>3595000</v>
      </c>
      <c r="G512" s="15"/>
      <c r="H512" s="8"/>
      <c r="I512" t="s">
        <v>16</v>
      </c>
      <c r="J512"/>
      <c r="K512"/>
      <c r="L512" s="2" t="s">
        <v>2</v>
      </c>
      <c r="M512" s="5">
        <v>3590000</v>
      </c>
      <c r="N512" s="15"/>
      <c r="O512" s="8"/>
      <c r="P512" t="s">
        <v>16</v>
      </c>
      <c r="Q512"/>
      <c r="R512"/>
      <c r="S512" s="2" t="s">
        <v>2</v>
      </c>
      <c r="T512" s="5">
        <v>3594000</v>
      </c>
      <c r="U512" s="15"/>
    </row>
    <row r="513" spans="1:21">
      <c r="A513" s="8"/>
      <c r="B513" t="s">
        <v>17</v>
      </c>
      <c r="C513"/>
      <c r="D513"/>
      <c r="E513" s="2" t="s">
        <v>2</v>
      </c>
      <c r="F513" s="5">
        <v>80000</v>
      </c>
      <c r="G513" s="15"/>
      <c r="H513" s="8"/>
      <c r="I513" t="s">
        <v>17</v>
      </c>
      <c r="J513"/>
      <c r="K513"/>
      <c r="L513" s="2" t="s">
        <v>2</v>
      </c>
      <c r="M513" s="5">
        <v>30000</v>
      </c>
      <c r="N513" s="15"/>
      <c r="O513" s="8"/>
      <c r="P513" t="s">
        <v>17</v>
      </c>
      <c r="Q513"/>
      <c r="R513"/>
      <c r="S513" s="2" t="s">
        <v>2</v>
      </c>
      <c r="T513" s="5">
        <v>40000</v>
      </c>
      <c r="U513" s="15"/>
    </row>
    <row r="514" spans="1:21">
      <c r="A514" s="8"/>
      <c r="B514" t="s">
        <v>18</v>
      </c>
      <c r="C514"/>
      <c r="D514"/>
      <c r="E514" s="2" t="s">
        <v>2</v>
      </c>
      <c r="F514" s="5">
        <v>0</v>
      </c>
      <c r="G514" s="15"/>
      <c r="H514" s="8"/>
      <c r="I514" t="s">
        <v>18</v>
      </c>
      <c r="J514"/>
      <c r="K514"/>
      <c r="L514" s="2" t="s">
        <v>2</v>
      </c>
      <c r="M514" s="5">
        <v>0</v>
      </c>
      <c r="N514" s="15"/>
      <c r="O514" s="8"/>
      <c r="P514" t="s">
        <v>18</v>
      </c>
      <c r="Q514"/>
      <c r="R514"/>
      <c r="S514" s="2" t="s">
        <v>2</v>
      </c>
      <c r="T514" s="5">
        <v>0</v>
      </c>
      <c r="U514" s="15"/>
    </row>
    <row r="515" spans="1:21">
      <c r="A515" s="8"/>
      <c r="B515" t="s">
        <v>19</v>
      </c>
      <c r="C515"/>
      <c r="D515"/>
      <c r="E515" s="2" t="s">
        <v>2</v>
      </c>
      <c r="F515" s="5">
        <v>0</v>
      </c>
      <c r="G515" s="15"/>
      <c r="H515" s="8"/>
      <c r="I515" t="s">
        <v>19</v>
      </c>
      <c r="J515"/>
      <c r="K515"/>
      <c r="L515" s="2" t="s">
        <v>2</v>
      </c>
      <c r="M515" s="5">
        <v>0</v>
      </c>
      <c r="N515" s="15"/>
      <c r="O515" s="8"/>
      <c r="P515" t="s">
        <v>19</v>
      </c>
      <c r="Q515"/>
      <c r="R515"/>
      <c r="S515" s="2" t="s">
        <v>2</v>
      </c>
      <c r="T515" s="5">
        <v>0</v>
      </c>
      <c r="U515" s="15"/>
    </row>
    <row r="516" spans="1:21">
      <c r="A516" s="8"/>
      <c r="B516"/>
      <c r="C516"/>
      <c r="D516"/>
      <c r="E516"/>
      <c r="F516"/>
      <c r="G516" s="15"/>
      <c r="H516" s="8"/>
      <c r="I516"/>
      <c r="J516"/>
      <c r="K516"/>
      <c r="L516"/>
      <c r="M516"/>
      <c r="N516" s="15"/>
      <c r="O516" s="8"/>
      <c r="P516"/>
      <c r="Q516"/>
      <c r="R516"/>
      <c r="S516"/>
      <c r="T516"/>
      <c r="U516" s="15"/>
    </row>
    <row r="517" spans="1:21">
      <c r="A517" s="8"/>
      <c r="B517" s="2" t="s">
        <v>20</v>
      </c>
      <c r="C517"/>
      <c r="D517"/>
      <c r="E517"/>
      <c r="F517"/>
      <c r="G517" s="15"/>
      <c r="H517" s="8"/>
      <c r="I517" s="2" t="s">
        <v>20</v>
      </c>
      <c r="J517"/>
      <c r="K517"/>
      <c r="L517"/>
      <c r="M517"/>
      <c r="N517" s="15"/>
      <c r="O517" s="8"/>
      <c r="P517" s="2" t="s">
        <v>20</v>
      </c>
      <c r="Q517"/>
      <c r="R517"/>
      <c r="S517"/>
      <c r="T517"/>
      <c r="U517" s="15"/>
    </row>
    <row r="518" spans="1:21">
      <c r="A518" s="8"/>
      <c r="B518" t="s">
        <v>21</v>
      </c>
      <c r="C518"/>
      <c r="D518"/>
      <c r="E518" s="2" t="s">
        <v>2</v>
      </c>
      <c r="F518" s="5">
        <v>2157000</v>
      </c>
      <c r="G518" s="15"/>
      <c r="H518" s="8"/>
      <c r="I518" t="s">
        <v>21</v>
      </c>
      <c r="J518"/>
      <c r="K518"/>
      <c r="L518" s="2" t="s">
        <v>2</v>
      </c>
      <c r="M518" s="5">
        <v>2369400</v>
      </c>
      <c r="N518" s="15"/>
      <c r="O518" s="8"/>
      <c r="P518" t="s">
        <v>21</v>
      </c>
      <c r="Q518"/>
      <c r="R518"/>
      <c r="S518" s="2" t="s">
        <v>2</v>
      </c>
      <c r="T518" s="5">
        <v>2300160</v>
      </c>
      <c r="U518" s="15"/>
    </row>
    <row r="519" spans="1:21">
      <c r="A519" s="8"/>
      <c r="B519" t="s">
        <v>22</v>
      </c>
      <c r="C519"/>
      <c r="D519"/>
      <c r="E519" s="2" t="s">
        <v>2</v>
      </c>
      <c r="F519" s="5">
        <v>107850</v>
      </c>
      <c r="G519" s="15"/>
      <c r="H519" s="8"/>
      <c r="I519" t="s">
        <v>22</v>
      </c>
      <c r="J519"/>
      <c r="K519"/>
      <c r="L519" s="2" t="s">
        <v>2</v>
      </c>
      <c r="M519" s="5">
        <v>107700</v>
      </c>
      <c r="N519" s="15"/>
      <c r="O519" s="8"/>
      <c r="P519" t="s">
        <v>22</v>
      </c>
      <c r="Q519"/>
      <c r="R519"/>
      <c r="S519" s="2" t="s">
        <v>2</v>
      </c>
      <c r="T519" s="5">
        <v>107820</v>
      </c>
      <c r="U519" s="15"/>
    </row>
    <row r="520" spans="1:21">
      <c r="A520" s="8"/>
      <c r="B520" s="3" t="s">
        <v>23</v>
      </c>
      <c r="C520" s="3"/>
      <c r="D520" s="3"/>
      <c r="E520" s="4" t="s">
        <v>2</v>
      </c>
      <c r="F520" s="6">
        <v>35745</v>
      </c>
      <c r="G520" s="15"/>
      <c r="H520" s="8"/>
      <c r="I520" s="3" t="s">
        <v>23</v>
      </c>
      <c r="J520" s="3"/>
      <c r="K520" s="3"/>
      <c r="L520" s="4" t="s">
        <v>2</v>
      </c>
      <c r="M520" s="6">
        <v>35745</v>
      </c>
      <c r="N520" s="15"/>
      <c r="O520" s="8"/>
      <c r="P520" s="3" t="s">
        <v>23</v>
      </c>
      <c r="Q520" s="3"/>
      <c r="R520" s="3"/>
      <c r="S520" s="4" t="s">
        <v>2</v>
      </c>
      <c r="T520" s="6">
        <v>35745</v>
      </c>
      <c r="U520" s="15"/>
    </row>
    <row r="521" spans="1:21">
      <c r="A521" s="8"/>
      <c r="B521" t="s">
        <v>24</v>
      </c>
      <c r="C521"/>
      <c r="D521"/>
      <c r="E521" s="2" t="s">
        <v>2</v>
      </c>
      <c r="F521" s="5" t="str">
        <f>sum(f518:f520)</f>
        <v>0</v>
      </c>
      <c r="G521" s="15"/>
      <c r="H521" s="8"/>
      <c r="I521" t="s">
        <v>24</v>
      </c>
      <c r="J521"/>
      <c r="K521"/>
      <c r="L521" s="2" t="s">
        <v>2</v>
      </c>
      <c r="M521" s="5" t="str">
        <f>sum(m518:m520)</f>
        <v>0</v>
      </c>
      <c r="N521" s="15"/>
      <c r="O521" s="8"/>
      <c r="P521" t="s">
        <v>24</v>
      </c>
      <c r="Q521"/>
      <c r="R521"/>
      <c r="S521" s="2" t="s">
        <v>2</v>
      </c>
      <c r="T521" s="5" t="str">
        <f>sum(t518:t520)</f>
        <v>0</v>
      </c>
      <c r="U521" s="15"/>
    </row>
    <row r="522" spans="1:21">
      <c r="A522" s="9"/>
      <c r="B522" s="11" t="s">
        <v>25</v>
      </c>
      <c r="C522" s="11"/>
      <c r="D522" s="11"/>
      <c r="E522" s="12" t="s">
        <v>2</v>
      </c>
      <c r="F522" s="13" t="str">
        <f>sum(f512:f515)-f521</f>
        <v>0</v>
      </c>
      <c r="G522" s="16"/>
      <c r="H522" s="9"/>
      <c r="I522" s="11" t="s">
        <v>25</v>
      </c>
      <c r="J522" s="11"/>
      <c r="K522" s="11"/>
      <c r="L522" s="12" t="s">
        <v>2</v>
      </c>
      <c r="M522" s="13" t="str">
        <f>sum(m512:m515)-m521</f>
        <v>0</v>
      </c>
      <c r="N522" s="16"/>
      <c r="O522" s="9"/>
      <c r="P522" s="11" t="s">
        <v>25</v>
      </c>
      <c r="Q522" s="11"/>
      <c r="R522" s="11"/>
      <c r="S522" s="12" t="s">
        <v>2</v>
      </c>
      <c r="T522" s="13" t="str">
        <f>sum(t512:t515)-t521</f>
        <v>0</v>
      </c>
      <c r="U522" s="16"/>
    </row>
    <row r="523" spans="1:21">
      <c r="A523" s="7"/>
      <c r="B523" s="10"/>
      <c r="C523" s="10"/>
      <c r="D523" s="10"/>
      <c r="E523" s="10"/>
      <c r="F523" s="10"/>
      <c r="G523" s="14"/>
      <c r="H523" s="7"/>
      <c r="I523" s="10"/>
      <c r="J523" s="10"/>
      <c r="K523" s="10"/>
      <c r="L523" s="10"/>
      <c r="M523" s="10"/>
      <c r="N523" s="14"/>
      <c r="O523" s="7"/>
      <c r="P523" s="10"/>
      <c r="Q523" s="10"/>
      <c r="R523" s="10"/>
      <c r="S523" s="10"/>
      <c r="T523" s="10"/>
      <c r="U523" s="14"/>
    </row>
    <row r="524" spans="1:21">
      <c r="A524" s="8"/>
      <c r="B524" s="1" t="s">
        <v>0</v>
      </c>
      <c r="C524"/>
      <c r="D524"/>
      <c r="E524"/>
      <c r="F524"/>
      <c r="G524" s="15"/>
      <c r="H524" s="8"/>
      <c r="I524" s="1" t="s">
        <v>0</v>
      </c>
      <c r="J524"/>
      <c r="K524"/>
      <c r="L524"/>
      <c r="M524"/>
      <c r="N524" s="15"/>
      <c r="O524" s="8"/>
      <c r="P524" s="1" t="s">
        <v>0</v>
      </c>
      <c r="Q524"/>
      <c r="R524"/>
      <c r="S524"/>
      <c r="T524"/>
      <c r="U524" s="15"/>
    </row>
    <row r="525" spans="1:21">
      <c r="A525" s="8"/>
      <c r="B525" t="s">
        <v>1</v>
      </c>
      <c r="C525" s="2" t="s">
        <v>2</v>
      </c>
      <c r="D525" t="s">
        <v>191</v>
      </c>
      <c r="E525"/>
      <c r="F525"/>
      <c r="G525" s="15"/>
      <c r="H525" s="8"/>
      <c r="I525" t="s">
        <v>1</v>
      </c>
      <c r="J525" s="2" t="s">
        <v>2</v>
      </c>
      <c r="K525" t="s">
        <v>192</v>
      </c>
      <c r="L525"/>
      <c r="M525"/>
      <c r="N525" s="15"/>
      <c r="O525" s="8"/>
      <c r="P525" t="s">
        <v>1</v>
      </c>
      <c r="Q525" s="2" t="s">
        <v>2</v>
      </c>
      <c r="R525" t="s">
        <v>193</v>
      </c>
      <c r="S525"/>
      <c r="T525"/>
      <c r="U525" s="15"/>
    </row>
    <row r="526" spans="1:21">
      <c r="A526" s="8"/>
      <c r="B526" t="s">
        <v>6</v>
      </c>
      <c r="C526" s="2" t="s">
        <v>2</v>
      </c>
      <c r="D526" t="s">
        <v>194</v>
      </c>
      <c r="E526"/>
      <c r="F526"/>
      <c r="G526" s="15"/>
      <c r="H526" s="8"/>
      <c r="I526" t="s">
        <v>6</v>
      </c>
      <c r="J526" s="2" t="s">
        <v>2</v>
      </c>
      <c r="K526" t="s">
        <v>195</v>
      </c>
      <c r="L526"/>
      <c r="M526"/>
      <c r="N526" s="15"/>
      <c r="O526" s="8"/>
      <c r="P526" t="s">
        <v>6</v>
      </c>
      <c r="Q526" s="2" t="s">
        <v>2</v>
      </c>
      <c r="R526" t="s">
        <v>196</v>
      </c>
      <c r="S526"/>
      <c r="T526"/>
      <c r="U526" s="15"/>
    </row>
    <row r="527" spans="1:21">
      <c r="A527" s="8"/>
      <c r="B527" t="s">
        <v>10</v>
      </c>
      <c r="C527" s="2" t="s">
        <v>2</v>
      </c>
      <c r="D527" t="s">
        <v>197</v>
      </c>
      <c r="E527"/>
      <c r="F527"/>
      <c r="G527" s="15"/>
      <c r="H527" s="8"/>
      <c r="I527" t="s">
        <v>10</v>
      </c>
      <c r="J527" s="2" t="s">
        <v>2</v>
      </c>
      <c r="K527" t="s">
        <v>197</v>
      </c>
      <c r="L527"/>
      <c r="M527"/>
      <c r="N527" s="15"/>
      <c r="O527" s="8"/>
      <c r="P527" t="s">
        <v>10</v>
      </c>
      <c r="Q527" s="2" t="s">
        <v>2</v>
      </c>
      <c r="R527" t="s">
        <v>197</v>
      </c>
      <c r="S527"/>
      <c r="T527"/>
      <c r="U527" s="15"/>
    </row>
    <row r="528" spans="1:21">
      <c r="A528" s="8"/>
      <c r="B528" t="s">
        <v>12</v>
      </c>
      <c r="C528" s="2" t="s">
        <v>2</v>
      </c>
      <c r="D528" t="s">
        <v>13</v>
      </c>
      <c r="E528"/>
      <c r="F528"/>
      <c r="G528" s="15"/>
      <c r="H528" s="8"/>
      <c r="I528" t="s">
        <v>12</v>
      </c>
      <c r="J528" s="2" t="s">
        <v>2</v>
      </c>
      <c r="K528" t="s">
        <v>13</v>
      </c>
      <c r="L528"/>
      <c r="M528"/>
      <c r="N528" s="15"/>
      <c r="O528" s="8"/>
      <c r="P528" t="s">
        <v>12</v>
      </c>
      <c r="Q528" s="2" t="s">
        <v>2</v>
      </c>
      <c r="R528" t="s">
        <v>13</v>
      </c>
      <c r="S528"/>
      <c r="T528"/>
      <c r="U528" s="15"/>
    </row>
    <row r="529" spans="1:21">
      <c r="A529" s="8"/>
      <c r="B529" s="3" t="s">
        <v>14</v>
      </c>
      <c r="C529" s="4" t="s">
        <v>2</v>
      </c>
      <c r="D529" s="3" t="s">
        <v>15</v>
      </c>
      <c r="E529" s="3"/>
      <c r="F529" s="3"/>
      <c r="G529" s="15"/>
      <c r="H529" s="8"/>
      <c r="I529" s="3" t="s">
        <v>14</v>
      </c>
      <c r="J529" s="4" t="s">
        <v>2</v>
      </c>
      <c r="K529" s="3" t="s">
        <v>15</v>
      </c>
      <c r="L529" s="3"/>
      <c r="M529" s="3"/>
      <c r="N529" s="15"/>
      <c r="O529" s="8"/>
      <c r="P529" s="3" t="s">
        <v>14</v>
      </c>
      <c r="Q529" s="4" t="s">
        <v>2</v>
      </c>
      <c r="R529" s="3" t="s">
        <v>15</v>
      </c>
      <c r="S529" s="3"/>
      <c r="T529" s="3"/>
      <c r="U529" s="15"/>
    </row>
    <row r="530" spans="1:21">
      <c r="A530" s="8"/>
      <c r="B530" t="s">
        <v>16</v>
      </c>
      <c r="C530"/>
      <c r="D530"/>
      <c r="E530" s="2" t="s">
        <v>2</v>
      </c>
      <c r="F530" s="5">
        <v>3595000</v>
      </c>
      <c r="G530" s="15"/>
      <c r="H530" s="8"/>
      <c r="I530" t="s">
        <v>16</v>
      </c>
      <c r="J530"/>
      <c r="K530"/>
      <c r="L530" s="2" t="s">
        <v>2</v>
      </c>
      <c r="M530" s="5">
        <v>4311000</v>
      </c>
      <c r="N530" s="15"/>
      <c r="O530" s="8"/>
      <c r="P530" t="s">
        <v>16</v>
      </c>
      <c r="Q530"/>
      <c r="R530"/>
      <c r="S530" s="2" t="s">
        <v>2</v>
      </c>
      <c r="T530" s="5">
        <v>3608000</v>
      </c>
      <c r="U530" s="15"/>
    </row>
    <row r="531" spans="1:21">
      <c r="A531" s="8"/>
      <c r="B531" t="s">
        <v>17</v>
      </c>
      <c r="C531"/>
      <c r="D531"/>
      <c r="E531" s="2" t="s">
        <v>2</v>
      </c>
      <c r="F531" s="5">
        <v>0</v>
      </c>
      <c r="G531" s="15"/>
      <c r="H531" s="8"/>
      <c r="I531" t="s">
        <v>17</v>
      </c>
      <c r="J531"/>
      <c r="K531"/>
      <c r="L531" s="2" t="s">
        <v>2</v>
      </c>
      <c r="M531" s="5">
        <v>200000</v>
      </c>
      <c r="N531" s="15"/>
      <c r="O531" s="8"/>
      <c r="P531" t="s">
        <v>17</v>
      </c>
      <c r="Q531"/>
      <c r="R531"/>
      <c r="S531" s="2" t="s">
        <v>2</v>
      </c>
      <c r="T531" s="5">
        <v>80000</v>
      </c>
      <c r="U531" s="15"/>
    </row>
    <row r="532" spans="1:21">
      <c r="A532" s="8"/>
      <c r="B532" t="s">
        <v>18</v>
      </c>
      <c r="C532"/>
      <c r="D532"/>
      <c r="E532" s="2" t="s">
        <v>2</v>
      </c>
      <c r="F532" s="5">
        <v>0</v>
      </c>
      <c r="G532" s="15"/>
      <c r="H532" s="8"/>
      <c r="I532" t="s">
        <v>18</v>
      </c>
      <c r="J532"/>
      <c r="K532"/>
      <c r="L532" s="2" t="s">
        <v>2</v>
      </c>
      <c r="M532" s="5">
        <v>0</v>
      </c>
      <c r="N532" s="15"/>
      <c r="O532" s="8"/>
      <c r="P532" t="s">
        <v>18</v>
      </c>
      <c r="Q532"/>
      <c r="R532"/>
      <c r="S532" s="2" t="s">
        <v>2</v>
      </c>
      <c r="T532" s="5">
        <v>0</v>
      </c>
      <c r="U532" s="15"/>
    </row>
    <row r="533" spans="1:21">
      <c r="A533" s="8"/>
      <c r="B533" t="s">
        <v>19</v>
      </c>
      <c r="C533"/>
      <c r="D533"/>
      <c r="E533" s="2" t="s">
        <v>2</v>
      </c>
      <c r="F533" s="5">
        <v>0</v>
      </c>
      <c r="G533" s="15"/>
      <c r="H533" s="8"/>
      <c r="I533" t="s">
        <v>19</v>
      </c>
      <c r="J533"/>
      <c r="K533"/>
      <c r="L533" s="2" t="s">
        <v>2</v>
      </c>
      <c r="M533" s="5">
        <v>0</v>
      </c>
      <c r="N533" s="15"/>
      <c r="O533" s="8"/>
      <c r="P533" t="s">
        <v>19</v>
      </c>
      <c r="Q533"/>
      <c r="R533"/>
      <c r="S533" s="2" t="s">
        <v>2</v>
      </c>
      <c r="T533" s="5">
        <v>0</v>
      </c>
      <c r="U533" s="15"/>
    </row>
    <row r="534" spans="1:21">
      <c r="A534" s="8"/>
      <c r="B534"/>
      <c r="C534"/>
      <c r="D534"/>
      <c r="E534"/>
      <c r="F534"/>
      <c r="G534" s="15"/>
      <c r="H534" s="8"/>
      <c r="I534"/>
      <c r="J534"/>
      <c r="K534"/>
      <c r="L534"/>
      <c r="M534"/>
      <c r="N534" s="15"/>
      <c r="O534" s="8"/>
      <c r="P534"/>
      <c r="Q534"/>
      <c r="R534"/>
      <c r="S534"/>
      <c r="T534"/>
      <c r="U534" s="15"/>
    </row>
    <row r="535" spans="1:21">
      <c r="A535" s="8"/>
      <c r="B535" s="2" t="s">
        <v>20</v>
      </c>
      <c r="C535"/>
      <c r="D535"/>
      <c r="E535"/>
      <c r="F535"/>
      <c r="G535" s="15"/>
      <c r="H535" s="8"/>
      <c r="I535" s="2" t="s">
        <v>20</v>
      </c>
      <c r="J535"/>
      <c r="K535"/>
      <c r="L535"/>
      <c r="M535"/>
      <c r="N535" s="15"/>
      <c r="O535" s="8"/>
      <c r="P535" s="2" t="s">
        <v>20</v>
      </c>
      <c r="Q535"/>
      <c r="R535"/>
      <c r="S535"/>
      <c r="T535"/>
      <c r="U535" s="15"/>
    </row>
    <row r="536" spans="1:21">
      <c r="A536" s="8"/>
      <c r="B536" t="s">
        <v>21</v>
      </c>
      <c r="C536"/>
      <c r="D536"/>
      <c r="E536" s="2" t="s">
        <v>2</v>
      </c>
      <c r="F536" s="5">
        <v>2157000</v>
      </c>
      <c r="G536" s="15"/>
      <c r="H536" s="8"/>
      <c r="I536" t="s">
        <v>21</v>
      </c>
      <c r="J536"/>
      <c r="K536"/>
      <c r="L536" s="2" t="s">
        <v>2</v>
      </c>
      <c r="M536" s="5">
        <v>2155500</v>
      </c>
      <c r="N536" s="15"/>
      <c r="O536" s="8"/>
      <c r="P536" t="s">
        <v>21</v>
      </c>
      <c r="Q536"/>
      <c r="R536"/>
      <c r="S536" s="2" t="s">
        <v>2</v>
      </c>
      <c r="T536" s="5">
        <v>2044533.38</v>
      </c>
      <c r="U536" s="15"/>
    </row>
    <row r="537" spans="1:21">
      <c r="A537" s="8"/>
      <c r="B537" t="s">
        <v>22</v>
      </c>
      <c r="C537"/>
      <c r="D537"/>
      <c r="E537" s="2" t="s">
        <v>2</v>
      </c>
      <c r="F537" s="5">
        <v>107850</v>
      </c>
      <c r="G537" s="15"/>
      <c r="H537" s="8"/>
      <c r="I537" t="s">
        <v>22</v>
      </c>
      <c r="J537"/>
      <c r="K537"/>
      <c r="L537" s="2" t="s">
        <v>2</v>
      </c>
      <c r="M537" s="5">
        <v>129330</v>
      </c>
      <c r="N537" s="15"/>
      <c r="O537" s="8"/>
      <c r="P537" t="s">
        <v>22</v>
      </c>
      <c r="Q537"/>
      <c r="R537"/>
      <c r="S537" s="2" t="s">
        <v>2</v>
      </c>
      <c r="T537" s="5">
        <v>108240</v>
      </c>
      <c r="U537" s="15"/>
    </row>
    <row r="538" spans="1:21">
      <c r="A538" s="8"/>
      <c r="B538" s="3" t="s">
        <v>23</v>
      </c>
      <c r="C538" s="3"/>
      <c r="D538" s="3"/>
      <c r="E538" s="4" t="s">
        <v>2</v>
      </c>
      <c r="F538" s="6">
        <v>35745</v>
      </c>
      <c r="G538" s="15"/>
      <c r="H538" s="8"/>
      <c r="I538" s="3" t="s">
        <v>23</v>
      </c>
      <c r="J538" s="3"/>
      <c r="K538" s="3"/>
      <c r="L538" s="4" t="s">
        <v>2</v>
      </c>
      <c r="M538" s="6">
        <v>43110</v>
      </c>
      <c r="N538" s="15"/>
      <c r="O538" s="8"/>
      <c r="P538" s="3" t="s">
        <v>23</v>
      </c>
      <c r="Q538" s="3"/>
      <c r="R538" s="3"/>
      <c r="S538" s="4" t="s">
        <v>2</v>
      </c>
      <c r="T538" s="6">
        <v>35745</v>
      </c>
      <c r="U538" s="15"/>
    </row>
    <row r="539" spans="1:21">
      <c r="A539" s="8"/>
      <c r="B539" t="s">
        <v>24</v>
      </c>
      <c r="C539"/>
      <c r="D539"/>
      <c r="E539" s="2" t="s">
        <v>2</v>
      </c>
      <c r="F539" s="5" t="str">
        <f>sum(f536:f538)</f>
        <v>0</v>
      </c>
      <c r="G539" s="15"/>
      <c r="H539" s="8"/>
      <c r="I539" t="s">
        <v>24</v>
      </c>
      <c r="J539"/>
      <c r="K539"/>
      <c r="L539" s="2" t="s">
        <v>2</v>
      </c>
      <c r="M539" s="5" t="str">
        <f>sum(m536:m538)</f>
        <v>0</v>
      </c>
      <c r="N539" s="15"/>
      <c r="O539" s="8"/>
      <c r="P539" t="s">
        <v>24</v>
      </c>
      <c r="Q539"/>
      <c r="R539"/>
      <c r="S539" s="2" t="s">
        <v>2</v>
      </c>
      <c r="T539" s="5" t="str">
        <f>sum(t536:t538)</f>
        <v>0</v>
      </c>
      <c r="U539" s="15"/>
    </row>
    <row r="540" spans="1:21">
      <c r="A540" s="9"/>
      <c r="B540" s="11" t="s">
        <v>25</v>
      </c>
      <c r="C540" s="11"/>
      <c r="D540" s="11"/>
      <c r="E540" s="12" t="s">
        <v>2</v>
      </c>
      <c r="F540" s="13" t="str">
        <f>sum(f530:f533)-f539</f>
        <v>0</v>
      </c>
      <c r="G540" s="16"/>
      <c r="H540" s="9"/>
      <c r="I540" s="11" t="s">
        <v>25</v>
      </c>
      <c r="J540" s="11"/>
      <c r="K540" s="11"/>
      <c r="L540" s="12" t="s">
        <v>2</v>
      </c>
      <c r="M540" s="13" t="str">
        <f>sum(m530:m533)-m539</f>
        <v>0</v>
      </c>
      <c r="N540" s="16"/>
      <c r="O540" s="9"/>
      <c r="P540" s="11" t="s">
        <v>25</v>
      </c>
      <c r="Q540" s="11"/>
      <c r="R540" s="11"/>
      <c r="S540" s="12" t="s">
        <v>2</v>
      </c>
      <c r="T540" s="13" t="str">
        <f>sum(t530:t533)-t539</f>
        <v>0</v>
      </c>
      <c r="U540" s="16"/>
    </row>
    <row r="541" spans="1:21">
      <c r="A541" s="7"/>
      <c r="B541" s="10"/>
      <c r="C541" s="10"/>
      <c r="D541" s="10"/>
      <c r="E541" s="10"/>
      <c r="F541" s="10"/>
      <c r="G541" s="14"/>
      <c r="H541" s="7"/>
      <c r="I541" s="10"/>
      <c r="J541" s="10"/>
      <c r="K541" s="10"/>
      <c r="L541" s="10"/>
      <c r="M541" s="10"/>
      <c r="N541" s="14"/>
      <c r="O541" s="7"/>
      <c r="P541" s="10"/>
      <c r="Q541" s="10"/>
      <c r="R541" s="10"/>
      <c r="S541" s="10"/>
      <c r="T541" s="10"/>
      <c r="U541" s="14"/>
    </row>
    <row r="542" spans="1:21">
      <c r="A542" s="8"/>
      <c r="B542" s="1" t="s">
        <v>0</v>
      </c>
      <c r="C542"/>
      <c r="D542"/>
      <c r="E542"/>
      <c r="F542"/>
      <c r="G542" s="15"/>
      <c r="H542" s="8"/>
      <c r="I542" s="1" t="s">
        <v>0</v>
      </c>
      <c r="J542"/>
      <c r="K542"/>
      <c r="L542"/>
      <c r="M542"/>
      <c r="N542" s="15"/>
      <c r="O542" s="8"/>
      <c r="P542" s="1" t="s">
        <v>0</v>
      </c>
      <c r="Q542"/>
      <c r="R542"/>
      <c r="S542"/>
      <c r="T542"/>
      <c r="U542" s="15"/>
    </row>
    <row r="543" spans="1:21">
      <c r="A543" s="8"/>
      <c r="B543" t="s">
        <v>1</v>
      </c>
      <c r="C543" s="2" t="s">
        <v>2</v>
      </c>
      <c r="D543" t="s">
        <v>198</v>
      </c>
      <c r="E543"/>
      <c r="F543"/>
      <c r="G543" s="15"/>
      <c r="H543" s="8"/>
      <c r="I543" t="s">
        <v>1</v>
      </c>
      <c r="J543" s="2" t="s">
        <v>2</v>
      </c>
      <c r="K543" t="s">
        <v>199</v>
      </c>
      <c r="L543"/>
      <c r="M543"/>
      <c r="N543" s="15"/>
      <c r="O543" s="8"/>
      <c r="P543" t="s">
        <v>1</v>
      </c>
      <c r="Q543" s="2" t="s">
        <v>2</v>
      </c>
      <c r="R543" t="s">
        <v>200</v>
      </c>
      <c r="S543"/>
      <c r="T543"/>
      <c r="U543" s="15"/>
    </row>
    <row r="544" spans="1:21">
      <c r="A544" s="8"/>
      <c r="B544" t="s">
        <v>6</v>
      </c>
      <c r="C544" s="2" t="s">
        <v>2</v>
      </c>
      <c r="D544" t="s">
        <v>201</v>
      </c>
      <c r="E544"/>
      <c r="F544"/>
      <c r="G544" s="15"/>
      <c r="H544" s="8"/>
      <c r="I544" t="s">
        <v>6</v>
      </c>
      <c r="J544" s="2" t="s">
        <v>2</v>
      </c>
      <c r="K544" t="s">
        <v>202</v>
      </c>
      <c r="L544"/>
      <c r="M544"/>
      <c r="N544" s="15"/>
      <c r="O544" s="8"/>
      <c r="P544" t="s">
        <v>6</v>
      </c>
      <c r="Q544" s="2" t="s">
        <v>2</v>
      </c>
      <c r="R544" t="s">
        <v>203</v>
      </c>
      <c r="S544"/>
      <c r="T544"/>
      <c r="U544" s="15"/>
    </row>
    <row r="545" spans="1:21">
      <c r="A545" s="8"/>
      <c r="B545" t="s">
        <v>10</v>
      </c>
      <c r="C545" s="2" t="s">
        <v>2</v>
      </c>
      <c r="D545" t="s">
        <v>197</v>
      </c>
      <c r="E545"/>
      <c r="F545"/>
      <c r="G545" s="15"/>
      <c r="H545" s="8"/>
      <c r="I545" t="s">
        <v>10</v>
      </c>
      <c r="J545" s="2" t="s">
        <v>2</v>
      </c>
      <c r="K545" t="s">
        <v>197</v>
      </c>
      <c r="L545"/>
      <c r="M545"/>
      <c r="N545" s="15"/>
      <c r="O545" s="8"/>
      <c r="P545" t="s">
        <v>10</v>
      </c>
      <c r="Q545" s="2" t="s">
        <v>2</v>
      </c>
      <c r="R545" t="s">
        <v>197</v>
      </c>
      <c r="S545"/>
      <c r="T545"/>
      <c r="U545" s="15"/>
    </row>
    <row r="546" spans="1:21">
      <c r="A546" s="8"/>
      <c r="B546" t="s">
        <v>12</v>
      </c>
      <c r="C546" s="2" t="s">
        <v>2</v>
      </c>
      <c r="D546" t="s">
        <v>13</v>
      </c>
      <c r="E546"/>
      <c r="F546"/>
      <c r="G546" s="15"/>
      <c r="H546" s="8"/>
      <c r="I546" t="s">
        <v>12</v>
      </c>
      <c r="J546" s="2" t="s">
        <v>2</v>
      </c>
      <c r="K546" t="s">
        <v>13</v>
      </c>
      <c r="L546"/>
      <c r="M546"/>
      <c r="N546" s="15"/>
      <c r="O546" s="8"/>
      <c r="P546" t="s">
        <v>12</v>
      </c>
      <c r="Q546" s="2" t="s">
        <v>2</v>
      </c>
      <c r="R546" t="s">
        <v>13</v>
      </c>
      <c r="S546"/>
      <c r="T546"/>
      <c r="U546" s="15"/>
    </row>
    <row r="547" spans="1:21">
      <c r="A547" s="8"/>
      <c r="B547" s="3" t="s">
        <v>14</v>
      </c>
      <c r="C547" s="4" t="s">
        <v>2</v>
      </c>
      <c r="D547" s="3" t="s">
        <v>15</v>
      </c>
      <c r="E547" s="3"/>
      <c r="F547" s="3"/>
      <c r="G547" s="15"/>
      <c r="H547" s="8"/>
      <c r="I547" s="3" t="s">
        <v>14</v>
      </c>
      <c r="J547" s="4" t="s">
        <v>2</v>
      </c>
      <c r="K547" s="3" t="s">
        <v>15</v>
      </c>
      <c r="L547" s="3"/>
      <c r="M547" s="3"/>
      <c r="N547" s="15"/>
      <c r="O547" s="8"/>
      <c r="P547" s="3" t="s">
        <v>14</v>
      </c>
      <c r="Q547" s="4" t="s">
        <v>2</v>
      </c>
      <c r="R547" s="3" t="s">
        <v>15</v>
      </c>
      <c r="S547" s="3"/>
      <c r="T547" s="3"/>
      <c r="U547" s="15"/>
    </row>
    <row r="548" spans="1:21">
      <c r="A548" s="8"/>
      <c r="B548" t="s">
        <v>16</v>
      </c>
      <c r="C548"/>
      <c r="D548"/>
      <c r="E548" s="2" t="s">
        <v>2</v>
      </c>
      <c r="F548" s="5">
        <v>3595000</v>
      </c>
      <c r="G548" s="15"/>
      <c r="H548" s="8"/>
      <c r="I548" t="s">
        <v>16</v>
      </c>
      <c r="J548"/>
      <c r="K548"/>
      <c r="L548" s="2" t="s">
        <v>2</v>
      </c>
      <c r="M548" s="5">
        <v>3596000</v>
      </c>
      <c r="N548" s="15"/>
      <c r="O548" s="8"/>
      <c r="P548" t="s">
        <v>16</v>
      </c>
      <c r="Q548"/>
      <c r="R548"/>
      <c r="S548" s="2" t="s">
        <v>2</v>
      </c>
      <c r="T548" s="5">
        <v>3595000</v>
      </c>
      <c r="U548" s="15"/>
    </row>
    <row r="549" spans="1:21">
      <c r="A549" s="8"/>
      <c r="B549" t="s">
        <v>17</v>
      </c>
      <c r="C549"/>
      <c r="D549"/>
      <c r="E549" s="2" t="s">
        <v>2</v>
      </c>
      <c r="F549" s="5">
        <v>30000</v>
      </c>
      <c r="G549" s="15"/>
      <c r="H549" s="8"/>
      <c r="I549" t="s">
        <v>17</v>
      </c>
      <c r="J549"/>
      <c r="K549"/>
      <c r="L549" s="2" t="s">
        <v>2</v>
      </c>
      <c r="M549" s="5">
        <v>0</v>
      </c>
      <c r="N549" s="15"/>
      <c r="O549" s="8"/>
      <c r="P549" t="s">
        <v>17</v>
      </c>
      <c r="Q549"/>
      <c r="R549"/>
      <c r="S549" s="2" t="s">
        <v>2</v>
      </c>
      <c r="T549" s="5">
        <v>40000</v>
      </c>
      <c r="U549" s="15"/>
    </row>
    <row r="550" spans="1:21">
      <c r="A550" s="8"/>
      <c r="B550" t="s">
        <v>18</v>
      </c>
      <c r="C550"/>
      <c r="D550"/>
      <c r="E550" s="2" t="s">
        <v>2</v>
      </c>
      <c r="F550" s="5">
        <v>0</v>
      </c>
      <c r="G550" s="15"/>
      <c r="H550" s="8"/>
      <c r="I550" t="s">
        <v>18</v>
      </c>
      <c r="J550"/>
      <c r="K550"/>
      <c r="L550" s="2" t="s">
        <v>2</v>
      </c>
      <c r="M550" s="5">
        <v>0</v>
      </c>
      <c r="N550" s="15"/>
      <c r="O550" s="8"/>
      <c r="P550" t="s">
        <v>18</v>
      </c>
      <c r="Q550"/>
      <c r="R550"/>
      <c r="S550" s="2" t="s">
        <v>2</v>
      </c>
      <c r="T550" s="5">
        <v>0</v>
      </c>
      <c r="U550" s="15"/>
    </row>
    <row r="551" spans="1:21">
      <c r="A551" s="8"/>
      <c r="B551" t="s">
        <v>19</v>
      </c>
      <c r="C551"/>
      <c r="D551"/>
      <c r="E551" s="2" t="s">
        <v>2</v>
      </c>
      <c r="F551" s="5">
        <v>0</v>
      </c>
      <c r="G551" s="15"/>
      <c r="H551" s="8"/>
      <c r="I551" t="s">
        <v>19</v>
      </c>
      <c r="J551"/>
      <c r="K551"/>
      <c r="L551" s="2" t="s">
        <v>2</v>
      </c>
      <c r="M551" s="5">
        <v>0</v>
      </c>
      <c r="N551" s="15"/>
      <c r="O551" s="8"/>
      <c r="P551" t="s">
        <v>19</v>
      </c>
      <c r="Q551"/>
      <c r="R551"/>
      <c r="S551" s="2" t="s">
        <v>2</v>
      </c>
      <c r="T551" s="5">
        <v>0</v>
      </c>
      <c r="U551" s="15"/>
    </row>
    <row r="552" spans="1:21">
      <c r="A552" s="8"/>
      <c r="B552"/>
      <c r="C552"/>
      <c r="D552"/>
      <c r="E552"/>
      <c r="F552"/>
      <c r="G552" s="15"/>
      <c r="H552" s="8"/>
      <c r="I552"/>
      <c r="J552"/>
      <c r="K552"/>
      <c r="L552"/>
      <c r="M552"/>
      <c r="N552" s="15"/>
      <c r="O552" s="8"/>
      <c r="P552"/>
      <c r="Q552"/>
      <c r="R552"/>
      <c r="S552"/>
      <c r="T552"/>
      <c r="U552" s="15"/>
    </row>
    <row r="553" spans="1:21">
      <c r="A553" s="8"/>
      <c r="B553" s="2" t="s">
        <v>20</v>
      </c>
      <c r="C553"/>
      <c r="D553"/>
      <c r="E553"/>
      <c r="F553"/>
      <c r="G553" s="15"/>
      <c r="H553" s="8"/>
      <c r="I553" s="2" t="s">
        <v>20</v>
      </c>
      <c r="J553"/>
      <c r="K553"/>
      <c r="L553"/>
      <c r="M553"/>
      <c r="N553" s="15"/>
      <c r="O553" s="8"/>
      <c r="P553" s="2" t="s">
        <v>20</v>
      </c>
      <c r="Q553"/>
      <c r="R553"/>
      <c r="S553"/>
      <c r="T553"/>
      <c r="U553" s="15"/>
    </row>
    <row r="554" spans="1:21">
      <c r="A554" s="8"/>
      <c r="B554" t="s">
        <v>21</v>
      </c>
      <c r="C554"/>
      <c r="D554"/>
      <c r="E554" s="2" t="s">
        <v>2</v>
      </c>
      <c r="F554" s="5">
        <v>0</v>
      </c>
      <c r="G554" s="15"/>
      <c r="H554" s="8"/>
      <c r="I554" t="s">
        <v>21</v>
      </c>
      <c r="J554"/>
      <c r="K554"/>
      <c r="L554" s="2" t="s">
        <v>2</v>
      </c>
      <c r="M554" s="5">
        <v>2037733.38</v>
      </c>
      <c r="N554" s="15"/>
      <c r="O554" s="8"/>
      <c r="P554" t="s">
        <v>21</v>
      </c>
      <c r="Q554"/>
      <c r="R554"/>
      <c r="S554" s="2" t="s">
        <v>2</v>
      </c>
      <c r="T554" s="5">
        <v>2037166.62</v>
      </c>
      <c r="U554" s="15"/>
    </row>
    <row r="555" spans="1:21">
      <c r="A555" s="8"/>
      <c r="B555" t="s">
        <v>22</v>
      </c>
      <c r="C555"/>
      <c r="D555"/>
      <c r="E555" s="2" t="s">
        <v>2</v>
      </c>
      <c r="F555" s="5">
        <v>107850</v>
      </c>
      <c r="G555" s="15"/>
      <c r="H555" s="8"/>
      <c r="I555" t="s">
        <v>22</v>
      </c>
      <c r="J555"/>
      <c r="K555"/>
      <c r="L555" s="2" t="s">
        <v>2</v>
      </c>
      <c r="M555" s="5">
        <v>107880</v>
      </c>
      <c r="N555" s="15"/>
      <c r="O555" s="8"/>
      <c r="P555" t="s">
        <v>22</v>
      </c>
      <c r="Q555"/>
      <c r="R555"/>
      <c r="S555" s="2" t="s">
        <v>2</v>
      </c>
      <c r="T555" s="5">
        <v>107850</v>
      </c>
      <c r="U555" s="15"/>
    </row>
    <row r="556" spans="1:21">
      <c r="A556" s="8"/>
      <c r="B556" s="3" t="s">
        <v>23</v>
      </c>
      <c r="C556" s="3"/>
      <c r="D556" s="3"/>
      <c r="E556" s="4" t="s">
        <v>2</v>
      </c>
      <c r="F556" s="6">
        <v>35745</v>
      </c>
      <c r="G556" s="15"/>
      <c r="H556" s="8"/>
      <c r="I556" s="3" t="s">
        <v>23</v>
      </c>
      <c r="J556" s="3"/>
      <c r="K556" s="3"/>
      <c r="L556" s="4" t="s">
        <v>2</v>
      </c>
      <c r="M556" s="6">
        <v>35745</v>
      </c>
      <c r="N556" s="15"/>
      <c r="O556" s="8"/>
      <c r="P556" s="3" t="s">
        <v>23</v>
      </c>
      <c r="Q556" s="3"/>
      <c r="R556" s="3"/>
      <c r="S556" s="4" t="s">
        <v>2</v>
      </c>
      <c r="T556" s="6">
        <v>35745</v>
      </c>
      <c r="U556" s="15"/>
    </row>
    <row r="557" spans="1:21">
      <c r="A557" s="8"/>
      <c r="B557" t="s">
        <v>24</v>
      </c>
      <c r="C557"/>
      <c r="D557"/>
      <c r="E557" s="2" t="s">
        <v>2</v>
      </c>
      <c r="F557" s="5" t="str">
        <f>sum(f554:f556)</f>
        <v>0</v>
      </c>
      <c r="G557" s="15"/>
      <c r="H557" s="8"/>
      <c r="I557" t="s">
        <v>24</v>
      </c>
      <c r="J557"/>
      <c r="K557"/>
      <c r="L557" s="2" t="s">
        <v>2</v>
      </c>
      <c r="M557" s="5" t="str">
        <f>sum(m554:m556)</f>
        <v>0</v>
      </c>
      <c r="N557" s="15"/>
      <c r="O557" s="8"/>
      <c r="P557" t="s">
        <v>24</v>
      </c>
      <c r="Q557"/>
      <c r="R557"/>
      <c r="S557" s="2" t="s">
        <v>2</v>
      </c>
      <c r="T557" s="5" t="str">
        <f>sum(t554:t556)</f>
        <v>0</v>
      </c>
      <c r="U557" s="15"/>
    </row>
    <row r="558" spans="1:21">
      <c r="A558" s="9"/>
      <c r="B558" s="11" t="s">
        <v>25</v>
      </c>
      <c r="C558" s="11"/>
      <c r="D558" s="11"/>
      <c r="E558" s="12" t="s">
        <v>2</v>
      </c>
      <c r="F558" s="13" t="str">
        <f>sum(f548:f551)-f557</f>
        <v>0</v>
      </c>
      <c r="G558" s="16"/>
      <c r="H558" s="9"/>
      <c r="I558" s="11" t="s">
        <v>25</v>
      </c>
      <c r="J558" s="11"/>
      <c r="K558" s="11"/>
      <c r="L558" s="12" t="s">
        <v>2</v>
      </c>
      <c r="M558" s="13" t="str">
        <f>sum(m548:m551)-m557</f>
        <v>0</v>
      </c>
      <c r="N558" s="16"/>
      <c r="O558" s="9"/>
      <c r="P558" s="11" t="s">
        <v>25</v>
      </c>
      <c r="Q558" s="11"/>
      <c r="R558" s="11"/>
      <c r="S558" s="12" t="s">
        <v>2</v>
      </c>
      <c r="T558" s="13" t="str">
        <f>sum(t548:t551)-t557</f>
        <v>0</v>
      </c>
      <c r="U558" s="16"/>
    </row>
    <row r="559" spans="1:21">
      <c r="A559" s="7"/>
      <c r="B559" s="10"/>
      <c r="C559" s="10"/>
      <c r="D559" s="10"/>
      <c r="E559" s="10"/>
      <c r="F559" s="10"/>
      <c r="G559" s="14"/>
      <c r="H559" s="7"/>
      <c r="I559" s="10"/>
      <c r="J559" s="10"/>
      <c r="K559" s="10"/>
      <c r="L559" s="10"/>
      <c r="M559" s="10"/>
      <c r="N559" s="14"/>
      <c r="O559" s="7"/>
      <c r="P559" s="10"/>
      <c r="Q559" s="10"/>
      <c r="R559" s="10"/>
      <c r="S559" s="10"/>
      <c r="T559" s="10"/>
      <c r="U559" s="14"/>
    </row>
    <row r="560" spans="1:21">
      <c r="A560" s="8"/>
      <c r="B560" s="1" t="s">
        <v>0</v>
      </c>
      <c r="C560"/>
      <c r="D560"/>
      <c r="E560"/>
      <c r="F560"/>
      <c r="G560" s="15"/>
      <c r="H560" s="8"/>
      <c r="I560" s="1" t="s">
        <v>0</v>
      </c>
      <c r="J560"/>
      <c r="K560"/>
      <c r="L560"/>
      <c r="M560"/>
      <c r="N560" s="15"/>
      <c r="O560" s="8"/>
      <c r="P560" s="1" t="s">
        <v>0</v>
      </c>
      <c r="Q560"/>
      <c r="R560"/>
      <c r="S560"/>
      <c r="T560"/>
      <c r="U560" s="15"/>
    </row>
    <row r="561" spans="1:21">
      <c r="A561" s="8"/>
      <c r="B561" t="s">
        <v>1</v>
      </c>
      <c r="C561" s="2" t="s">
        <v>2</v>
      </c>
      <c r="D561" t="s">
        <v>204</v>
      </c>
      <c r="E561"/>
      <c r="F561"/>
      <c r="G561" s="15"/>
      <c r="H561" s="8"/>
      <c r="I561" t="s">
        <v>1</v>
      </c>
      <c r="J561" s="2" t="s">
        <v>2</v>
      </c>
      <c r="K561" t="s">
        <v>205</v>
      </c>
      <c r="L561"/>
      <c r="M561"/>
      <c r="N561" s="15"/>
      <c r="O561" s="8"/>
      <c r="P561" t="s">
        <v>1</v>
      </c>
      <c r="Q561" s="2" t="s">
        <v>2</v>
      </c>
      <c r="R561" t="s">
        <v>206</v>
      </c>
      <c r="S561"/>
      <c r="T561"/>
      <c r="U561" s="15"/>
    </row>
    <row r="562" spans="1:21">
      <c r="A562" s="8"/>
      <c r="B562" t="s">
        <v>6</v>
      </c>
      <c r="C562" s="2" t="s">
        <v>2</v>
      </c>
      <c r="D562" t="s">
        <v>207</v>
      </c>
      <c r="E562"/>
      <c r="F562"/>
      <c r="G562" s="15"/>
      <c r="H562" s="8"/>
      <c r="I562" t="s">
        <v>6</v>
      </c>
      <c r="J562" s="2" t="s">
        <v>2</v>
      </c>
      <c r="K562" t="s">
        <v>208</v>
      </c>
      <c r="L562"/>
      <c r="M562"/>
      <c r="N562" s="15"/>
      <c r="O562" s="8"/>
      <c r="P562" t="s">
        <v>6</v>
      </c>
      <c r="Q562" s="2" t="s">
        <v>2</v>
      </c>
      <c r="R562" t="s">
        <v>209</v>
      </c>
      <c r="S562"/>
      <c r="T562"/>
      <c r="U562" s="15"/>
    </row>
    <row r="563" spans="1:21">
      <c r="A563" s="8"/>
      <c r="B563" t="s">
        <v>10</v>
      </c>
      <c r="C563" s="2" t="s">
        <v>2</v>
      </c>
      <c r="D563" t="s">
        <v>197</v>
      </c>
      <c r="E563"/>
      <c r="F563"/>
      <c r="G563" s="15"/>
      <c r="H563" s="8"/>
      <c r="I563" t="s">
        <v>10</v>
      </c>
      <c r="J563" s="2" t="s">
        <v>2</v>
      </c>
      <c r="K563" t="s">
        <v>197</v>
      </c>
      <c r="L563"/>
      <c r="M563"/>
      <c r="N563" s="15"/>
      <c r="O563" s="8"/>
      <c r="P563" t="s">
        <v>10</v>
      </c>
      <c r="Q563" s="2" t="s">
        <v>2</v>
      </c>
      <c r="R563" t="s">
        <v>197</v>
      </c>
      <c r="S563"/>
      <c r="T563"/>
      <c r="U563" s="15"/>
    </row>
    <row r="564" spans="1:21">
      <c r="A564" s="8"/>
      <c r="B564" t="s">
        <v>12</v>
      </c>
      <c r="C564" s="2" t="s">
        <v>2</v>
      </c>
      <c r="D564" t="s">
        <v>13</v>
      </c>
      <c r="E564"/>
      <c r="F564"/>
      <c r="G564" s="15"/>
      <c r="H564" s="8"/>
      <c r="I564" t="s">
        <v>12</v>
      </c>
      <c r="J564" s="2" t="s">
        <v>2</v>
      </c>
      <c r="K564" t="s">
        <v>13</v>
      </c>
      <c r="L564"/>
      <c r="M564"/>
      <c r="N564" s="15"/>
      <c r="O564" s="8"/>
      <c r="P564" t="s">
        <v>12</v>
      </c>
      <c r="Q564" s="2" t="s">
        <v>2</v>
      </c>
      <c r="R564" t="s">
        <v>13</v>
      </c>
      <c r="S564"/>
      <c r="T564"/>
      <c r="U564" s="15"/>
    </row>
    <row r="565" spans="1:21">
      <c r="A565" s="8"/>
      <c r="B565" s="3" t="s">
        <v>14</v>
      </c>
      <c r="C565" s="4" t="s">
        <v>2</v>
      </c>
      <c r="D565" s="3" t="s">
        <v>15</v>
      </c>
      <c r="E565" s="3"/>
      <c r="F565" s="3"/>
      <c r="G565" s="15"/>
      <c r="H565" s="8"/>
      <c r="I565" s="3" t="s">
        <v>14</v>
      </c>
      <c r="J565" s="4" t="s">
        <v>2</v>
      </c>
      <c r="K565" s="3" t="s">
        <v>15</v>
      </c>
      <c r="L565" s="3"/>
      <c r="M565" s="3"/>
      <c r="N565" s="15"/>
      <c r="O565" s="8"/>
      <c r="P565" s="3" t="s">
        <v>14</v>
      </c>
      <c r="Q565" s="4" t="s">
        <v>2</v>
      </c>
      <c r="R565" s="3" t="s">
        <v>15</v>
      </c>
      <c r="S565" s="3"/>
      <c r="T565" s="3"/>
      <c r="U565" s="15"/>
    </row>
    <row r="566" spans="1:21">
      <c r="A566" s="8"/>
      <c r="B566" t="s">
        <v>16</v>
      </c>
      <c r="C566"/>
      <c r="D566"/>
      <c r="E566" s="2" t="s">
        <v>2</v>
      </c>
      <c r="F566" s="5">
        <v>3594000</v>
      </c>
      <c r="G566" s="15"/>
      <c r="H566" s="8"/>
      <c r="I566" t="s">
        <v>16</v>
      </c>
      <c r="J566"/>
      <c r="K566"/>
      <c r="L566" s="2" t="s">
        <v>2</v>
      </c>
      <c r="M566" s="5">
        <v>3597000</v>
      </c>
      <c r="N566" s="15"/>
      <c r="O566" s="8"/>
      <c r="P566" t="s">
        <v>16</v>
      </c>
      <c r="Q566"/>
      <c r="R566"/>
      <c r="S566" s="2" t="s">
        <v>2</v>
      </c>
      <c r="T566" s="5">
        <v>3594000</v>
      </c>
      <c r="U566" s="15"/>
    </row>
    <row r="567" spans="1:21">
      <c r="A567" s="8"/>
      <c r="B567" t="s">
        <v>17</v>
      </c>
      <c r="C567"/>
      <c r="D567"/>
      <c r="E567" s="2" t="s">
        <v>2</v>
      </c>
      <c r="F567" s="5">
        <v>0</v>
      </c>
      <c r="G567" s="15"/>
      <c r="H567" s="8"/>
      <c r="I567" t="s">
        <v>17</v>
      </c>
      <c r="J567"/>
      <c r="K567"/>
      <c r="L567" s="2" t="s">
        <v>2</v>
      </c>
      <c r="M567" s="5">
        <v>0</v>
      </c>
      <c r="N567" s="15"/>
      <c r="O567" s="8"/>
      <c r="P567" t="s">
        <v>17</v>
      </c>
      <c r="Q567"/>
      <c r="R567"/>
      <c r="S567" s="2" t="s">
        <v>2</v>
      </c>
      <c r="T567" s="5">
        <v>40000</v>
      </c>
      <c r="U567" s="15"/>
    </row>
    <row r="568" spans="1:21">
      <c r="A568" s="8"/>
      <c r="B568" t="s">
        <v>18</v>
      </c>
      <c r="C568"/>
      <c r="D568"/>
      <c r="E568" s="2" t="s">
        <v>2</v>
      </c>
      <c r="F568" s="5">
        <v>0</v>
      </c>
      <c r="G568" s="15"/>
      <c r="H568" s="8"/>
      <c r="I568" t="s">
        <v>18</v>
      </c>
      <c r="J568"/>
      <c r="K568"/>
      <c r="L568" s="2" t="s">
        <v>2</v>
      </c>
      <c r="M568" s="5">
        <v>0</v>
      </c>
      <c r="N568" s="15"/>
      <c r="O568" s="8"/>
      <c r="P568" t="s">
        <v>18</v>
      </c>
      <c r="Q568"/>
      <c r="R568"/>
      <c r="S568" s="2" t="s">
        <v>2</v>
      </c>
      <c r="T568" s="5">
        <v>0</v>
      </c>
      <c r="U568" s="15"/>
    </row>
    <row r="569" spans="1:21">
      <c r="A569" s="8"/>
      <c r="B569" t="s">
        <v>19</v>
      </c>
      <c r="C569"/>
      <c r="D569"/>
      <c r="E569" s="2" t="s">
        <v>2</v>
      </c>
      <c r="F569" s="5">
        <v>0</v>
      </c>
      <c r="G569" s="15"/>
      <c r="H569" s="8"/>
      <c r="I569" t="s">
        <v>19</v>
      </c>
      <c r="J569"/>
      <c r="K569"/>
      <c r="L569" s="2" t="s">
        <v>2</v>
      </c>
      <c r="M569" s="5">
        <v>0</v>
      </c>
      <c r="N569" s="15"/>
      <c r="O569" s="8"/>
      <c r="P569" t="s">
        <v>19</v>
      </c>
      <c r="Q569"/>
      <c r="R569"/>
      <c r="S569" s="2" t="s">
        <v>2</v>
      </c>
      <c r="T569" s="5">
        <v>0</v>
      </c>
      <c r="U569" s="15"/>
    </row>
    <row r="570" spans="1:21">
      <c r="A570" s="8"/>
      <c r="B570"/>
      <c r="C570"/>
      <c r="D570"/>
      <c r="E570"/>
      <c r="F570"/>
      <c r="G570" s="15"/>
      <c r="H570" s="8"/>
      <c r="I570"/>
      <c r="J570"/>
      <c r="K570"/>
      <c r="L570"/>
      <c r="M570"/>
      <c r="N570" s="15"/>
      <c r="O570" s="8"/>
      <c r="P570"/>
      <c r="Q570"/>
      <c r="R570"/>
      <c r="S570"/>
      <c r="T570"/>
      <c r="U570" s="15"/>
    </row>
    <row r="571" spans="1:21">
      <c r="A571" s="8"/>
      <c r="B571" s="2" t="s">
        <v>20</v>
      </c>
      <c r="C571"/>
      <c r="D571"/>
      <c r="E571"/>
      <c r="F571"/>
      <c r="G571" s="15"/>
      <c r="H571" s="8"/>
      <c r="I571" s="2" t="s">
        <v>20</v>
      </c>
      <c r="J571"/>
      <c r="K571"/>
      <c r="L571"/>
      <c r="M571"/>
      <c r="N571" s="15"/>
      <c r="O571" s="8"/>
      <c r="P571" s="2" t="s">
        <v>20</v>
      </c>
      <c r="Q571"/>
      <c r="R571"/>
      <c r="S571"/>
      <c r="T571"/>
      <c r="U571" s="15"/>
    </row>
    <row r="572" spans="1:21">
      <c r="A572" s="8"/>
      <c r="B572" t="s">
        <v>21</v>
      </c>
      <c r="C572"/>
      <c r="D572"/>
      <c r="E572" s="2" t="s">
        <v>2</v>
      </c>
      <c r="F572" s="5">
        <v>1797000</v>
      </c>
      <c r="G572" s="15"/>
      <c r="H572" s="8"/>
      <c r="I572" t="s">
        <v>21</v>
      </c>
      <c r="J572"/>
      <c r="K572"/>
      <c r="L572" s="2" t="s">
        <v>2</v>
      </c>
      <c r="M572" s="5">
        <v>2158200</v>
      </c>
      <c r="N572" s="15"/>
      <c r="O572" s="8"/>
      <c r="P572" t="s">
        <v>21</v>
      </c>
      <c r="Q572"/>
      <c r="R572"/>
      <c r="S572" s="2" t="s">
        <v>2</v>
      </c>
      <c r="T572" s="5">
        <v>2036600</v>
      </c>
      <c r="U572" s="15"/>
    </row>
    <row r="573" spans="1:21">
      <c r="A573" s="8"/>
      <c r="B573" t="s">
        <v>22</v>
      </c>
      <c r="C573"/>
      <c r="D573"/>
      <c r="E573" s="2" t="s">
        <v>2</v>
      </c>
      <c r="F573" s="5">
        <v>107820</v>
      </c>
      <c r="G573" s="15"/>
      <c r="H573" s="8"/>
      <c r="I573" t="s">
        <v>22</v>
      </c>
      <c r="J573"/>
      <c r="K573"/>
      <c r="L573" s="2" t="s">
        <v>2</v>
      </c>
      <c r="M573" s="5">
        <v>107910</v>
      </c>
      <c r="N573" s="15"/>
      <c r="O573" s="8"/>
      <c r="P573" t="s">
        <v>22</v>
      </c>
      <c r="Q573"/>
      <c r="R573"/>
      <c r="S573" s="2" t="s">
        <v>2</v>
      </c>
      <c r="T573" s="5">
        <v>107820</v>
      </c>
      <c r="U573" s="15"/>
    </row>
    <row r="574" spans="1:21">
      <c r="A574" s="8"/>
      <c r="B574" s="3" t="s">
        <v>23</v>
      </c>
      <c r="C574" s="3"/>
      <c r="D574" s="3"/>
      <c r="E574" s="4" t="s">
        <v>2</v>
      </c>
      <c r="F574" s="6">
        <v>35745</v>
      </c>
      <c r="G574" s="15"/>
      <c r="H574" s="8"/>
      <c r="I574" s="3" t="s">
        <v>23</v>
      </c>
      <c r="J574" s="3"/>
      <c r="K574" s="3"/>
      <c r="L574" s="4" t="s">
        <v>2</v>
      </c>
      <c r="M574" s="6">
        <v>35745</v>
      </c>
      <c r="N574" s="15"/>
      <c r="O574" s="8"/>
      <c r="P574" s="3" t="s">
        <v>23</v>
      </c>
      <c r="Q574" s="3"/>
      <c r="R574" s="3"/>
      <c r="S574" s="4" t="s">
        <v>2</v>
      </c>
      <c r="T574" s="6">
        <v>35745</v>
      </c>
      <c r="U574" s="15"/>
    </row>
    <row r="575" spans="1:21">
      <c r="A575" s="8"/>
      <c r="B575" t="s">
        <v>24</v>
      </c>
      <c r="C575"/>
      <c r="D575"/>
      <c r="E575" s="2" t="s">
        <v>2</v>
      </c>
      <c r="F575" s="5" t="str">
        <f>sum(f572:f574)</f>
        <v>0</v>
      </c>
      <c r="G575" s="15"/>
      <c r="H575" s="8"/>
      <c r="I575" t="s">
        <v>24</v>
      </c>
      <c r="J575"/>
      <c r="K575"/>
      <c r="L575" s="2" t="s">
        <v>2</v>
      </c>
      <c r="M575" s="5" t="str">
        <f>sum(m572:m574)</f>
        <v>0</v>
      </c>
      <c r="N575" s="15"/>
      <c r="O575" s="8"/>
      <c r="P575" t="s">
        <v>24</v>
      </c>
      <c r="Q575"/>
      <c r="R575"/>
      <c r="S575" s="2" t="s">
        <v>2</v>
      </c>
      <c r="T575" s="5" t="str">
        <f>sum(t572:t574)</f>
        <v>0</v>
      </c>
      <c r="U575" s="15"/>
    </row>
    <row r="576" spans="1:21">
      <c r="A576" s="9"/>
      <c r="B576" s="11" t="s">
        <v>25</v>
      </c>
      <c r="C576" s="11"/>
      <c r="D576" s="11"/>
      <c r="E576" s="12" t="s">
        <v>2</v>
      </c>
      <c r="F576" s="13" t="str">
        <f>sum(f566:f569)-f575</f>
        <v>0</v>
      </c>
      <c r="G576" s="16"/>
      <c r="H576" s="9"/>
      <c r="I576" s="11" t="s">
        <v>25</v>
      </c>
      <c r="J576" s="11"/>
      <c r="K576" s="11"/>
      <c r="L576" s="12" t="s">
        <v>2</v>
      </c>
      <c r="M576" s="13" t="str">
        <f>sum(m566:m569)-m575</f>
        <v>0</v>
      </c>
      <c r="N576" s="16"/>
      <c r="O576" s="9"/>
      <c r="P576" s="11" t="s">
        <v>25</v>
      </c>
      <c r="Q576" s="11"/>
      <c r="R576" s="11"/>
      <c r="S576" s="12" t="s">
        <v>2</v>
      </c>
      <c r="T576" s="13" t="str">
        <f>sum(t566:t569)-t575</f>
        <v>0</v>
      </c>
      <c r="U576" s="16"/>
    </row>
    <row r="577" spans="1:21">
      <c r="A577" s="7"/>
      <c r="B577" s="10"/>
      <c r="C577" s="10"/>
      <c r="D577" s="10"/>
      <c r="E577" s="10"/>
      <c r="F577" s="10"/>
      <c r="G577" s="14"/>
      <c r="H577" s="7"/>
      <c r="I577" s="10"/>
      <c r="J577" s="10"/>
      <c r="K577" s="10"/>
      <c r="L577" s="10"/>
      <c r="M577" s="10"/>
      <c r="N577" s="14"/>
      <c r="O577" s="7"/>
      <c r="P577" s="10"/>
      <c r="Q577" s="10"/>
      <c r="R577" s="10"/>
      <c r="S577" s="10"/>
      <c r="T577" s="10"/>
      <c r="U577" s="14"/>
    </row>
    <row r="578" spans="1:21">
      <c r="A578" s="8"/>
      <c r="B578" s="1" t="s">
        <v>0</v>
      </c>
      <c r="C578"/>
      <c r="D578"/>
      <c r="E578"/>
      <c r="F578"/>
      <c r="G578" s="15"/>
      <c r="H578" s="8"/>
      <c r="I578" s="1" t="s">
        <v>0</v>
      </c>
      <c r="J578"/>
      <c r="K578"/>
      <c r="L578"/>
      <c r="M578"/>
      <c r="N578" s="15"/>
      <c r="O578" s="8"/>
      <c r="P578" s="1" t="s">
        <v>0</v>
      </c>
      <c r="Q578"/>
      <c r="R578"/>
      <c r="S578"/>
      <c r="T578"/>
      <c r="U578" s="15"/>
    </row>
    <row r="579" spans="1:21">
      <c r="A579" s="8"/>
      <c r="B579" t="s">
        <v>1</v>
      </c>
      <c r="C579" s="2" t="s">
        <v>2</v>
      </c>
      <c r="D579" t="s">
        <v>210</v>
      </c>
      <c r="E579"/>
      <c r="F579"/>
      <c r="G579" s="15"/>
      <c r="H579" s="8"/>
      <c r="I579" t="s">
        <v>1</v>
      </c>
      <c r="J579" s="2" t="s">
        <v>2</v>
      </c>
      <c r="K579" t="s">
        <v>211</v>
      </c>
      <c r="L579"/>
      <c r="M579"/>
      <c r="N579" s="15"/>
      <c r="O579" s="8"/>
      <c r="P579" t="s">
        <v>1</v>
      </c>
      <c r="Q579" s="2" t="s">
        <v>2</v>
      </c>
      <c r="R579" t="s">
        <v>212</v>
      </c>
      <c r="S579"/>
      <c r="T579"/>
      <c r="U579" s="15"/>
    </row>
    <row r="580" spans="1:21">
      <c r="A580" s="8"/>
      <c r="B580" t="s">
        <v>6</v>
      </c>
      <c r="C580" s="2" t="s">
        <v>2</v>
      </c>
      <c r="D580" t="s">
        <v>213</v>
      </c>
      <c r="E580"/>
      <c r="F580"/>
      <c r="G580" s="15"/>
      <c r="H580" s="8"/>
      <c r="I580" t="s">
        <v>6</v>
      </c>
      <c r="J580" s="2" t="s">
        <v>2</v>
      </c>
      <c r="K580" t="s">
        <v>214</v>
      </c>
      <c r="L580"/>
      <c r="M580"/>
      <c r="N580" s="15"/>
      <c r="O580" s="8"/>
      <c r="P580" t="s">
        <v>6</v>
      </c>
      <c r="Q580" s="2" t="s">
        <v>2</v>
      </c>
      <c r="R580" t="s">
        <v>215</v>
      </c>
      <c r="S580"/>
      <c r="T580"/>
      <c r="U580" s="15"/>
    </row>
    <row r="581" spans="1:21">
      <c r="A581" s="8"/>
      <c r="B581" t="s">
        <v>10</v>
      </c>
      <c r="C581" s="2" t="s">
        <v>2</v>
      </c>
      <c r="D581" t="s">
        <v>197</v>
      </c>
      <c r="E581"/>
      <c r="F581"/>
      <c r="G581" s="15"/>
      <c r="H581" s="8"/>
      <c r="I581" t="s">
        <v>10</v>
      </c>
      <c r="J581" s="2" t="s">
        <v>2</v>
      </c>
      <c r="K581" t="s">
        <v>197</v>
      </c>
      <c r="L581"/>
      <c r="M581"/>
      <c r="N581" s="15"/>
      <c r="O581" s="8"/>
      <c r="P581" t="s">
        <v>10</v>
      </c>
      <c r="Q581" s="2" t="s">
        <v>2</v>
      </c>
      <c r="R581" t="s">
        <v>197</v>
      </c>
      <c r="S581"/>
      <c r="T581"/>
      <c r="U581" s="15"/>
    </row>
    <row r="582" spans="1:21">
      <c r="A582" s="8"/>
      <c r="B582" t="s">
        <v>12</v>
      </c>
      <c r="C582" s="2" t="s">
        <v>2</v>
      </c>
      <c r="D582" t="s">
        <v>13</v>
      </c>
      <c r="E582"/>
      <c r="F582"/>
      <c r="G582" s="15"/>
      <c r="H582" s="8"/>
      <c r="I582" t="s">
        <v>12</v>
      </c>
      <c r="J582" s="2" t="s">
        <v>2</v>
      </c>
      <c r="K582" t="s">
        <v>13</v>
      </c>
      <c r="L582"/>
      <c r="M582"/>
      <c r="N582" s="15"/>
      <c r="O582" s="8"/>
      <c r="P582" t="s">
        <v>12</v>
      </c>
      <c r="Q582" s="2" t="s">
        <v>2</v>
      </c>
      <c r="R582" t="s">
        <v>13</v>
      </c>
      <c r="S582"/>
      <c r="T582"/>
      <c r="U582" s="15"/>
    </row>
    <row r="583" spans="1:21">
      <c r="A583" s="8"/>
      <c r="B583" s="3" t="s">
        <v>14</v>
      </c>
      <c r="C583" s="4" t="s">
        <v>2</v>
      </c>
      <c r="D583" s="3" t="s">
        <v>15</v>
      </c>
      <c r="E583" s="3"/>
      <c r="F583" s="3"/>
      <c r="G583" s="15"/>
      <c r="H583" s="8"/>
      <c r="I583" s="3" t="s">
        <v>14</v>
      </c>
      <c r="J583" s="4" t="s">
        <v>2</v>
      </c>
      <c r="K583" s="3" t="s">
        <v>15</v>
      </c>
      <c r="L583" s="3"/>
      <c r="M583" s="3"/>
      <c r="N583" s="15"/>
      <c r="O583" s="8"/>
      <c r="P583" s="3" t="s">
        <v>14</v>
      </c>
      <c r="Q583" s="4" t="s">
        <v>2</v>
      </c>
      <c r="R583" s="3" t="s">
        <v>15</v>
      </c>
      <c r="S583" s="3"/>
      <c r="T583" s="3"/>
      <c r="U583" s="15"/>
    </row>
    <row r="584" spans="1:21">
      <c r="A584" s="8"/>
      <c r="B584" t="s">
        <v>16</v>
      </c>
      <c r="C584"/>
      <c r="D584"/>
      <c r="E584" s="2" t="s">
        <v>2</v>
      </c>
      <c r="F584" s="5">
        <v>3594000</v>
      </c>
      <c r="G584" s="15"/>
      <c r="H584" s="8"/>
      <c r="I584" t="s">
        <v>16</v>
      </c>
      <c r="J584"/>
      <c r="K584"/>
      <c r="L584" s="2" t="s">
        <v>2</v>
      </c>
      <c r="M584" s="5">
        <v>3592000</v>
      </c>
      <c r="N584" s="15"/>
      <c r="O584" s="8"/>
      <c r="P584" t="s">
        <v>16</v>
      </c>
      <c r="Q584"/>
      <c r="R584"/>
      <c r="S584" s="2" t="s">
        <v>2</v>
      </c>
      <c r="T584" s="5">
        <v>3597000</v>
      </c>
      <c r="U584" s="15"/>
    </row>
    <row r="585" spans="1:21">
      <c r="A585" s="8"/>
      <c r="B585" t="s">
        <v>17</v>
      </c>
      <c r="C585"/>
      <c r="D585"/>
      <c r="E585" s="2" t="s">
        <v>2</v>
      </c>
      <c r="F585" s="5">
        <v>0</v>
      </c>
      <c r="G585" s="15"/>
      <c r="H585" s="8"/>
      <c r="I585" t="s">
        <v>17</v>
      </c>
      <c r="J585"/>
      <c r="K585"/>
      <c r="L585" s="2" t="s">
        <v>2</v>
      </c>
      <c r="M585" s="5">
        <v>80000</v>
      </c>
      <c r="N585" s="15"/>
      <c r="O585" s="8"/>
      <c r="P585" t="s">
        <v>17</v>
      </c>
      <c r="Q585"/>
      <c r="R585"/>
      <c r="S585" s="2" t="s">
        <v>2</v>
      </c>
      <c r="T585" s="5">
        <v>0</v>
      </c>
      <c r="U585" s="15"/>
    </row>
    <row r="586" spans="1:21">
      <c r="A586" s="8"/>
      <c r="B586" t="s">
        <v>18</v>
      </c>
      <c r="C586"/>
      <c r="D586"/>
      <c r="E586" s="2" t="s">
        <v>2</v>
      </c>
      <c r="F586" s="5">
        <v>0</v>
      </c>
      <c r="G586" s="15"/>
      <c r="H586" s="8"/>
      <c r="I586" t="s">
        <v>18</v>
      </c>
      <c r="J586"/>
      <c r="K586"/>
      <c r="L586" s="2" t="s">
        <v>2</v>
      </c>
      <c r="M586" s="5">
        <v>0</v>
      </c>
      <c r="N586" s="15"/>
      <c r="O586" s="8"/>
      <c r="P586" t="s">
        <v>18</v>
      </c>
      <c r="Q586"/>
      <c r="R586"/>
      <c r="S586" s="2" t="s">
        <v>2</v>
      </c>
      <c r="T586" s="5">
        <v>0</v>
      </c>
      <c r="U586" s="15"/>
    </row>
    <row r="587" spans="1:21">
      <c r="A587" s="8"/>
      <c r="B587" t="s">
        <v>19</v>
      </c>
      <c r="C587"/>
      <c r="D587"/>
      <c r="E587" s="2" t="s">
        <v>2</v>
      </c>
      <c r="F587" s="5">
        <v>0</v>
      </c>
      <c r="G587" s="15"/>
      <c r="H587" s="8"/>
      <c r="I587" t="s">
        <v>19</v>
      </c>
      <c r="J587"/>
      <c r="K587"/>
      <c r="L587" s="2" t="s">
        <v>2</v>
      </c>
      <c r="M587" s="5">
        <v>0</v>
      </c>
      <c r="N587" s="15"/>
      <c r="O587" s="8"/>
      <c r="P587" t="s">
        <v>19</v>
      </c>
      <c r="Q587"/>
      <c r="R587"/>
      <c r="S587" s="2" t="s">
        <v>2</v>
      </c>
      <c r="T587" s="5">
        <v>0</v>
      </c>
      <c r="U587" s="15"/>
    </row>
    <row r="588" spans="1:21">
      <c r="A588" s="8"/>
      <c r="B588"/>
      <c r="C588"/>
      <c r="D588"/>
      <c r="E588"/>
      <c r="F588"/>
      <c r="G588" s="15"/>
      <c r="H588" s="8"/>
      <c r="I588"/>
      <c r="J588"/>
      <c r="K588"/>
      <c r="L588"/>
      <c r="M588"/>
      <c r="N588" s="15"/>
      <c r="O588" s="8"/>
      <c r="P588"/>
      <c r="Q588"/>
      <c r="R588"/>
      <c r="S588"/>
      <c r="T588"/>
      <c r="U588" s="15"/>
    </row>
    <row r="589" spans="1:21">
      <c r="A589" s="8"/>
      <c r="B589" s="2" t="s">
        <v>20</v>
      </c>
      <c r="C589"/>
      <c r="D589"/>
      <c r="E589"/>
      <c r="F589"/>
      <c r="G589" s="15"/>
      <c r="H589" s="8"/>
      <c r="I589" s="2" t="s">
        <v>20</v>
      </c>
      <c r="J589"/>
      <c r="K589"/>
      <c r="L589"/>
      <c r="M589"/>
      <c r="N589" s="15"/>
      <c r="O589" s="8"/>
      <c r="P589" s="2" t="s">
        <v>20</v>
      </c>
      <c r="Q589"/>
      <c r="R589"/>
      <c r="S589"/>
      <c r="T589"/>
      <c r="U589" s="15"/>
    </row>
    <row r="590" spans="1:21">
      <c r="A590" s="8"/>
      <c r="B590" t="s">
        <v>21</v>
      </c>
      <c r="C590"/>
      <c r="D590"/>
      <c r="E590" s="2" t="s">
        <v>2</v>
      </c>
      <c r="F590" s="5">
        <v>2036600</v>
      </c>
      <c r="G590" s="15"/>
      <c r="H590" s="8"/>
      <c r="I590" t="s">
        <v>21</v>
      </c>
      <c r="J590"/>
      <c r="K590"/>
      <c r="L590" s="2" t="s">
        <v>2</v>
      </c>
      <c r="M590" s="5">
        <v>2155200</v>
      </c>
      <c r="N590" s="15"/>
      <c r="O590" s="8"/>
      <c r="P590" t="s">
        <v>21</v>
      </c>
      <c r="Q590"/>
      <c r="R590"/>
      <c r="S590" s="2" t="s">
        <v>2</v>
      </c>
      <c r="T590" s="5">
        <v>2038300</v>
      </c>
      <c r="U590" s="15"/>
    </row>
    <row r="591" spans="1:21">
      <c r="A591" s="8"/>
      <c r="B591" t="s">
        <v>22</v>
      </c>
      <c r="C591"/>
      <c r="D591"/>
      <c r="E591" s="2" t="s">
        <v>2</v>
      </c>
      <c r="F591" s="5">
        <v>107820</v>
      </c>
      <c r="G591" s="15"/>
      <c r="H591" s="8"/>
      <c r="I591" t="s">
        <v>22</v>
      </c>
      <c r="J591"/>
      <c r="K591"/>
      <c r="L591" s="2" t="s">
        <v>2</v>
      </c>
      <c r="M591" s="5">
        <v>107760</v>
      </c>
      <c r="N591" s="15"/>
      <c r="O591" s="8"/>
      <c r="P591" t="s">
        <v>22</v>
      </c>
      <c r="Q591"/>
      <c r="R591"/>
      <c r="S591" s="2" t="s">
        <v>2</v>
      </c>
      <c r="T591" s="5">
        <v>107910</v>
      </c>
      <c r="U591" s="15"/>
    </row>
    <row r="592" spans="1:21">
      <c r="A592" s="8"/>
      <c r="B592" s="3" t="s">
        <v>23</v>
      </c>
      <c r="C592" s="3"/>
      <c r="D592" s="3"/>
      <c r="E592" s="4" t="s">
        <v>2</v>
      </c>
      <c r="F592" s="6">
        <v>35745</v>
      </c>
      <c r="G592" s="15"/>
      <c r="H592" s="8"/>
      <c r="I592" s="3" t="s">
        <v>23</v>
      </c>
      <c r="J592" s="3"/>
      <c r="K592" s="3"/>
      <c r="L592" s="4" t="s">
        <v>2</v>
      </c>
      <c r="M592" s="6">
        <v>35745</v>
      </c>
      <c r="N592" s="15"/>
      <c r="O592" s="8"/>
      <c r="P592" s="3" t="s">
        <v>23</v>
      </c>
      <c r="Q592" s="3"/>
      <c r="R592" s="3"/>
      <c r="S592" s="4" t="s">
        <v>2</v>
      </c>
      <c r="T592" s="6">
        <v>35745</v>
      </c>
      <c r="U592" s="15"/>
    </row>
    <row r="593" spans="1:21">
      <c r="A593" s="8"/>
      <c r="B593" t="s">
        <v>24</v>
      </c>
      <c r="C593"/>
      <c r="D593"/>
      <c r="E593" s="2" t="s">
        <v>2</v>
      </c>
      <c r="F593" s="5" t="str">
        <f>sum(f590:f592)</f>
        <v>0</v>
      </c>
      <c r="G593" s="15"/>
      <c r="H593" s="8"/>
      <c r="I593" t="s">
        <v>24</v>
      </c>
      <c r="J593"/>
      <c r="K593"/>
      <c r="L593" s="2" t="s">
        <v>2</v>
      </c>
      <c r="M593" s="5" t="str">
        <f>sum(m590:m592)</f>
        <v>0</v>
      </c>
      <c r="N593" s="15"/>
      <c r="O593" s="8"/>
      <c r="P593" t="s">
        <v>24</v>
      </c>
      <c r="Q593"/>
      <c r="R593"/>
      <c r="S593" s="2" t="s">
        <v>2</v>
      </c>
      <c r="T593" s="5" t="str">
        <f>sum(t590:t592)</f>
        <v>0</v>
      </c>
      <c r="U593" s="15"/>
    </row>
    <row r="594" spans="1:21">
      <c r="A594" s="9"/>
      <c r="B594" s="11" t="s">
        <v>25</v>
      </c>
      <c r="C594" s="11"/>
      <c r="D594" s="11"/>
      <c r="E594" s="12" t="s">
        <v>2</v>
      </c>
      <c r="F594" s="13" t="str">
        <f>sum(f584:f587)-f593</f>
        <v>0</v>
      </c>
      <c r="G594" s="16"/>
      <c r="H594" s="9"/>
      <c r="I594" s="11" t="s">
        <v>25</v>
      </c>
      <c r="J594" s="11"/>
      <c r="K594" s="11"/>
      <c r="L594" s="12" t="s">
        <v>2</v>
      </c>
      <c r="M594" s="13" t="str">
        <f>sum(m584:m587)-m593</f>
        <v>0</v>
      </c>
      <c r="N594" s="16"/>
      <c r="O594" s="9"/>
      <c r="P594" s="11" t="s">
        <v>25</v>
      </c>
      <c r="Q594" s="11"/>
      <c r="R594" s="11"/>
      <c r="S594" s="12" t="s">
        <v>2</v>
      </c>
      <c r="T594" s="13" t="str">
        <f>sum(t584:t587)-t593</f>
        <v>0</v>
      </c>
      <c r="U594" s="16"/>
    </row>
    <row r="595" spans="1:21">
      <c r="A595" s="7"/>
      <c r="B595" s="10"/>
      <c r="C595" s="10"/>
      <c r="D595" s="10"/>
      <c r="E595" s="10"/>
      <c r="F595" s="10"/>
      <c r="G595" s="14"/>
      <c r="H595" s="7"/>
      <c r="I595" s="10"/>
      <c r="J595" s="10"/>
      <c r="K595" s="10"/>
      <c r="L595" s="10"/>
      <c r="M595" s="10"/>
      <c r="N595" s="14"/>
      <c r="O595" s="7"/>
      <c r="P595" s="10"/>
      <c r="Q595" s="10"/>
      <c r="R595" s="10"/>
      <c r="S595" s="10"/>
      <c r="T595" s="10"/>
      <c r="U595" s="14"/>
    </row>
    <row r="596" spans="1:21">
      <c r="A596" s="8"/>
      <c r="B596" s="1" t="s">
        <v>0</v>
      </c>
      <c r="C596"/>
      <c r="D596"/>
      <c r="E596"/>
      <c r="F596"/>
      <c r="G596" s="15"/>
      <c r="H596" s="8"/>
      <c r="I596" s="1" t="s">
        <v>0</v>
      </c>
      <c r="J596"/>
      <c r="K596"/>
      <c r="L596"/>
      <c r="M596"/>
      <c r="N596" s="15"/>
      <c r="O596" s="8"/>
      <c r="P596" s="1" t="s">
        <v>0</v>
      </c>
      <c r="Q596"/>
      <c r="R596"/>
      <c r="S596"/>
      <c r="T596"/>
      <c r="U596" s="15"/>
    </row>
    <row r="597" spans="1:21">
      <c r="A597" s="8"/>
      <c r="B597" t="s">
        <v>1</v>
      </c>
      <c r="C597" s="2" t="s">
        <v>2</v>
      </c>
      <c r="D597" t="s">
        <v>216</v>
      </c>
      <c r="E597"/>
      <c r="F597"/>
      <c r="G597" s="15"/>
      <c r="H597" s="8"/>
      <c r="I597" t="s">
        <v>1</v>
      </c>
      <c r="J597" s="2" t="s">
        <v>2</v>
      </c>
      <c r="K597" t="s">
        <v>217</v>
      </c>
      <c r="L597"/>
      <c r="M597"/>
      <c r="N597" s="15"/>
      <c r="O597" s="8"/>
      <c r="P597" t="s">
        <v>1</v>
      </c>
      <c r="Q597" s="2" t="s">
        <v>2</v>
      </c>
      <c r="R597" t="s">
        <v>218</v>
      </c>
      <c r="S597"/>
      <c r="T597"/>
      <c r="U597" s="15"/>
    </row>
    <row r="598" spans="1:21">
      <c r="A598" s="8"/>
      <c r="B598" t="s">
        <v>6</v>
      </c>
      <c r="C598" s="2" t="s">
        <v>2</v>
      </c>
      <c r="D598" t="s">
        <v>219</v>
      </c>
      <c r="E598"/>
      <c r="F598"/>
      <c r="G598" s="15"/>
      <c r="H598" s="8"/>
      <c r="I598" t="s">
        <v>6</v>
      </c>
      <c r="J598" s="2" t="s">
        <v>2</v>
      </c>
      <c r="K598" t="s">
        <v>220</v>
      </c>
      <c r="L598"/>
      <c r="M598"/>
      <c r="N598" s="15"/>
      <c r="O598" s="8"/>
      <c r="P598" t="s">
        <v>6</v>
      </c>
      <c r="Q598" s="2" t="s">
        <v>2</v>
      </c>
      <c r="R598" t="s">
        <v>221</v>
      </c>
      <c r="S598"/>
      <c r="T598"/>
      <c r="U598" s="15"/>
    </row>
    <row r="599" spans="1:21">
      <c r="A599" s="8"/>
      <c r="B599" t="s">
        <v>10</v>
      </c>
      <c r="C599" s="2" t="s">
        <v>2</v>
      </c>
      <c r="D599" t="s">
        <v>197</v>
      </c>
      <c r="E599"/>
      <c r="F599"/>
      <c r="G599" s="15"/>
      <c r="H599" s="8"/>
      <c r="I599" t="s">
        <v>10</v>
      </c>
      <c r="J599" s="2" t="s">
        <v>2</v>
      </c>
      <c r="K599" t="s">
        <v>197</v>
      </c>
      <c r="L599"/>
      <c r="M599"/>
      <c r="N599" s="15"/>
      <c r="O599" s="8"/>
      <c r="P599" t="s">
        <v>10</v>
      </c>
      <c r="Q599" s="2" t="s">
        <v>2</v>
      </c>
      <c r="R599" t="s">
        <v>197</v>
      </c>
      <c r="S599"/>
      <c r="T599"/>
      <c r="U599" s="15"/>
    </row>
    <row r="600" spans="1:21">
      <c r="A600" s="8"/>
      <c r="B600" t="s">
        <v>12</v>
      </c>
      <c r="C600" s="2" t="s">
        <v>2</v>
      </c>
      <c r="D600" t="s">
        <v>13</v>
      </c>
      <c r="E600"/>
      <c r="F600"/>
      <c r="G600" s="15"/>
      <c r="H600" s="8"/>
      <c r="I600" t="s">
        <v>12</v>
      </c>
      <c r="J600" s="2" t="s">
        <v>2</v>
      </c>
      <c r="K600" t="s">
        <v>13</v>
      </c>
      <c r="L600"/>
      <c r="M600"/>
      <c r="N600" s="15"/>
      <c r="O600" s="8"/>
      <c r="P600" t="s">
        <v>12</v>
      </c>
      <c r="Q600" s="2" t="s">
        <v>2</v>
      </c>
      <c r="R600" t="s">
        <v>13</v>
      </c>
      <c r="S600"/>
      <c r="T600"/>
      <c r="U600" s="15"/>
    </row>
    <row r="601" spans="1:21">
      <c r="A601" s="8"/>
      <c r="B601" s="3" t="s">
        <v>14</v>
      </c>
      <c r="C601" s="4" t="s">
        <v>2</v>
      </c>
      <c r="D601" s="3" t="s">
        <v>15</v>
      </c>
      <c r="E601" s="3"/>
      <c r="F601" s="3"/>
      <c r="G601" s="15"/>
      <c r="H601" s="8"/>
      <c r="I601" s="3" t="s">
        <v>14</v>
      </c>
      <c r="J601" s="4" t="s">
        <v>2</v>
      </c>
      <c r="K601" s="3" t="s">
        <v>15</v>
      </c>
      <c r="L601" s="3"/>
      <c r="M601" s="3"/>
      <c r="N601" s="15"/>
      <c r="O601" s="8"/>
      <c r="P601" s="3" t="s">
        <v>14</v>
      </c>
      <c r="Q601" s="4" t="s">
        <v>2</v>
      </c>
      <c r="R601" s="3" t="s">
        <v>15</v>
      </c>
      <c r="S601" s="3"/>
      <c r="T601" s="3"/>
      <c r="U601" s="15"/>
    </row>
    <row r="602" spans="1:21">
      <c r="A602" s="8"/>
      <c r="B602" t="s">
        <v>16</v>
      </c>
      <c r="C602"/>
      <c r="D602"/>
      <c r="E602" s="2" t="s">
        <v>2</v>
      </c>
      <c r="F602" s="5">
        <v>3596000</v>
      </c>
      <c r="G602" s="15"/>
      <c r="H602" s="8"/>
      <c r="I602" t="s">
        <v>16</v>
      </c>
      <c r="J602"/>
      <c r="K602"/>
      <c r="L602" s="2" t="s">
        <v>2</v>
      </c>
      <c r="M602" s="5">
        <v>3596000</v>
      </c>
      <c r="N602" s="15"/>
      <c r="O602" s="8"/>
      <c r="P602" t="s">
        <v>16</v>
      </c>
      <c r="Q602"/>
      <c r="R602"/>
      <c r="S602" s="2" t="s">
        <v>2</v>
      </c>
      <c r="T602" s="5">
        <v>3597000</v>
      </c>
      <c r="U602" s="15"/>
    </row>
    <row r="603" spans="1:21">
      <c r="A603" s="8"/>
      <c r="B603" t="s">
        <v>17</v>
      </c>
      <c r="C603"/>
      <c r="D603"/>
      <c r="E603" s="2" t="s">
        <v>2</v>
      </c>
      <c r="F603" s="5">
        <v>40000</v>
      </c>
      <c r="G603" s="15"/>
      <c r="H603" s="8"/>
      <c r="I603" t="s">
        <v>17</v>
      </c>
      <c r="J603"/>
      <c r="K603"/>
      <c r="L603" s="2" t="s">
        <v>2</v>
      </c>
      <c r="M603" s="5">
        <v>0</v>
      </c>
      <c r="N603" s="15"/>
      <c r="O603" s="8"/>
      <c r="P603" t="s">
        <v>17</v>
      </c>
      <c r="Q603"/>
      <c r="R603"/>
      <c r="S603" s="2" t="s">
        <v>2</v>
      </c>
      <c r="T603" s="5">
        <v>0</v>
      </c>
      <c r="U603" s="15"/>
    </row>
    <row r="604" spans="1:21">
      <c r="A604" s="8"/>
      <c r="B604" t="s">
        <v>18</v>
      </c>
      <c r="C604"/>
      <c r="D604"/>
      <c r="E604" s="2" t="s">
        <v>2</v>
      </c>
      <c r="F604" s="5">
        <v>0</v>
      </c>
      <c r="G604" s="15"/>
      <c r="H604" s="8"/>
      <c r="I604" t="s">
        <v>18</v>
      </c>
      <c r="J604"/>
      <c r="K604"/>
      <c r="L604" s="2" t="s">
        <v>2</v>
      </c>
      <c r="M604" s="5">
        <v>0</v>
      </c>
      <c r="N604" s="15"/>
      <c r="O604" s="8"/>
      <c r="P604" t="s">
        <v>18</v>
      </c>
      <c r="Q604"/>
      <c r="R604"/>
      <c r="S604" s="2" t="s">
        <v>2</v>
      </c>
      <c r="T604" s="5">
        <v>0</v>
      </c>
      <c r="U604" s="15"/>
    </row>
    <row r="605" spans="1:21">
      <c r="A605" s="8"/>
      <c r="B605" t="s">
        <v>19</v>
      </c>
      <c r="C605"/>
      <c r="D605"/>
      <c r="E605" s="2" t="s">
        <v>2</v>
      </c>
      <c r="F605" s="5">
        <v>0</v>
      </c>
      <c r="G605" s="15"/>
      <c r="H605" s="8"/>
      <c r="I605" t="s">
        <v>19</v>
      </c>
      <c r="J605"/>
      <c r="K605"/>
      <c r="L605" s="2" t="s">
        <v>2</v>
      </c>
      <c r="M605" s="5">
        <v>0</v>
      </c>
      <c r="N605" s="15"/>
      <c r="O605" s="8"/>
      <c r="P605" t="s">
        <v>19</v>
      </c>
      <c r="Q605"/>
      <c r="R605"/>
      <c r="S605" s="2" t="s">
        <v>2</v>
      </c>
      <c r="T605" s="5">
        <v>0</v>
      </c>
      <c r="U605" s="15"/>
    </row>
    <row r="606" spans="1:21">
      <c r="A606" s="8"/>
      <c r="B606"/>
      <c r="C606"/>
      <c r="D606"/>
      <c r="E606"/>
      <c r="F606"/>
      <c r="G606" s="15"/>
      <c r="H606" s="8"/>
      <c r="I606"/>
      <c r="J606"/>
      <c r="K606"/>
      <c r="L606"/>
      <c r="M606"/>
      <c r="N606" s="15"/>
      <c r="O606" s="8"/>
      <c r="P606"/>
      <c r="Q606"/>
      <c r="R606"/>
      <c r="S606"/>
      <c r="T606"/>
      <c r="U606" s="15"/>
    </row>
    <row r="607" spans="1:21">
      <c r="A607" s="8"/>
      <c r="B607" s="2" t="s">
        <v>20</v>
      </c>
      <c r="C607"/>
      <c r="D607"/>
      <c r="E607"/>
      <c r="F607"/>
      <c r="G607" s="15"/>
      <c r="H607" s="8"/>
      <c r="I607" s="2" t="s">
        <v>20</v>
      </c>
      <c r="J607"/>
      <c r="K607"/>
      <c r="L607"/>
      <c r="M607"/>
      <c r="N607" s="15"/>
      <c r="O607" s="8"/>
      <c r="P607" s="2" t="s">
        <v>20</v>
      </c>
      <c r="Q607"/>
      <c r="R607"/>
      <c r="S607"/>
      <c r="T607"/>
      <c r="U607" s="15"/>
    </row>
    <row r="608" spans="1:21">
      <c r="A608" s="8"/>
      <c r="B608" t="s">
        <v>21</v>
      </c>
      <c r="C608"/>
      <c r="D608"/>
      <c r="E608" s="2" t="s">
        <v>2</v>
      </c>
      <c r="F608" s="5">
        <v>2037733.38</v>
      </c>
      <c r="G608" s="15"/>
      <c r="H608" s="8"/>
      <c r="I608" t="s">
        <v>21</v>
      </c>
      <c r="J608"/>
      <c r="K608"/>
      <c r="L608" s="2" t="s">
        <v>2</v>
      </c>
      <c r="M608" s="5">
        <v>1917866.62</v>
      </c>
      <c r="N608" s="15"/>
      <c r="O608" s="8"/>
      <c r="P608" t="s">
        <v>21</v>
      </c>
      <c r="Q608"/>
      <c r="R608"/>
      <c r="S608" s="2" t="s">
        <v>2</v>
      </c>
      <c r="T608" s="5">
        <v>2038300</v>
      </c>
      <c r="U608" s="15"/>
    </row>
    <row r="609" spans="1:21">
      <c r="A609" s="8"/>
      <c r="B609" t="s">
        <v>22</v>
      </c>
      <c r="C609"/>
      <c r="D609"/>
      <c r="E609" s="2" t="s">
        <v>2</v>
      </c>
      <c r="F609" s="5">
        <v>107880</v>
      </c>
      <c r="G609" s="15"/>
      <c r="H609" s="8"/>
      <c r="I609" t="s">
        <v>22</v>
      </c>
      <c r="J609"/>
      <c r="K609"/>
      <c r="L609" s="2" t="s">
        <v>2</v>
      </c>
      <c r="M609" s="5">
        <v>107880</v>
      </c>
      <c r="N609" s="15"/>
      <c r="O609" s="8"/>
      <c r="P609" t="s">
        <v>22</v>
      </c>
      <c r="Q609"/>
      <c r="R609"/>
      <c r="S609" s="2" t="s">
        <v>2</v>
      </c>
      <c r="T609" s="5">
        <v>107910</v>
      </c>
      <c r="U609" s="15"/>
    </row>
    <row r="610" spans="1:21">
      <c r="A610" s="8"/>
      <c r="B610" s="3" t="s">
        <v>23</v>
      </c>
      <c r="C610" s="3"/>
      <c r="D610" s="3"/>
      <c r="E610" s="4" t="s">
        <v>2</v>
      </c>
      <c r="F610" s="6">
        <v>35745</v>
      </c>
      <c r="G610" s="15"/>
      <c r="H610" s="8"/>
      <c r="I610" s="3" t="s">
        <v>23</v>
      </c>
      <c r="J610" s="3"/>
      <c r="K610" s="3"/>
      <c r="L610" s="4" t="s">
        <v>2</v>
      </c>
      <c r="M610" s="6">
        <v>35745</v>
      </c>
      <c r="N610" s="15"/>
      <c r="O610" s="8"/>
      <c r="P610" s="3" t="s">
        <v>23</v>
      </c>
      <c r="Q610" s="3"/>
      <c r="R610" s="3"/>
      <c r="S610" s="4" t="s">
        <v>2</v>
      </c>
      <c r="T610" s="6">
        <v>35745</v>
      </c>
      <c r="U610" s="15"/>
    </row>
    <row r="611" spans="1:21">
      <c r="A611" s="8"/>
      <c r="B611" t="s">
        <v>24</v>
      </c>
      <c r="C611"/>
      <c r="D611"/>
      <c r="E611" s="2" t="s">
        <v>2</v>
      </c>
      <c r="F611" s="5" t="str">
        <f>sum(f608:f610)</f>
        <v>0</v>
      </c>
      <c r="G611" s="15"/>
      <c r="H611" s="8"/>
      <c r="I611" t="s">
        <v>24</v>
      </c>
      <c r="J611"/>
      <c r="K611"/>
      <c r="L611" s="2" t="s">
        <v>2</v>
      </c>
      <c r="M611" s="5" t="str">
        <f>sum(m608:m610)</f>
        <v>0</v>
      </c>
      <c r="N611" s="15"/>
      <c r="O611" s="8"/>
      <c r="P611" t="s">
        <v>24</v>
      </c>
      <c r="Q611"/>
      <c r="R611"/>
      <c r="S611" s="2" t="s">
        <v>2</v>
      </c>
      <c r="T611" s="5" t="str">
        <f>sum(t608:t610)</f>
        <v>0</v>
      </c>
      <c r="U611" s="15"/>
    </row>
    <row r="612" spans="1:21">
      <c r="A612" s="9"/>
      <c r="B612" s="11" t="s">
        <v>25</v>
      </c>
      <c r="C612" s="11"/>
      <c r="D612" s="11"/>
      <c r="E612" s="12" t="s">
        <v>2</v>
      </c>
      <c r="F612" s="13" t="str">
        <f>sum(f602:f605)-f611</f>
        <v>0</v>
      </c>
      <c r="G612" s="16"/>
      <c r="H612" s="9"/>
      <c r="I612" s="11" t="s">
        <v>25</v>
      </c>
      <c r="J612" s="11"/>
      <c r="K612" s="11"/>
      <c r="L612" s="12" t="s">
        <v>2</v>
      </c>
      <c r="M612" s="13" t="str">
        <f>sum(m602:m605)-m611</f>
        <v>0</v>
      </c>
      <c r="N612" s="16"/>
      <c r="O612" s="9"/>
      <c r="P612" s="11" t="s">
        <v>25</v>
      </c>
      <c r="Q612" s="11"/>
      <c r="R612" s="11"/>
      <c r="S612" s="12" t="s">
        <v>2</v>
      </c>
      <c r="T612" s="13" t="str">
        <f>sum(t602:t605)-t611</f>
        <v>0</v>
      </c>
      <c r="U612" s="16"/>
    </row>
    <row r="613" spans="1:21">
      <c r="A613" s="7"/>
      <c r="B613" s="10"/>
      <c r="C613" s="10"/>
      <c r="D613" s="10"/>
      <c r="E613" s="10"/>
      <c r="F613" s="10"/>
      <c r="G613" s="14"/>
      <c r="H613" s="7"/>
      <c r="I613" s="10"/>
      <c r="J613" s="10"/>
      <c r="K613" s="10"/>
      <c r="L613" s="10"/>
      <c r="M613" s="10"/>
      <c r="N613" s="14"/>
      <c r="O613" s="7"/>
      <c r="P613" s="10"/>
      <c r="Q613" s="10"/>
      <c r="R613" s="10"/>
      <c r="S613" s="10"/>
      <c r="T613" s="10"/>
      <c r="U613" s="14"/>
    </row>
    <row r="614" spans="1:21">
      <c r="A614" s="8"/>
      <c r="B614" s="1" t="s">
        <v>0</v>
      </c>
      <c r="C614"/>
      <c r="D614"/>
      <c r="E614"/>
      <c r="F614"/>
      <c r="G614" s="15"/>
      <c r="H614" s="8"/>
      <c r="I614" s="1" t="s">
        <v>0</v>
      </c>
      <c r="J614"/>
      <c r="K614"/>
      <c r="L614"/>
      <c r="M614"/>
      <c r="N614" s="15"/>
      <c r="O614" s="8"/>
      <c r="P614" s="1" t="s">
        <v>0</v>
      </c>
      <c r="Q614"/>
      <c r="R614"/>
      <c r="S614"/>
      <c r="T614"/>
      <c r="U614" s="15"/>
    </row>
    <row r="615" spans="1:21">
      <c r="A615" s="8"/>
      <c r="B615" t="s">
        <v>1</v>
      </c>
      <c r="C615" s="2" t="s">
        <v>2</v>
      </c>
      <c r="D615" t="s">
        <v>222</v>
      </c>
      <c r="E615"/>
      <c r="F615"/>
      <c r="G615" s="15"/>
      <c r="H615" s="8"/>
      <c r="I615" t="s">
        <v>1</v>
      </c>
      <c r="J615" s="2" t="s">
        <v>2</v>
      </c>
      <c r="K615" t="s">
        <v>223</v>
      </c>
      <c r="L615"/>
      <c r="M615"/>
      <c r="N615" s="15"/>
      <c r="O615" s="8"/>
      <c r="P615" t="s">
        <v>1</v>
      </c>
      <c r="Q615" s="2" t="s">
        <v>2</v>
      </c>
      <c r="R615" t="s">
        <v>224</v>
      </c>
      <c r="S615"/>
      <c r="T615"/>
      <c r="U615" s="15"/>
    </row>
    <row r="616" spans="1:21">
      <c r="A616" s="8"/>
      <c r="B616" t="s">
        <v>6</v>
      </c>
      <c r="C616" s="2" t="s">
        <v>2</v>
      </c>
      <c r="D616" t="s">
        <v>225</v>
      </c>
      <c r="E616"/>
      <c r="F616"/>
      <c r="G616" s="15"/>
      <c r="H616" s="8"/>
      <c r="I616" t="s">
        <v>6</v>
      </c>
      <c r="J616" s="2" t="s">
        <v>2</v>
      </c>
      <c r="K616" t="s">
        <v>226</v>
      </c>
      <c r="L616"/>
      <c r="M616"/>
      <c r="N616" s="15"/>
      <c r="O616" s="8"/>
      <c r="P616" t="s">
        <v>6</v>
      </c>
      <c r="Q616" s="2" t="s">
        <v>2</v>
      </c>
      <c r="R616" t="s">
        <v>227</v>
      </c>
      <c r="S616"/>
      <c r="T616"/>
      <c r="U616" s="15"/>
    </row>
    <row r="617" spans="1:21">
      <c r="A617" s="8"/>
      <c r="B617" t="s">
        <v>10</v>
      </c>
      <c r="C617" s="2" t="s">
        <v>2</v>
      </c>
      <c r="D617" t="s">
        <v>197</v>
      </c>
      <c r="E617"/>
      <c r="F617"/>
      <c r="G617" s="15"/>
      <c r="H617" s="8"/>
      <c r="I617" t="s">
        <v>10</v>
      </c>
      <c r="J617" s="2" t="s">
        <v>2</v>
      </c>
      <c r="K617" t="s">
        <v>197</v>
      </c>
      <c r="L617"/>
      <c r="M617"/>
      <c r="N617" s="15"/>
      <c r="O617" s="8"/>
      <c r="P617" t="s">
        <v>10</v>
      </c>
      <c r="Q617" s="2" t="s">
        <v>2</v>
      </c>
      <c r="R617" t="s">
        <v>197</v>
      </c>
      <c r="S617"/>
      <c r="T617"/>
      <c r="U617" s="15"/>
    </row>
    <row r="618" spans="1:21">
      <c r="A618" s="8"/>
      <c r="B618" t="s">
        <v>12</v>
      </c>
      <c r="C618" s="2" t="s">
        <v>2</v>
      </c>
      <c r="D618" t="s">
        <v>13</v>
      </c>
      <c r="E618"/>
      <c r="F618"/>
      <c r="G618" s="15"/>
      <c r="H618" s="8"/>
      <c r="I618" t="s">
        <v>12</v>
      </c>
      <c r="J618" s="2" t="s">
        <v>2</v>
      </c>
      <c r="K618" t="s">
        <v>13</v>
      </c>
      <c r="L618"/>
      <c r="M618"/>
      <c r="N618" s="15"/>
      <c r="O618" s="8"/>
      <c r="P618" t="s">
        <v>12</v>
      </c>
      <c r="Q618" s="2" t="s">
        <v>2</v>
      </c>
      <c r="R618" t="s">
        <v>13</v>
      </c>
      <c r="S618"/>
      <c r="T618"/>
      <c r="U618" s="15"/>
    </row>
    <row r="619" spans="1:21">
      <c r="A619" s="8"/>
      <c r="B619" s="3" t="s">
        <v>14</v>
      </c>
      <c r="C619" s="4" t="s">
        <v>2</v>
      </c>
      <c r="D619" s="3" t="s">
        <v>15</v>
      </c>
      <c r="E619" s="3"/>
      <c r="F619" s="3"/>
      <c r="G619" s="15"/>
      <c r="H619" s="8"/>
      <c r="I619" s="3" t="s">
        <v>14</v>
      </c>
      <c r="J619" s="4" t="s">
        <v>2</v>
      </c>
      <c r="K619" s="3" t="s">
        <v>15</v>
      </c>
      <c r="L619" s="3"/>
      <c r="M619" s="3"/>
      <c r="N619" s="15"/>
      <c r="O619" s="8"/>
      <c r="P619" s="3" t="s">
        <v>14</v>
      </c>
      <c r="Q619" s="4" t="s">
        <v>2</v>
      </c>
      <c r="R619" s="3" t="s">
        <v>15</v>
      </c>
      <c r="S619" s="3"/>
      <c r="T619" s="3"/>
      <c r="U619" s="15"/>
    </row>
    <row r="620" spans="1:21">
      <c r="A620" s="8"/>
      <c r="B620" t="s">
        <v>16</v>
      </c>
      <c r="C620"/>
      <c r="D620"/>
      <c r="E620" s="2" t="s">
        <v>2</v>
      </c>
      <c r="F620" s="5">
        <v>3596000</v>
      </c>
      <c r="G620" s="15"/>
      <c r="H620" s="8"/>
      <c r="I620" t="s">
        <v>16</v>
      </c>
      <c r="J620"/>
      <c r="K620"/>
      <c r="L620" s="2" t="s">
        <v>2</v>
      </c>
      <c r="M620" s="5">
        <v>3595000</v>
      </c>
      <c r="N620" s="15"/>
      <c r="O620" s="8"/>
      <c r="P620" t="s">
        <v>16</v>
      </c>
      <c r="Q620"/>
      <c r="R620"/>
      <c r="S620" s="2" t="s">
        <v>2</v>
      </c>
      <c r="T620" s="5">
        <v>3591000</v>
      </c>
      <c r="U620" s="15"/>
    </row>
    <row r="621" spans="1:21">
      <c r="A621" s="8"/>
      <c r="B621" t="s">
        <v>17</v>
      </c>
      <c r="C621"/>
      <c r="D621"/>
      <c r="E621" s="2" t="s">
        <v>2</v>
      </c>
      <c r="F621" s="5">
        <v>0</v>
      </c>
      <c r="G621" s="15"/>
      <c r="H621" s="8"/>
      <c r="I621" t="s">
        <v>17</v>
      </c>
      <c r="J621"/>
      <c r="K621"/>
      <c r="L621" s="2" t="s">
        <v>2</v>
      </c>
      <c r="M621" s="5">
        <v>40000</v>
      </c>
      <c r="N621" s="15"/>
      <c r="O621" s="8"/>
      <c r="P621" t="s">
        <v>17</v>
      </c>
      <c r="Q621"/>
      <c r="R621"/>
      <c r="S621" s="2" t="s">
        <v>2</v>
      </c>
      <c r="T621" s="5">
        <v>0</v>
      </c>
      <c r="U621" s="15"/>
    </row>
    <row r="622" spans="1:21">
      <c r="A622" s="8"/>
      <c r="B622" t="s">
        <v>18</v>
      </c>
      <c r="C622"/>
      <c r="D622"/>
      <c r="E622" s="2" t="s">
        <v>2</v>
      </c>
      <c r="F622" s="5">
        <v>0</v>
      </c>
      <c r="G622" s="15"/>
      <c r="H622" s="8"/>
      <c r="I622" t="s">
        <v>18</v>
      </c>
      <c r="J622"/>
      <c r="K622"/>
      <c r="L622" s="2" t="s">
        <v>2</v>
      </c>
      <c r="M622" s="5">
        <v>0</v>
      </c>
      <c r="N622" s="15"/>
      <c r="O622" s="8"/>
      <c r="P622" t="s">
        <v>18</v>
      </c>
      <c r="Q622"/>
      <c r="R622"/>
      <c r="S622" s="2" t="s">
        <v>2</v>
      </c>
      <c r="T622" s="5">
        <v>0</v>
      </c>
      <c r="U622" s="15"/>
    </row>
    <row r="623" spans="1:21">
      <c r="A623" s="8"/>
      <c r="B623" t="s">
        <v>19</v>
      </c>
      <c r="C623"/>
      <c r="D623"/>
      <c r="E623" s="2" t="s">
        <v>2</v>
      </c>
      <c r="F623" s="5">
        <v>0</v>
      </c>
      <c r="G623" s="15"/>
      <c r="H623" s="8"/>
      <c r="I623" t="s">
        <v>19</v>
      </c>
      <c r="J623"/>
      <c r="K623"/>
      <c r="L623" s="2" t="s">
        <v>2</v>
      </c>
      <c r="M623" s="5">
        <v>0</v>
      </c>
      <c r="N623" s="15"/>
      <c r="O623" s="8"/>
      <c r="P623" t="s">
        <v>19</v>
      </c>
      <c r="Q623"/>
      <c r="R623"/>
      <c r="S623" s="2" t="s">
        <v>2</v>
      </c>
      <c r="T623" s="5">
        <v>0</v>
      </c>
      <c r="U623" s="15"/>
    </row>
    <row r="624" spans="1:21">
      <c r="A624" s="8"/>
      <c r="B624"/>
      <c r="C624"/>
      <c r="D624"/>
      <c r="E624"/>
      <c r="F624"/>
      <c r="G624" s="15"/>
      <c r="H624" s="8"/>
      <c r="I624"/>
      <c r="J624"/>
      <c r="K624"/>
      <c r="L624"/>
      <c r="M624"/>
      <c r="N624" s="15"/>
      <c r="O624" s="8"/>
      <c r="P624"/>
      <c r="Q624"/>
      <c r="R624"/>
      <c r="S624"/>
      <c r="T624"/>
      <c r="U624" s="15"/>
    </row>
    <row r="625" spans="1:21">
      <c r="A625" s="8"/>
      <c r="B625" s="2" t="s">
        <v>20</v>
      </c>
      <c r="C625"/>
      <c r="D625"/>
      <c r="E625"/>
      <c r="F625"/>
      <c r="G625" s="15"/>
      <c r="H625" s="8"/>
      <c r="I625" s="2" t="s">
        <v>20</v>
      </c>
      <c r="J625"/>
      <c r="K625"/>
      <c r="L625"/>
      <c r="M625"/>
      <c r="N625" s="15"/>
      <c r="O625" s="8"/>
      <c r="P625" s="2" t="s">
        <v>20</v>
      </c>
      <c r="Q625"/>
      <c r="R625"/>
      <c r="S625"/>
      <c r="T625"/>
      <c r="U625" s="15"/>
    </row>
    <row r="626" spans="1:21">
      <c r="A626" s="8"/>
      <c r="B626" t="s">
        <v>21</v>
      </c>
      <c r="C626"/>
      <c r="D626"/>
      <c r="E626" s="2" t="s">
        <v>2</v>
      </c>
      <c r="F626" s="5">
        <v>2037733.38</v>
      </c>
      <c r="G626" s="15"/>
      <c r="H626" s="8"/>
      <c r="I626" t="s">
        <v>21</v>
      </c>
      <c r="J626"/>
      <c r="K626"/>
      <c r="L626" s="2" t="s">
        <v>2</v>
      </c>
      <c r="M626" s="5">
        <v>2037166.62</v>
      </c>
      <c r="N626" s="15"/>
      <c r="O626" s="8"/>
      <c r="P626" t="s">
        <v>21</v>
      </c>
      <c r="Q626"/>
      <c r="R626"/>
      <c r="S626" s="2" t="s">
        <v>2</v>
      </c>
      <c r="T626" s="5">
        <v>0</v>
      </c>
      <c r="U626" s="15"/>
    </row>
    <row r="627" spans="1:21">
      <c r="A627" s="8"/>
      <c r="B627" t="s">
        <v>22</v>
      </c>
      <c r="C627"/>
      <c r="D627"/>
      <c r="E627" s="2" t="s">
        <v>2</v>
      </c>
      <c r="F627" s="5">
        <v>107880</v>
      </c>
      <c r="G627" s="15"/>
      <c r="H627" s="8"/>
      <c r="I627" t="s">
        <v>22</v>
      </c>
      <c r="J627"/>
      <c r="K627"/>
      <c r="L627" s="2" t="s">
        <v>2</v>
      </c>
      <c r="M627" s="5">
        <v>107850</v>
      </c>
      <c r="N627" s="15"/>
      <c r="O627" s="8"/>
      <c r="P627" t="s">
        <v>22</v>
      </c>
      <c r="Q627"/>
      <c r="R627"/>
      <c r="S627" s="2" t="s">
        <v>2</v>
      </c>
      <c r="T627" s="5">
        <v>107730</v>
      </c>
      <c r="U627" s="15"/>
    </row>
    <row r="628" spans="1:21">
      <c r="A628" s="8"/>
      <c r="B628" s="3" t="s">
        <v>23</v>
      </c>
      <c r="C628" s="3"/>
      <c r="D628" s="3"/>
      <c r="E628" s="4" t="s">
        <v>2</v>
      </c>
      <c r="F628" s="6">
        <v>35745</v>
      </c>
      <c r="G628" s="15"/>
      <c r="H628" s="8"/>
      <c r="I628" s="3" t="s">
        <v>23</v>
      </c>
      <c r="J628" s="3"/>
      <c r="K628" s="3"/>
      <c r="L628" s="4" t="s">
        <v>2</v>
      </c>
      <c r="M628" s="6">
        <v>35745</v>
      </c>
      <c r="N628" s="15"/>
      <c r="O628" s="8"/>
      <c r="P628" s="3" t="s">
        <v>23</v>
      </c>
      <c r="Q628" s="3"/>
      <c r="R628" s="3"/>
      <c r="S628" s="4" t="s">
        <v>2</v>
      </c>
      <c r="T628" s="6">
        <v>35745</v>
      </c>
      <c r="U628" s="15"/>
    </row>
    <row r="629" spans="1:21">
      <c r="A629" s="8"/>
      <c r="B629" t="s">
        <v>24</v>
      </c>
      <c r="C629"/>
      <c r="D629"/>
      <c r="E629" s="2" t="s">
        <v>2</v>
      </c>
      <c r="F629" s="5" t="str">
        <f>sum(f626:f628)</f>
        <v>0</v>
      </c>
      <c r="G629" s="15"/>
      <c r="H629" s="8"/>
      <c r="I629" t="s">
        <v>24</v>
      </c>
      <c r="J629"/>
      <c r="K629"/>
      <c r="L629" s="2" t="s">
        <v>2</v>
      </c>
      <c r="M629" s="5" t="str">
        <f>sum(m626:m628)</f>
        <v>0</v>
      </c>
      <c r="N629" s="15"/>
      <c r="O629" s="8"/>
      <c r="P629" t="s">
        <v>24</v>
      </c>
      <c r="Q629"/>
      <c r="R629"/>
      <c r="S629" s="2" t="s">
        <v>2</v>
      </c>
      <c r="T629" s="5" t="str">
        <f>sum(t626:t628)</f>
        <v>0</v>
      </c>
      <c r="U629" s="15"/>
    </row>
    <row r="630" spans="1:21">
      <c r="A630" s="9"/>
      <c r="B630" s="11" t="s">
        <v>25</v>
      </c>
      <c r="C630" s="11"/>
      <c r="D630" s="11"/>
      <c r="E630" s="12" t="s">
        <v>2</v>
      </c>
      <c r="F630" s="13" t="str">
        <f>sum(f620:f623)-f629</f>
        <v>0</v>
      </c>
      <c r="G630" s="16"/>
      <c r="H630" s="9"/>
      <c r="I630" s="11" t="s">
        <v>25</v>
      </c>
      <c r="J630" s="11"/>
      <c r="K630" s="11"/>
      <c r="L630" s="12" t="s">
        <v>2</v>
      </c>
      <c r="M630" s="13" t="str">
        <f>sum(m620:m623)-m629</f>
        <v>0</v>
      </c>
      <c r="N630" s="16"/>
      <c r="O630" s="9"/>
      <c r="P630" s="11" t="s">
        <v>25</v>
      </c>
      <c r="Q630" s="11"/>
      <c r="R630" s="11"/>
      <c r="S630" s="12" t="s">
        <v>2</v>
      </c>
      <c r="T630" s="13" t="str">
        <f>sum(t620:t623)-t629</f>
        <v>0</v>
      </c>
      <c r="U630" s="16"/>
    </row>
    <row r="631" spans="1:21">
      <c r="A631" s="7"/>
      <c r="B631" s="10"/>
      <c r="C631" s="10"/>
      <c r="D631" s="10"/>
      <c r="E631" s="10"/>
      <c r="F631" s="10"/>
      <c r="G631" s="14"/>
      <c r="H631" s="7"/>
      <c r="I631" s="10"/>
      <c r="J631" s="10"/>
      <c r="K631" s="10"/>
      <c r="L631" s="10"/>
      <c r="M631" s="10"/>
      <c r="N631" s="14"/>
      <c r="O631" s="7"/>
      <c r="P631" s="10"/>
      <c r="Q631" s="10"/>
      <c r="R631" s="10"/>
      <c r="S631" s="10"/>
      <c r="T631" s="10"/>
      <c r="U631" s="14"/>
    </row>
    <row r="632" spans="1:21">
      <c r="A632" s="8"/>
      <c r="B632" s="1" t="s">
        <v>0</v>
      </c>
      <c r="C632"/>
      <c r="D632"/>
      <c r="E632"/>
      <c r="F632"/>
      <c r="G632" s="15"/>
      <c r="H632" s="8"/>
      <c r="I632" s="1" t="s">
        <v>0</v>
      </c>
      <c r="J632"/>
      <c r="K632"/>
      <c r="L632"/>
      <c r="M632"/>
      <c r="N632" s="15"/>
      <c r="O632" s="8"/>
      <c r="P632" s="1" t="s">
        <v>0</v>
      </c>
      <c r="Q632"/>
      <c r="R632"/>
      <c r="S632"/>
      <c r="T632"/>
      <c r="U632" s="15"/>
    </row>
    <row r="633" spans="1:21">
      <c r="A633" s="8"/>
      <c r="B633" t="s">
        <v>1</v>
      </c>
      <c r="C633" s="2" t="s">
        <v>2</v>
      </c>
      <c r="D633" t="s">
        <v>228</v>
      </c>
      <c r="E633"/>
      <c r="F633"/>
      <c r="G633" s="15"/>
      <c r="H633" s="8"/>
      <c r="I633" t="s">
        <v>1</v>
      </c>
      <c r="J633" s="2" t="s">
        <v>2</v>
      </c>
      <c r="K633" t="s">
        <v>229</v>
      </c>
      <c r="L633"/>
      <c r="M633"/>
      <c r="N633" s="15"/>
      <c r="O633" s="8"/>
      <c r="P633" t="s">
        <v>1</v>
      </c>
      <c r="Q633" s="2" t="s">
        <v>2</v>
      </c>
      <c r="R633" t="s">
        <v>230</v>
      </c>
      <c r="S633"/>
      <c r="T633"/>
      <c r="U633" s="15"/>
    </row>
    <row r="634" spans="1:21">
      <c r="A634" s="8"/>
      <c r="B634" t="s">
        <v>6</v>
      </c>
      <c r="C634" s="2" t="s">
        <v>2</v>
      </c>
      <c r="D634" t="s">
        <v>231</v>
      </c>
      <c r="E634"/>
      <c r="F634"/>
      <c r="G634" s="15"/>
      <c r="H634" s="8"/>
      <c r="I634" t="s">
        <v>6</v>
      </c>
      <c r="J634" s="2" t="s">
        <v>2</v>
      </c>
      <c r="K634" t="s">
        <v>232</v>
      </c>
      <c r="L634"/>
      <c r="M634"/>
      <c r="N634" s="15"/>
      <c r="O634" s="8"/>
      <c r="P634" t="s">
        <v>6</v>
      </c>
      <c r="Q634" s="2" t="s">
        <v>2</v>
      </c>
      <c r="R634" t="s">
        <v>233</v>
      </c>
      <c r="S634"/>
      <c r="T634"/>
      <c r="U634" s="15"/>
    </row>
    <row r="635" spans="1:21">
      <c r="A635" s="8"/>
      <c r="B635" t="s">
        <v>10</v>
      </c>
      <c r="C635" s="2" t="s">
        <v>2</v>
      </c>
      <c r="D635" t="s">
        <v>197</v>
      </c>
      <c r="E635"/>
      <c r="F635"/>
      <c r="G635" s="15"/>
      <c r="H635" s="8"/>
      <c r="I635" t="s">
        <v>10</v>
      </c>
      <c r="J635" s="2" t="s">
        <v>2</v>
      </c>
      <c r="K635" t="s">
        <v>197</v>
      </c>
      <c r="L635"/>
      <c r="M635"/>
      <c r="N635" s="15"/>
      <c r="O635" s="8"/>
      <c r="P635" t="s">
        <v>10</v>
      </c>
      <c r="Q635" s="2" t="s">
        <v>2</v>
      </c>
      <c r="R635" t="s">
        <v>197</v>
      </c>
      <c r="S635"/>
      <c r="T635"/>
      <c r="U635" s="15"/>
    </row>
    <row r="636" spans="1:21">
      <c r="A636" s="8"/>
      <c r="B636" t="s">
        <v>12</v>
      </c>
      <c r="C636" s="2" t="s">
        <v>2</v>
      </c>
      <c r="D636" t="s">
        <v>13</v>
      </c>
      <c r="E636"/>
      <c r="F636"/>
      <c r="G636" s="15"/>
      <c r="H636" s="8"/>
      <c r="I636" t="s">
        <v>12</v>
      </c>
      <c r="J636" s="2" t="s">
        <v>2</v>
      </c>
      <c r="K636" t="s">
        <v>13</v>
      </c>
      <c r="L636"/>
      <c r="M636"/>
      <c r="N636" s="15"/>
      <c r="O636" s="8"/>
      <c r="P636" t="s">
        <v>12</v>
      </c>
      <c r="Q636" s="2" t="s">
        <v>2</v>
      </c>
      <c r="R636" t="s">
        <v>13</v>
      </c>
      <c r="S636"/>
      <c r="T636"/>
      <c r="U636" s="15"/>
    </row>
    <row r="637" spans="1:21">
      <c r="A637" s="8"/>
      <c r="B637" s="3" t="s">
        <v>14</v>
      </c>
      <c r="C637" s="4" t="s">
        <v>2</v>
      </c>
      <c r="D637" s="3" t="s">
        <v>15</v>
      </c>
      <c r="E637" s="3"/>
      <c r="F637" s="3"/>
      <c r="G637" s="15"/>
      <c r="H637" s="8"/>
      <c r="I637" s="3" t="s">
        <v>14</v>
      </c>
      <c r="J637" s="4" t="s">
        <v>2</v>
      </c>
      <c r="K637" s="3" t="s">
        <v>15</v>
      </c>
      <c r="L637" s="3"/>
      <c r="M637" s="3"/>
      <c r="N637" s="15"/>
      <c r="O637" s="8"/>
      <c r="P637" s="3" t="s">
        <v>14</v>
      </c>
      <c r="Q637" s="4" t="s">
        <v>2</v>
      </c>
      <c r="R637" s="3" t="s">
        <v>15</v>
      </c>
      <c r="S637" s="3"/>
      <c r="T637" s="3"/>
      <c r="U637" s="15"/>
    </row>
    <row r="638" spans="1:21">
      <c r="A638" s="8"/>
      <c r="B638" t="s">
        <v>16</v>
      </c>
      <c r="C638"/>
      <c r="D638"/>
      <c r="E638" s="2" t="s">
        <v>2</v>
      </c>
      <c r="F638" s="5">
        <v>3596000</v>
      </c>
      <c r="G638" s="15"/>
      <c r="H638" s="8"/>
      <c r="I638" t="s">
        <v>16</v>
      </c>
      <c r="J638"/>
      <c r="K638"/>
      <c r="L638" s="2" t="s">
        <v>2</v>
      </c>
      <c r="M638" s="5">
        <v>3593000</v>
      </c>
      <c r="N638" s="15"/>
      <c r="O638" s="8"/>
      <c r="P638" t="s">
        <v>16</v>
      </c>
      <c r="Q638"/>
      <c r="R638"/>
      <c r="S638" s="2" t="s">
        <v>2</v>
      </c>
      <c r="T638" s="5">
        <v>3596000</v>
      </c>
      <c r="U638" s="15"/>
    </row>
    <row r="639" spans="1:21">
      <c r="A639" s="8"/>
      <c r="B639" t="s">
        <v>17</v>
      </c>
      <c r="C639"/>
      <c r="D639"/>
      <c r="E639" s="2" t="s">
        <v>2</v>
      </c>
      <c r="F639" s="5">
        <v>0</v>
      </c>
      <c r="G639" s="15"/>
      <c r="H639" s="8"/>
      <c r="I639" t="s">
        <v>17</v>
      </c>
      <c r="J639"/>
      <c r="K639"/>
      <c r="L639" s="2" t="s">
        <v>2</v>
      </c>
      <c r="M639" s="5">
        <v>0</v>
      </c>
      <c r="N639" s="15"/>
      <c r="O639" s="8"/>
      <c r="P639" t="s">
        <v>17</v>
      </c>
      <c r="Q639"/>
      <c r="R639"/>
      <c r="S639" s="2" t="s">
        <v>2</v>
      </c>
      <c r="T639" s="5">
        <v>30000</v>
      </c>
      <c r="U639" s="15"/>
    </row>
    <row r="640" spans="1:21">
      <c r="A640" s="8"/>
      <c r="B640" t="s">
        <v>18</v>
      </c>
      <c r="C640"/>
      <c r="D640"/>
      <c r="E640" s="2" t="s">
        <v>2</v>
      </c>
      <c r="F640" s="5">
        <v>0</v>
      </c>
      <c r="G640" s="15"/>
      <c r="H640" s="8"/>
      <c r="I640" t="s">
        <v>18</v>
      </c>
      <c r="J640"/>
      <c r="K640"/>
      <c r="L640" s="2" t="s">
        <v>2</v>
      </c>
      <c r="M640" s="5">
        <v>0</v>
      </c>
      <c r="N640" s="15"/>
      <c r="O640" s="8"/>
      <c r="P640" t="s">
        <v>18</v>
      </c>
      <c r="Q640"/>
      <c r="R640"/>
      <c r="S640" s="2" t="s">
        <v>2</v>
      </c>
      <c r="T640" s="5">
        <v>0</v>
      </c>
      <c r="U640" s="15"/>
    </row>
    <row r="641" spans="1:21">
      <c r="A641" s="8"/>
      <c r="B641" t="s">
        <v>19</v>
      </c>
      <c r="C641"/>
      <c r="D641"/>
      <c r="E641" s="2" t="s">
        <v>2</v>
      </c>
      <c r="F641" s="5">
        <v>0</v>
      </c>
      <c r="G641" s="15"/>
      <c r="H641" s="8"/>
      <c r="I641" t="s">
        <v>19</v>
      </c>
      <c r="J641"/>
      <c r="K641"/>
      <c r="L641" s="2" t="s">
        <v>2</v>
      </c>
      <c r="M641" s="5">
        <v>0</v>
      </c>
      <c r="N641" s="15"/>
      <c r="O641" s="8"/>
      <c r="P641" t="s">
        <v>19</v>
      </c>
      <c r="Q641"/>
      <c r="R641"/>
      <c r="S641" s="2" t="s">
        <v>2</v>
      </c>
      <c r="T641" s="5">
        <v>0</v>
      </c>
      <c r="U641" s="15"/>
    </row>
    <row r="642" spans="1:21">
      <c r="A642" s="8"/>
      <c r="B642"/>
      <c r="C642"/>
      <c r="D642"/>
      <c r="E642"/>
      <c r="F642"/>
      <c r="G642" s="15"/>
      <c r="H642" s="8"/>
      <c r="I642"/>
      <c r="J642"/>
      <c r="K642"/>
      <c r="L642"/>
      <c r="M642"/>
      <c r="N642" s="15"/>
      <c r="O642" s="8"/>
      <c r="P642"/>
      <c r="Q642"/>
      <c r="R642"/>
      <c r="S642"/>
      <c r="T642"/>
      <c r="U642" s="15"/>
    </row>
    <row r="643" spans="1:21">
      <c r="A643" s="8"/>
      <c r="B643" s="2" t="s">
        <v>20</v>
      </c>
      <c r="C643"/>
      <c r="D643"/>
      <c r="E643"/>
      <c r="F643"/>
      <c r="G643" s="15"/>
      <c r="H643" s="8"/>
      <c r="I643" s="2" t="s">
        <v>20</v>
      </c>
      <c r="J643"/>
      <c r="K643"/>
      <c r="L643"/>
      <c r="M643"/>
      <c r="N643" s="15"/>
      <c r="O643" s="8"/>
      <c r="P643" s="2" t="s">
        <v>20</v>
      </c>
      <c r="Q643"/>
      <c r="R643"/>
      <c r="S643"/>
      <c r="T643"/>
      <c r="U643" s="15"/>
    </row>
    <row r="644" spans="1:21">
      <c r="A644" s="8"/>
      <c r="B644" t="s">
        <v>21</v>
      </c>
      <c r="C644"/>
      <c r="D644"/>
      <c r="E644" s="2" t="s">
        <v>2</v>
      </c>
      <c r="F644" s="5">
        <v>2037733.38</v>
      </c>
      <c r="G644" s="15"/>
      <c r="H644" s="8"/>
      <c r="I644" t="s">
        <v>21</v>
      </c>
      <c r="J644"/>
      <c r="K644"/>
      <c r="L644" s="2" t="s">
        <v>2</v>
      </c>
      <c r="M644" s="5">
        <v>2155800</v>
      </c>
      <c r="N644" s="15"/>
      <c r="O644" s="8"/>
      <c r="P644" t="s">
        <v>21</v>
      </c>
      <c r="Q644"/>
      <c r="R644"/>
      <c r="S644" s="2" t="s">
        <v>2</v>
      </c>
      <c r="T644" s="5">
        <v>2037733.38</v>
      </c>
      <c r="U644" s="15"/>
    </row>
    <row r="645" spans="1:21">
      <c r="A645" s="8"/>
      <c r="B645" t="s">
        <v>22</v>
      </c>
      <c r="C645"/>
      <c r="D645"/>
      <c r="E645" s="2" t="s">
        <v>2</v>
      </c>
      <c r="F645" s="5">
        <v>107880</v>
      </c>
      <c r="G645" s="15"/>
      <c r="H645" s="8"/>
      <c r="I645" t="s">
        <v>22</v>
      </c>
      <c r="J645"/>
      <c r="K645"/>
      <c r="L645" s="2" t="s">
        <v>2</v>
      </c>
      <c r="M645" s="5">
        <v>107790</v>
      </c>
      <c r="N645" s="15"/>
      <c r="O645" s="8"/>
      <c r="P645" t="s">
        <v>22</v>
      </c>
      <c r="Q645"/>
      <c r="R645"/>
      <c r="S645" s="2" t="s">
        <v>2</v>
      </c>
      <c r="T645" s="5">
        <v>107880</v>
      </c>
      <c r="U645" s="15"/>
    </row>
    <row r="646" spans="1:21">
      <c r="A646" s="8"/>
      <c r="B646" s="3" t="s">
        <v>23</v>
      </c>
      <c r="C646" s="3"/>
      <c r="D646" s="3"/>
      <c r="E646" s="4" t="s">
        <v>2</v>
      </c>
      <c r="F646" s="6">
        <v>35745</v>
      </c>
      <c r="G646" s="15"/>
      <c r="H646" s="8"/>
      <c r="I646" s="3" t="s">
        <v>23</v>
      </c>
      <c r="J646" s="3"/>
      <c r="K646" s="3"/>
      <c r="L646" s="4" t="s">
        <v>2</v>
      </c>
      <c r="M646" s="6">
        <v>0</v>
      </c>
      <c r="N646" s="15"/>
      <c r="O646" s="8"/>
      <c r="P646" s="3" t="s">
        <v>23</v>
      </c>
      <c r="Q646" s="3"/>
      <c r="R646" s="3"/>
      <c r="S646" s="4" t="s">
        <v>2</v>
      </c>
      <c r="T646" s="6">
        <v>0</v>
      </c>
      <c r="U646" s="15"/>
    </row>
    <row r="647" spans="1:21">
      <c r="A647" s="8"/>
      <c r="B647" t="s">
        <v>24</v>
      </c>
      <c r="C647"/>
      <c r="D647"/>
      <c r="E647" s="2" t="s">
        <v>2</v>
      </c>
      <c r="F647" s="5" t="str">
        <f>sum(f644:f646)</f>
        <v>0</v>
      </c>
      <c r="G647" s="15"/>
      <c r="H647" s="8"/>
      <c r="I647" t="s">
        <v>24</v>
      </c>
      <c r="J647"/>
      <c r="K647"/>
      <c r="L647" s="2" t="s">
        <v>2</v>
      </c>
      <c r="M647" s="5" t="str">
        <f>sum(m644:m646)</f>
        <v>0</v>
      </c>
      <c r="N647" s="15"/>
      <c r="O647" s="8"/>
      <c r="P647" t="s">
        <v>24</v>
      </c>
      <c r="Q647"/>
      <c r="R647"/>
      <c r="S647" s="2" t="s">
        <v>2</v>
      </c>
      <c r="T647" s="5" t="str">
        <f>sum(t644:t646)</f>
        <v>0</v>
      </c>
      <c r="U647" s="15"/>
    </row>
    <row r="648" spans="1:21">
      <c r="A648" s="9"/>
      <c r="B648" s="11" t="s">
        <v>25</v>
      </c>
      <c r="C648" s="11"/>
      <c r="D648" s="11"/>
      <c r="E648" s="12" t="s">
        <v>2</v>
      </c>
      <c r="F648" s="13" t="str">
        <f>sum(f638:f641)-f647</f>
        <v>0</v>
      </c>
      <c r="G648" s="16"/>
      <c r="H648" s="9"/>
      <c r="I648" s="11" t="s">
        <v>25</v>
      </c>
      <c r="J648" s="11"/>
      <c r="K648" s="11"/>
      <c r="L648" s="12" t="s">
        <v>2</v>
      </c>
      <c r="M648" s="13" t="str">
        <f>sum(m638:m641)-m647</f>
        <v>0</v>
      </c>
      <c r="N648" s="16"/>
      <c r="O648" s="9"/>
      <c r="P648" s="11" t="s">
        <v>25</v>
      </c>
      <c r="Q648" s="11"/>
      <c r="R648" s="11"/>
      <c r="S648" s="12" t="s">
        <v>2</v>
      </c>
      <c r="T648" s="13" t="str">
        <f>sum(t638:t641)-t647</f>
        <v>0</v>
      </c>
      <c r="U648" s="16"/>
    </row>
    <row r="649" spans="1:21">
      <c r="A649" s="7"/>
      <c r="B649" s="10"/>
      <c r="C649" s="10"/>
      <c r="D649" s="10"/>
      <c r="E649" s="10"/>
      <c r="F649" s="10"/>
      <c r="G649" s="14"/>
      <c r="H649" s="7"/>
      <c r="I649" s="10"/>
      <c r="J649" s="10"/>
      <c r="K649" s="10"/>
      <c r="L649" s="10"/>
      <c r="M649" s="10"/>
      <c r="N649" s="14"/>
      <c r="O649" s="7"/>
      <c r="P649" s="10"/>
      <c r="Q649" s="10"/>
      <c r="R649" s="10"/>
      <c r="S649" s="10"/>
      <c r="T649" s="10"/>
      <c r="U649" s="14"/>
    </row>
    <row r="650" spans="1:21">
      <c r="A650" s="8"/>
      <c r="B650" s="1" t="s">
        <v>0</v>
      </c>
      <c r="C650"/>
      <c r="D650"/>
      <c r="E650"/>
      <c r="F650"/>
      <c r="G650" s="15"/>
      <c r="H650" s="8"/>
      <c r="I650" s="1" t="s">
        <v>0</v>
      </c>
      <c r="J650"/>
      <c r="K650"/>
      <c r="L650"/>
      <c r="M650"/>
      <c r="N650" s="15"/>
      <c r="O650" s="8"/>
      <c r="P650" s="1" t="s">
        <v>0</v>
      </c>
      <c r="Q650"/>
      <c r="R650"/>
      <c r="S650"/>
      <c r="T650"/>
      <c r="U650" s="15"/>
    </row>
    <row r="651" spans="1:21">
      <c r="A651" s="8"/>
      <c r="B651" t="s">
        <v>1</v>
      </c>
      <c r="C651" s="2" t="s">
        <v>2</v>
      </c>
      <c r="D651" t="s">
        <v>234</v>
      </c>
      <c r="E651"/>
      <c r="F651"/>
      <c r="G651" s="15"/>
      <c r="H651" s="8"/>
      <c r="I651" t="s">
        <v>1</v>
      </c>
      <c r="J651" s="2" t="s">
        <v>2</v>
      </c>
      <c r="K651" t="s">
        <v>235</v>
      </c>
      <c r="L651"/>
      <c r="M651"/>
      <c r="N651" s="15"/>
      <c r="O651" s="8"/>
      <c r="P651" t="s">
        <v>1</v>
      </c>
      <c r="Q651" s="2" t="s">
        <v>2</v>
      </c>
      <c r="R651" t="s">
        <v>236</v>
      </c>
      <c r="S651"/>
      <c r="T651"/>
      <c r="U651" s="15"/>
    </row>
    <row r="652" spans="1:21">
      <c r="A652" s="8"/>
      <c r="B652" t="s">
        <v>6</v>
      </c>
      <c r="C652" s="2" t="s">
        <v>2</v>
      </c>
      <c r="D652" t="s">
        <v>237</v>
      </c>
      <c r="E652"/>
      <c r="F652"/>
      <c r="G652" s="15"/>
      <c r="H652" s="8"/>
      <c r="I652" t="s">
        <v>6</v>
      </c>
      <c r="J652" s="2" t="s">
        <v>2</v>
      </c>
      <c r="K652" t="s">
        <v>238</v>
      </c>
      <c r="L652"/>
      <c r="M652"/>
      <c r="N652" s="15"/>
      <c r="O652" s="8"/>
      <c r="P652" t="s">
        <v>6</v>
      </c>
      <c r="Q652" s="2" t="s">
        <v>2</v>
      </c>
      <c r="R652" t="s">
        <v>239</v>
      </c>
      <c r="S652"/>
      <c r="T652"/>
      <c r="U652" s="15"/>
    </row>
    <row r="653" spans="1:21">
      <c r="A653" s="8"/>
      <c r="B653" t="s">
        <v>10</v>
      </c>
      <c r="C653" s="2" t="s">
        <v>2</v>
      </c>
      <c r="D653" t="s">
        <v>197</v>
      </c>
      <c r="E653"/>
      <c r="F653"/>
      <c r="G653" s="15"/>
      <c r="H653" s="8"/>
      <c r="I653" t="s">
        <v>10</v>
      </c>
      <c r="J653" s="2" t="s">
        <v>2</v>
      </c>
      <c r="K653" t="s">
        <v>197</v>
      </c>
      <c r="L653"/>
      <c r="M653"/>
      <c r="N653" s="15"/>
      <c r="O653" s="8"/>
      <c r="P653" t="s">
        <v>10</v>
      </c>
      <c r="Q653" s="2" t="s">
        <v>2</v>
      </c>
      <c r="R653" t="s">
        <v>197</v>
      </c>
      <c r="S653"/>
      <c r="T653"/>
      <c r="U653" s="15"/>
    </row>
    <row r="654" spans="1:21">
      <c r="A654" s="8"/>
      <c r="B654" t="s">
        <v>12</v>
      </c>
      <c r="C654" s="2" t="s">
        <v>2</v>
      </c>
      <c r="D654" t="s">
        <v>13</v>
      </c>
      <c r="E654"/>
      <c r="F654"/>
      <c r="G654" s="15"/>
      <c r="H654" s="8"/>
      <c r="I654" t="s">
        <v>12</v>
      </c>
      <c r="J654" s="2" t="s">
        <v>2</v>
      </c>
      <c r="K654" t="s">
        <v>13</v>
      </c>
      <c r="L654"/>
      <c r="M654"/>
      <c r="N654" s="15"/>
      <c r="O654" s="8"/>
      <c r="P654" t="s">
        <v>12</v>
      </c>
      <c r="Q654" s="2" t="s">
        <v>2</v>
      </c>
      <c r="R654" t="s">
        <v>13</v>
      </c>
      <c r="S654"/>
      <c r="T654"/>
      <c r="U654" s="15"/>
    </row>
    <row r="655" spans="1:21">
      <c r="A655" s="8"/>
      <c r="B655" s="3" t="s">
        <v>14</v>
      </c>
      <c r="C655" s="4" t="s">
        <v>2</v>
      </c>
      <c r="D655" s="3" t="s">
        <v>15</v>
      </c>
      <c r="E655" s="3"/>
      <c r="F655" s="3"/>
      <c r="G655" s="15"/>
      <c r="H655" s="8"/>
      <c r="I655" s="3" t="s">
        <v>14</v>
      </c>
      <c r="J655" s="4" t="s">
        <v>2</v>
      </c>
      <c r="K655" s="3" t="s">
        <v>15</v>
      </c>
      <c r="L655" s="3"/>
      <c r="M655" s="3"/>
      <c r="N655" s="15"/>
      <c r="O655" s="8"/>
      <c r="P655" s="3" t="s">
        <v>14</v>
      </c>
      <c r="Q655" s="4" t="s">
        <v>2</v>
      </c>
      <c r="R655" s="3" t="s">
        <v>15</v>
      </c>
      <c r="S655" s="3"/>
      <c r="T655" s="3"/>
      <c r="U655" s="15"/>
    </row>
    <row r="656" spans="1:21">
      <c r="A656" s="8"/>
      <c r="B656" t="s">
        <v>16</v>
      </c>
      <c r="C656"/>
      <c r="D656"/>
      <c r="E656" s="2" t="s">
        <v>2</v>
      </c>
      <c r="F656" s="5">
        <v>3589000</v>
      </c>
      <c r="G656" s="15"/>
      <c r="H656" s="8"/>
      <c r="I656" t="s">
        <v>16</v>
      </c>
      <c r="J656"/>
      <c r="K656"/>
      <c r="L656" s="2" t="s">
        <v>2</v>
      </c>
      <c r="M656" s="5">
        <v>3597000</v>
      </c>
      <c r="N656" s="15"/>
      <c r="O656" s="8"/>
      <c r="P656" t="s">
        <v>16</v>
      </c>
      <c r="Q656"/>
      <c r="R656"/>
      <c r="S656" s="2" t="s">
        <v>2</v>
      </c>
      <c r="T656" s="5">
        <v>3597000</v>
      </c>
      <c r="U656" s="15"/>
    </row>
    <row r="657" spans="1:21">
      <c r="A657" s="8"/>
      <c r="B657" t="s">
        <v>17</v>
      </c>
      <c r="C657"/>
      <c r="D657"/>
      <c r="E657" s="2" t="s">
        <v>2</v>
      </c>
      <c r="F657" s="5">
        <v>0</v>
      </c>
      <c r="G657" s="15"/>
      <c r="H657" s="8"/>
      <c r="I657" t="s">
        <v>17</v>
      </c>
      <c r="J657"/>
      <c r="K657"/>
      <c r="L657" s="2" t="s">
        <v>2</v>
      </c>
      <c r="M657" s="5">
        <v>40000</v>
      </c>
      <c r="N657" s="15"/>
      <c r="O657" s="8"/>
      <c r="P657" t="s">
        <v>17</v>
      </c>
      <c r="Q657"/>
      <c r="R657"/>
      <c r="S657" s="2" t="s">
        <v>2</v>
      </c>
      <c r="T657" s="5">
        <v>0</v>
      </c>
      <c r="U657" s="15"/>
    </row>
    <row r="658" spans="1:21">
      <c r="A658" s="8"/>
      <c r="B658" t="s">
        <v>18</v>
      </c>
      <c r="C658"/>
      <c r="D658"/>
      <c r="E658" s="2" t="s">
        <v>2</v>
      </c>
      <c r="F658" s="5">
        <v>0</v>
      </c>
      <c r="G658" s="15"/>
      <c r="H658" s="8"/>
      <c r="I658" t="s">
        <v>18</v>
      </c>
      <c r="J658"/>
      <c r="K658"/>
      <c r="L658" s="2" t="s">
        <v>2</v>
      </c>
      <c r="M658" s="5">
        <v>0</v>
      </c>
      <c r="N658" s="15"/>
      <c r="O658" s="8"/>
      <c r="P658" t="s">
        <v>18</v>
      </c>
      <c r="Q658"/>
      <c r="R658"/>
      <c r="S658" s="2" t="s">
        <v>2</v>
      </c>
      <c r="T658" s="5">
        <v>0</v>
      </c>
      <c r="U658" s="15"/>
    </row>
    <row r="659" spans="1:21">
      <c r="A659" s="8"/>
      <c r="B659" t="s">
        <v>19</v>
      </c>
      <c r="C659"/>
      <c r="D659"/>
      <c r="E659" s="2" t="s">
        <v>2</v>
      </c>
      <c r="F659" s="5">
        <v>0</v>
      </c>
      <c r="G659" s="15"/>
      <c r="H659" s="8"/>
      <c r="I659" t="s">
        <v>19</v>
      </c>
      <c r="J659"/>
      <c r="K659"/>
      <c r="L659" s="2" t="s">
        <v>2</v>
      </c>
      <c r="M659" s="5">
        <v>0</v>
      </c>
      <c r="N659" s="15"/>
      <c r="O659" s="8"/>
      <c r="P659" t="s">
        <v>19</v>
      </c>
      <c r="Q659"/>
      <c r="R659"/>
      <c r="S659" s="2" t="s">
        <v>2</v>
      </c>
      <c r="T659" s="5">
        <v>0</v>
      </c>
      <c r="U659" s="15"/>
    </row>
    <row r="660" spans="1:21">
      <c r="A660" s="8"/>
      <c r="B660"/>
      <c r="C660"/>
      <c r="D660"/>
      <c r="E660"/>
      <c r="F660"/>
      <c r="G660" s="15"/>
      <c r="H660" s="8"/>
      <c r="I660"/>
      <c r="J660"/>
      <c r="K660"/>
      <c r="L660"/>
      <c r="M660"/>
      <c r="N660" s="15"/>
      <c r="O660" s="8"/>
      <c r="P660"/>
      <c r="Q660"/>
      <c r="R660"/>
      <c r="S660"/>
      <c r="T660"/>
      <c r="U660" s="15"/>
    </row>
    <row r="661" spans="1:21">
      <c r="A661" s="8"/>
      <c r="B661" s="2" t="s">
        <v>20</v>
      </c>
      <c r="C661"/>
      <c r="D661"/>
      <c r="E661"/>
      <c r="F661"/>
      <c r="G661" s="15"/>
      <c r="H661" s="8"/>
      <c r="I661" s="2" t="s">
        <v>20</v>
      </c>
      <c r="J661"/>
      <c r="K661"/>
      <c r="L661"/>
      <c r="M661"/>
      <c r="N661" s="15"/>
      <c r="O661" s="8"/>
      <c r="P661" s="2" t="s">
        <v>20</v>
      </c>
      <c r="Q661"/>
      <c r="R661"/>
      <c r="S661"/>
      <c r="T661"/>
      <c r="U661" s="15"/>
    </row>
    <row r="662" spans="1:21">
      <c r="A662" s="8"/>
      <c r="B662" t="s">
        <v>21</v>
      </c>
      <c r="C662"/>
      <c r="D662"/>
      <c r="E662" s="2" t="s">
        <v>2</v>
      </c>
      <c r="F662" s="5">
        <v>2153400</v>
      </c>
      <c r="G662" s="15"/>
      <c r="H662" s="8"/>
      <c r="I662" t="s">
        <v>21</v>
      </c>
      <c r="J662"/>
      <c r="K662"/>
      <c r="L662" s="2" t="s">
        <v>2</v>
      </c>
      <c r="M662" s="5">
        <v>1978350</v>
      </c>
      <c r="N662" s="15"/>
      <c r="O662" s="8"/>
      <c r="P662" t="s">
        <v>21</v>
      </c>
      <c r="Q662"/>
      <c r="R662"/>
      <c r="S662" s="2" t="s">
        <v>2</v>
      </c>
      <c r="T662" s="5">
        <v>2158200</v>
      </c>
      <c r="U662" s="15"/>
    </row>
    <row r="663" spans="1:21">
      <c r="A663" s="8"/>
      <c r="B663" t="s">
        <v>22</v>
      </c>
      <c r="C663"/>
      <c r="D663"/>
      <c r="E663" s="2" t="s">
        <v>2</v>
      </c>
      <c r="F663" s="5">
        <v>107670</v>
      </c>
      <c r="G663" s="15"/>
      <c r="H663" s="8"/>
      <c r="I663" t="s">
        <v>22</v>
      </c>
      <c r="J663"/>
      <c r="K663"/>
      <c r="L663" s="2" t="s">
        <v>2</v>
      </c>
      <c r="M663" s="5">
        <v>107910</v>
      </c>
      <c r="N663" s="15"/>
      <c r="O663" s="8"/>
      <c r="P663" t="s">
        <v>22</v>
      </c>
      <c r="Q663"/>
      <c r="R663"/>
      <c r="S663" s="2" t="s">
        <v>2</v>
      </c>
      <c r="T663" s="5">
        <v>107910</v>
      </c>
      <c r="U663" s="15"/>
    </row>
    <row r="664" spans="1:21">
      <c r="A664" s="8"/>
      <c r="B664" s="3" t="s">
        <v>23</v>
      </c>
      <c r="C664" s="3"/>
      <c r="D664" s="3"/>
      <c r="E664" s="4" t="s">
        <v>2</v>
      </c>
      <c r="F664" s="6">
        <v>35745</v>
      </c>
      <c r="G664" s="15"/>
      <c r="H664" s="8"/>
      <c r="I664" s="3" t="s">
        <v>23</v>
      </c>
      <c r="J664" s="3"/>
      <c r="K664" s="3"/>
      <c r="L664" s="4" t="s">
        <v>2</v>
      </c>
      <c r="M664" s="6">
        <v>35745</v>
      </c>
      <c r="N664" s="15"/>
      <c r="O664" s="8"/>
      <c r="P664" s="3" t="s">
        <v>23</v>
      </c>
      <c r="Q664" s="3"/>
      <c r="R664" s="3"/>
      <c r="S664" s="4" t="s">
        <v>2</v>
      </c>
      <c r="T664" s="6">
        <v>35745</v>
      </c>
      <c r="U664" s="15"/>
    </row>
    <row r="665" spans="1:21">
      <c r="A665" s="8"/>
      <c r="B665" t="s">
        <v>24</v>
      </c>
      <c r="C665"/>
      <c r="D665"/>
      <c r="E665" s="2" t="s">
        <v>2</v>
      </c>
      <c r="F665" s="5" t="str">
        <f>sum(f662:f664)</f>
        <v>0</v>
      </c>
      <c r="G665" s="15"/>
      <c r="H665" s="8"/>
      <c r="I665" t="s">
        <v>24</v>
      </c>
      <c r="J665"/>
      <c r="K665"/>
      <c r="L665" s="2" t="s">
        <v>2</v>
      </c>
      <c r="M665" s="5" t="str">
        <f>sum(m662:m664)</f>
        <v>0</v>
      </c>
      <c r="N665" s="15"/>
      <c r="O665" s="8"/>
      <c r="P665" t="s">
        <v>24</v>
      </c>
      <c r="Q665"/>
      <c r="R665"/>
      <c r="S665" s="2" t="s">
        <v>2</v>
      </c>
      <c r="T665" s="5" t="str">
        <f>sum(t662:t664)</f>
        <v>0</v>
      </c>
      <c r="U665" s="15"/>
    </row>
    <row r="666" spans="1:21">
      <c r="A666" s="9"/>
      <c r="B666" s="11" t="s">
        <v>25</v>
      </c>
      <c r="C666" s="11"/>
      <c r="D666" s="11"/>
      <c r="E666" s="12" t="s">
        <v>2</v>
      </c>
      <c r="F666" s="13" t="str">
        <f>sum(f656:f659)-f665</f>
        <v>0</v>
      </c>
      <c r="G666" s="16"/>
      <c r="H666" s="9"/>
      <c r="I666" s="11" t="s">
        <v>25</v>
      </c>
      <c r="J666" s="11"/>
      <c r="K666" s="11"/>
      <c r="L666" s="12" t="s">
        <v>2</v>
      </c>
      <c r="M666" s="13" t="str">
        <f>sum(m656:m659)-m665</f>
        <v>0</v>
      </c>
      <c r="N666" s="16"/>
      <c r="O666" s="9"/>
      <c r="P666" s="11" t="s">
        <v>25</v>
      </c>
      <c r="Q666" s="11"/>
      <c r="R666" s="11"/>
      <c r="S666" s="12" t="s">
        <v>2</v>
      </c>
      <c r="T666" s="13" t="str">
        <f>sum(t656:t659)-t665</f>
        <v>0</v>
      </c>
      <c r="U666" s="16"/>
    </row>
    <row r="667" spans="1:21">
      <c r="A667" s="7"/>
      <c r="B667" s="10"/>
      <c r="C667" s="10"/>
      <c r="D667" s="10"/>
      <c r="E667" s="10"/>
      <c r="F667" s="10"/>
      <c r="G667" s="14"/>
      <c r="H667" s="7"/>
      <c r="I667" s="10"/>
      <c r="J667" s="10"/>
      <c r="K667" s="10"/>
      <c r="L667" s="10"/>
      <c r="M667" s="10"/>
      <c r="N667" s="14"/>
      <c r="O667" s="7"/>
      <c r="P667" s="10"/>
      <c r="Q667" s="10"/>
      <c r="R667" s="10"/>
      <c r="S667" s="10"/>
      <c r="T667" s="10"/>
      <c r="U667" s="14"/>
    </row>
    <row r="668" spans="1:21">
      <c r="A668" s="8"/>
      <c r="B668" s="1" t="s">
        <v>0</v>
      </c>
      <c r="C668"/>
      <c r="D668"/>
      <c r="E668"/>
      <c r="F668"/>
      <c r="G668" s="15"/>
      <c r="H668" s="8"/>
      <c r="I668" s="1" t="s">
        <v>0</v>
      </c>
      <c r="J668"/>
      <c r="K668"/>
      <c r="L668"/>
      <c r="M668"/>
      <c r="N668" s="15"/>
      <c r="O668" s="8"/>
      <c r="P668" s="1" t="s">
        <v>0</v>
      </c>
      <c r="Q668"/>
      <c r="R668"/>
      <c r="S668"/>
      <c r="T668"/>
      <c r="U668" s="15"/>
    </row>
    <row r="669" spans="1:21">
      <c r="A669" s="8"/>
      <c r="B669" t="s">
        <v>1</v>
      </c>
      <c r="C669" s="2" t="s">
        <v>2</v>
      </c>
      <c r="D669" t="s">
        <v>240</v>
      </c>
      <c r="E669"/>
      <c r="F669"/>
      <c r="G669" s="15"/>
      <c r="H669" s="8"/>
      <c r="I669" t="s">
        <v>1</v>
      </c>
      <c r="J669" s="2" t="s">
        <v>2</v>
      </c>
      <c r="K669" t="s">
        <v>241</v>
      </c>
      <c r="L669"/>
      <c r="M669"/>
      <c r="N669" s="15"/>
      <c r="O669" s="8"/>
      <c r="P669" t="s">
        <v>1</v>
      </c>
      <c r="Q669" s="2" t="s">
        <v>2</v>
      </c>
      <c r="R669" t="s">
        <v>242</v>
      </c>
      <c r="S669"/>
      <c r="T669"/>
      <c r="U669" s="15"/>
    </row>
    <row r="670" spans="1:21">
      <c r="A670" s="8"/>
      <c r="B670" t="s">
        <v>6</v>
      </c>
      <c r="C670" s="2" t="s">
        <v>2</v>
      </c>
      <c r="D670" t="s">
        <v>243</v>
      </c>
      <c r="E670"/>
      <c r="F670"/>
      <c r="G670" s="15"/>
      <c r="H670" s="8"/>
      <c r="I670" t="s">
        <v>6</v>
      </c>
      <c r="J670" s="2" t="s">
        <v>2</v>
      </c>
      <c r="K670" t="s">
        <v>244</v>
      </c>
      <c r="L670"/>
      <c r="M670"/>
      <c r="N670" s="15"/>
      <c r="O670" s="8"/>
      <c r="P670" t="s">
        <v>6</v>
      </c>
      <c r="Q670" s="2" t="s">
        <v>2</v>
      </c>
      <c r="R670" t="s">
        <v>245</v>
      </c>
      <c r="S670"/>
      <c r="T670"/>
      <c r="U670" s="15"/>
    </row>
    <row r="671" spans="1:21">
      <c r="A671" s="8"/>
      <c r="B671" t="s">
        <v>10</v>
      </c>
      <c r="C671" s="2" t="s">
        <v>2</v>
      </c>
      <c r="D671" t="s">
        <v>197</v>
      </c>
      <c r="E671"/>
      <c r="F671"/>
      <c r="G671" s="15"/>
      <c r="H671" s="8"/>
      <c r="I671" t="s">
        <v>10</v>
      </c>
      <c r="J671" s="2" t="s">
        <v>2</v>
      </c>
      <c r="K671" t="s">
        <v>197</v>
      </c>
      <c r="L671"/>
      <c r="M671"/>
      <c r="N671" s="15"/>
      <c r="O671" s="8"/>
      <c r="P671" t="s">
        <v>10</v>
      </c>
      <c r="Q671" s="2" t="s">
        <v>2</v>
      </c>
      <c r="R671" t="s">
        <v>197</v>
      </c>
      <c r="S671"/>
      <c r="T671"/>
      <c r="U671" s="15"/>
    </row>
    <row r="672" spans="1:21">
      <c r="A672" s="8"/>
      <c r="B672" t="s">
        <v>12</v>
      </c>
      <c r="C672" s="2" t="s">
        <v>2</v>
      </c>
      <c r="D672" t="s">
        <v>13</v>
      </c>
      <c r="E672"/>
      <c r="F672"/>
      <c r="G672" s="15"/>
      <c r="H672" s="8"/>
      <c r="I672" t="s">
        <v>12</v>
      </c>
      <c r="J672" s="2" t="s">
        <v>2</v>
      </c>
      <c r="K672" t="s">
        <v>13</v>
      </c>
      <c r="L672"/>
      <c r="M672"/>
      <c r="N672" s="15"/>
      <c r="O672" s="8"/>
      <c r="P672" t="s">
        <v>12</v>
      </c>
      <c r="Q672" s="2" t="s">
        <v>2</v>
      </c>
      <c r="R672" t="s">
        <v>13</v>
      </c>
      <c r="S672"/>
      <c r="T672"/>
      <c r="U672" s="15"/>
    </row>
    <row r="673" spans="1:21">
      <c r="A673" s="8"/>
      <c r="B673" s="3" t="s">
        <v>14</v>
      </c>
      <c r="C673" s="4" t="s">
        <v>2</v>
      </c>
      <c r="D673" s="3" t="s">
        <v>15</v>
      </c>
      <c r="E673" s="3"/>
      <c r="F673" s="3"/>
      <c r="G673" s="15"/>
      <c r="H673" s="8"/>
      <c r="I673" s="3" t="s">
        <v>14</v>
      </c>
      <c r="J673" s="4" t="s">
        <v>2</v>
      </c>
      <c r="K673" s="3" t="s">
        <v>15</v>
      </c>
      <c r="L673" s="3"/>
      <c r="M673" s="3"/>
      <c r="N673" s="15"/>
      <c r="O673" s="8"/>
      <c r="P673" s="3" t="s">
        <v>14</v>
      </c>
      <c r="Q673" s="4" t="s">
        <v>2</v>
      </c>
      <c r="R673" s="3" t="s">
        <v>15</v>
      </c>
      <c r="S673" s="3"/>
      <c r="T673" s="3"/>
      <c r="U673" s="15"/>
    </row>
    <row r="674" spans="1:21">
      <c r="A674" s="8"/>
      <c r="B674" t="s">
        <v>16</v>
      </c>
      <c r="C674"/>
      <c r="D674"/>
      <c r="E674" s="2" t="s">
        <v>2</v>
      </c>
      <c r="F674" s="5">
        <v>3596000</v>
      </c>
      <c r="G674" s="15"/>
      <c r="H674" s="8"/>
      <c r="I674" t="s">
        <v>16</v>
      </c>
      <c r="J674"/>
      <c r="K674"/>
      <c r="L674" s="2" t="s">
        <v>2</v>
      </c>
      <c r="M674" s="5">
        <v>3596000</v>
      </c>
      <c r="N674" s="15"/>
      <c r="O674" s="8"/>
      <c r="P674" t="s">
        <v>16</v>
      </c>
      <c r="Q674"/>
      <c r="R674"/>
      <c r="S674" s="2" t="s">
        <v>2</v>
      </c>
      <c r="T674" s="5">
        <v>3595000</v>
      </c>
      <c r="U674" s="15"/>
    </row>
    <row r="675" spans="1:21">
      <c r="A675" s="8"/>
      <c r="B675" t="s">
        <v>17</v>
      </c>
      <c r="C675"/>
      <c r="D675"/>
      <c r="E675" s="2" t="s">
        <v>2</v>
      </c>
      <c r="F675" s="5">
        <v>30000</v>
      </c>
      <c r="G675" s="15"/>
      <c r="H675" s="8"/>
      <c r="I675" t="s">
        <v>17</v>
      </c>
      <c r="J675"/>
      <c r="K675"/>
      <c r="L675" s="2" t="s">
        <v>2</v>
      </c>
      <c r="M675" s="5">
        <v>0</v>
      </c>
      <c r="N675" s="15"/>
      <c r="O675" s="8"/>
      <c r="P675" t="s">
        <v>17</v>
      </c>
      <c r="Q675"/>
      <c r="R675"/>
      <c r="S675" s="2" t="s">
        <v>2</v>
      </c>
      <c r="T675" s="5">
        <v>40000</v>
      </c>
      <c r="U675" s="15"/>
    </row>
    <row r="676" spans="1:21">
      <c r="A676" s="8"/>
      <c r="B676" t="s">
        <v>18</v>
      </c>
      <c r="C676"/>
      <c r="D676"/>
      <c r="E676" s="2" t="s">
        <v>2</v>
      </c>
      <c r="F676" s="5">
        <v>0</v>
      </c>
      <c r="G676" s="15"/>
      <c r="H676" s="8"/>
      <c r="I676" t="s">
        <v>18</v>
      </c>
      <c r="J676"/>
      <c r="K676"/>
      <c r="L676" s="2" t="s">
        <v>2</v>
      </c>
      <c r="M676" s="5">
        <v>0</v>
      </c>
      <c r="N676" s="15"/>
      <c r="O676" s="8"/>
      <c r="P676" t="s">
        <v>18</v>
      </c>
      <c r="Q676"/>
      <c r="R676"/>
      <c r="S676" s="2" t="s">
        <v>2</v>
      </c>
      <c r="T676" s="5">
        <v>0</v>
      </c>
      <c r="U676" s="15"/>
    </row>
    <row r="677" spans="1:21">
      <c r="A677" s="8"/>
      <c r="B677" t="s">
        <v>19</v>
      </c>
      <c r="C677"/>
      <c r="D677"/>
      <c r="E677" s="2" t="s">
        <v>2</v>
      </c>
      <c r="F677" s="5">
        <v>0</v>
      </c>
      <c r="G677" s="15"/>
      <c r="H677" s="8"/>
      <c r="I677" t="s">
        <v>19</v>
      </c>
      <c r="J677"/>
      <c r="K677"/>
      <c r="L677" s="2" t="s">
        <v>2</v>
      </c>
      <c r="M677" s="5">
        <v>0</v>
      </c>
      <c r="N677" s="15"/>
      <c r="O677" s="8"/>
      <c r="P677" t="s">
        <v>19</v>
      </c>
      <c r="Q677"/>
      <c r="R677"/>
      <c r="S677" s="2" t="s">
        <v>2</v>
      </c>
      <c r="T677" s="5">
        <v>0</v>
      </c>
      <c r="U677" s="15"/>
    </row>
    <row r="678" spans="1:21">
      <c r="A678" s="8"/>
      <c r="B678"/>
      <c r="C678"/>
      <c r="D678"/>
      <c r="E678"/>
      <c r="F678"/>
      <c r="G678" s="15"/>
      <c r="H678" s="8"/>
      <c r="I678"/>
      <c r="J678"/>
      <c r="K678"/>
      <c r="L678"/>
      <c r="M678"/>
      <c r="N678" s="15"/>
      <c r="O678" s="8"/>
      <c r="P678"/>
      <c r="Q678"/>
      <c r="R678"/>
      <c r="S678"/>
      <c r="T678"/>
      <c r="U678" s="15"/>
    </row>
    <row r="679" spans="1:21">
      <c r="A679" s="8"/>
      <c r="B679" s="2" t="s">
        <v>20</v>
      </c>
      <c r="C679"/>
      <c r="D679"/>
      <c r="E679"/>
      <c r="F679"/>
      <c r="G679" s="15"/>
      <c r="H679" s="8"/>
      <c r="I679" s="2" t="s">
        <v>20</v>
      </c>
      <c r="J679"/>
      <c r="K679"/>
      <c r="L679"/>
      <c r="M679"/>
      <c r="N679" s="15"/>
      <c r="O679" s="8"/>
      <c r="P679" s="2" t="s">
        <v>20</v>
      </c>
      <c r="Q679"/>
      <c r="R679"/>
      <c r="S679"/>
      <c r="T679"/>
      <c r="U679" s="15"/>
    </row>
    <row r="680" spans="1:21">
      <c r="A680" s="8"/>
      <c r="B680" t="s">
        <v>21</v>
      </c>
      <c r="C680"/>
      <c r="D680"/>
      <c r="E680" s="2" t="s">
        <v>2</v>
      </c>
      <c r="F680" s="5">
        <v>2157600</v>
      </c>
      <c r="G680" s="15"/>
      <c r="H680" s="8"/>
      <c r="I680" t="s">
        <v>21</v>
      </c>
      <c r="J680"/>
      <c r="K680"/>
      <c r="L680" s="2" t="s">
        <v>2</v>
      </c>
      <c r="M680" s="5">
        <v>2037733.38</v>
      </c>
      <c r="N680" s="15"/>
      <c r="O680" s="8"/>
      <c r="P680" t="s">
        <v>21</v>
      </c>
      <c r="Q680"/>
      <c r="R680"/>
      <c r="S680" s="2" t="s">
        <v>2</v>
      </c>
      <c r="T680" s="5">
        <v>2037166.62</v>
      </c>
      <c r="U680" s="15"/>
    </row>
    <row r="681" spans="1:21">
      <c r="A681" s="8"/>
      <c r="B681" t="s">
        <v>22</v>
      </c>
      <c r="C681"/>
      <c r="D681"/>
      <c r="E681" s="2" t="s">
        <v>2</v>
      </c>
      <c r="F681" s="5">
        <v>107880</v>
      </c>
      <c r="G681" s="15"/>
      <c r="H681" s="8"/>
      <c r="I681" t="s">
        <v>22</v>
      </c>
      <c r="J681"/>
      <c r="K681"/>
      <c r="L681" s="2" t="s">
        <v>2</v>
      </c>
      <c r="M681" s="5">
        <v>107880</v>
      </c>
      <c r="N681" s="15"/>
      <c r="O681" s="8"/>
      <c r="P681" t="s">
        <v>22</v>
      </c>
      <c r="Q681"/>
      <c r="R681"/>
      <c r="S681" s="2" t="s">
        <v>2</v>
      </c>
      <c r="T681" s="5">
        <v>107850</v>
      </c>
      <c r="U681" s="15"/>
    </row>
    <row r="682" spans="1:21">
      <c r="A682" s="8"/>
      <c r="B682" s="3" t="s">
        <v>23</v>
      </c>
      <c r="C682" s="3"/>
      <c r="D682" s="3"/>
      <c r="E682" s="4" t="s">
        <v>2</v>
      </c>
      <c r="F682" s="6">
        <v>35745</v>
      </c>
      <c r="G682" s="15"/>
      <c r="H682" s="8"/>
      <c r="I682" s="3" t="s">
        <v>23</v>
      </c>
      <c r="J682" s="3"/>
      <c r="K682" s="3"/>
      <c r="L682" s="4" t="s">
        <v>2</v>
      </c>
      <c r="M682" s="6">
        <v>35745</v>
      </c>
      <c r="N682" s="15"/>
      <c r="O682" s="8"/>
      <c r="P682" s="3" t="s">
        <v>23</v>
      </c>
      <c r="Q682" s="3"/>
      <c r="R682" s="3"/>
      <c r="S682" s="4" t="s">
        <v>2</v>
      </c>
      <c r="T682" s="6">
        <v>35745</v>
      </c>
      <c r="U682" s="15"/>
    </row>
    <row r="683" spans="1:21">
      <c r="A683" s="8"/>
      <c r="B683" t="s">
        <v>24</v>
      </c>
      <c r="C683"/>
      <c r="D683"/>
      <c r="E683" s="2" t="s">
        <v>2</v>
      </c>
      <c r="F683" s="5" t="str">
        <f>sum(f680:f682)</f>
        <v>0</v>
      </c>
      <c r="G683" s="15"/>
      <c r="H683" s="8"/>
      <c r="I683" t="s">
        <v>24</v>
      </c>
      <c r="J683"/>
      <c r="K683"/>
      <c r="L683" s="2" t="s">
        <v>2</v>
      </c>
      <c r="M683" s="5" t="str">
        <f>sum(m680:m682)</f>
        <v>0</v>
      </c>
      <c r="N683" s="15"/>
      <c r="O683" s="8"/>
      <c r="P683" t="s">
        <v>24</v>
      </c>
      <c r="Q683"/>
      <c r="R683"/>
      <c r="S683" s="2" t="s">
        <v>2</v>
      </c>
      <c r="T683" s="5" t="str">
        <f>sum(t680:t682)</f>
        <v>0</v>
      </c>
      <c r="U683" s="15"/>
    </row>
    <row r="684" spans="1:21">
      <c r="A684" s="9"/>
      <c r="B684" s="11" t="s">
        <v>25</v>
      </c>
      <c r="C684" s="11"/>
      <c r="D684" s="11"/>
      <c r="E684" s="12" t="s">
        <v>2</v>
      </c>
      <c r="F684" s="13" t="str">
        <f>sum(f674:f677)-f683</f>
        <v>0</v>
      </c>
      <c r="G684" s="16"/>
      <c r="H684" s="9"/>
      <c r="I684" s="11" t="s">
        <v>25</v>
      </c>
      <c r="J684" s="11"/>
      <c r="K684" s="11"/>
      <c r="L684" s="12" t="s">
        <v>2</v>
      </c>
      <c r="M684" s="13" t="str">
        <f>sum(m674:m677)-m683</f>
        <v>0</v>
      </c>
      <c r="N684" s="16"/>
      <c r="O684" s="9"/>
      <c r="P684" s="11" t="s">
        <v>25</v>
      </c>
      <c r="Q684" s="11"/>
      <c r="R684" s="11"/>
      <c r="S684" s="12" t="s">
        <v>2</v>
      </c>
      <c r="T684" s="13" t="str">
        <f>sum(t674:t677)-t683</f>
        <v>0</v>
      </c>
      <c r="U684" s="16"/>
    </row>
    <row r="685" spans="1:21">
      <c r="A685" s="7"/>
      <c r="B685" s="10"/>
      <c r="C685" s="10"/>
      <c r="D685" s="10"/>
      <c r="E685" s="10"/>
      <c r="F685" s="10"/>
      <c r="G685" s="14"/>
      <c r="H685" s="7"/>
      <c r="I685" s="10"/>
      <c r="J685" s="10"/>
      <c r="K685" s="10"/>
      <c r="L685" s="10"/>
      <c r="M685" s="10"/>
      <c r="N685" s="14"/>
      <c r="O685" s="7"/>
      <c r="P685" s="10"/>
      <c r="Q685" s="10"/>
      <c r="R685" s="10"/>
      <c r="S685" s="10"/>
      <c r="T685" s="10"/>
      <c r="U685" s="14"/>
    </row>
    <row r="686" spans="1:21">
      <c r="A686" s="8"/>
      <c r="B686" s="1" t="s">
        <v>0</v>
      </c>
      <c r="C686"/>
      <c r="D686"/>
      <c r="E686"/>
      <c r="F686"/>
      <c r="G686" s="15"/>
      <c r="H686" s="8"/>
      <c r="I686" s="1" t="s">
        <v>0</v>
      </c>
      <c r="J686"/>
      <c r="K686"/>
      <c r="L686"/>
      <c r="M686"/>
      <c r="N686" s="15"/>
      <c r="O686" s="8"/>
      <c r="P686" s="1" t="s">
        <v>0</v>
      </c>
      <c r="Q686"/>
      <c r="R686"/>
      <c r="S686"/>
      <c r="T686"/>
      <c r="U686" s="15"/>
    </row>
    <row r="687" spans="1:21">
      <c r="A687" s="8"/>
      <c r="B687" t="s">
        <v>1</v>
      </c>
      <c r="C687" s="2" t="s">
        <v>2</v>
      </c>
      <c r="D687" t="s">
        <v>246</v>
      </c>
      <c r="E687"/>
      <c r="F687"/>
      <c r="G687" s="15"/>
      <c r="H687" s="8"/>
      <c r="I687" t="s">
        <v>1</v>
      </c>
      <c r="J687" s="2" t="s">
        <v>2</v>
      </c>
      <c r="K687" t="s">
        <v>247</v>
      </c>
      <c r="L687"/>
      <c r="M687"/>
      <c r="N687" s="15"/>
      <c r="O687" s="8"/>
      <c r="P687" t="s">
        <v>1</v>
      </c>
      <c r="Q687" s="2" t="s">
        <v>2</v>
      </c>
      <c r="R687" t="s">
        <v>248</v>
      </c>
      <c r="S687"/>
      <c r="T687"/>
      <c r="U687" s="15"/>
    </row>
    <row r="688" spans="1:21">
      <c r="A688" s="8"/>
      <c r="B688" t="s">
        <v>6</v>
      </c>
      <c r="C688" s="2" t="s">
        <v>2</v>
      </c>
      <c r="D688" t="s">
        <v>249</v>
      </c>
      <c r="E688"/>
      <c r="F688"/>
      <c r="G688" s="15"/>
      <c r="H688" s="8"/>
      <c r="I688" t="s">
        <v>6</v>
      </c>
      <c r="J688" s="2" t="s">
        <v>2</v>
      </c>
      <c r="K688" t="s">
        <v>250</v>
      </c>
      <c r="L688"/>
      <c r="M688"/>
      <c r="N688" s="15"/>
      <c r="O688" s="8"/>
      <c r="P688" t="s">
        <v>6</v>
      </c>
      <c r="Q688" s="2" t="s">
        <v>2</v>
      </c>
      <c r="R688" t="s">
        <v>251</v>
      </c>
      <c r="S688"/>
      <c r="T688"/>
      <c r="U688" s="15"/>
    </row>
    <row r="689" spans="1:21">
      <c r="A689" s="8"/>
      <c r="B689" t="s">
        <v>10</v>
      </c>
      <c r="C689" s="2" t="s">
        <v>2</v>
      </c>
      <c r="D689" t="s">
        <v>197</v>
      </c>
      <c r="E689"/>
      <c r="F689"/>
      <c r="G689" s="15"/>
      <c r="H689" s="8"/>
      <c r="I689" t="s">
        <v>10</v>
      </c>
      <c r="J689" s="2" t="s">
        <v>2</v>
      </c>
      <c r="K689" t="s">
        <v>197</v>
      </c>
      <c r="L689"/>
      <c r="M689"/>
      <c r="N689" s="15"/>
      <c r="O689" s="8"/>
      <c r="P689" t="s">
        <v>10</v>
      </c>
      <c r="Q689" s="2" t="s">
        <v>2</v>
      </c>
      <c r="R689" t="s">
        <v>197</v>
      </c>
      <c r="S689"/>
      <c r="T689"/>
      <c r="U689" s="15"/>
    </row>
    <row r="690" spans="1:21">
      <c r="A690" s="8"/>
      <c r="B690" t="s">
        <v>12</v>
      </c>
      <c r="C690" s="2" t="s">
        <v>2</v>
      </c>
      <c r="D690" t="s">
        <v>13</v>
      </c>
      <c r="E690"/>
      <c r="F690"/>
      <c r="G690" s="15"/>
      <c r="H690" s="8"/>
      <c r="I690" t="s">
        <v>12</v>
      </c>
      <c r="J690" s="2" t="s">
        <v>2</v>
      </c>
      <c r="K690" t="s">
        <v>13</v>
      </c>
      <c r="L690"/>
      <c r="M690"/>
      <c r="N690" s="15"/>
      <c r="O690" s="8"/>
      <c r="P690" t="s">
        <v>12</v>
      </c>
      <c r="Q690" s="2" t="s">
        <v>2</v>
      </c>
      <c r="R690" t="s">
        <v>13</v>
      </c>
      <c r="S690"/>
      <c r="T690"/>
      <c r="U690" s="15"/>
    </row>
    <row r="691" spans="1:21">
      <c r="A691" s="8"/>
      <c r="B691" s="3" t="s">
        <v>14</v>
      </c>
      <c r="C691" s="4" t="s">
        <v>2</v>
      </c>
      <c r="D691" s="3" t="s">
        <v>15</v>
      </c>
      <c r="E691" s="3"/>
      <c r="F691" s="3"/>
      <c r="G691" s="15"/>
      <c r="H691" s="8"/>
      <c r="I691" s="3" t="s">
        <v>14</v>
      </c>
      <c r="J691" s="4" t="s">
        <v>2</v>
      </c>
      <c r="K691" s="3" t="s">
        <v>15</v>
      </c>
      <c r="L691" s="3"/>
      <c r="M691" s="3"/>
      <c r="N691" s="15"/>
      <c r="O691" s="8"/>
      <c r="P691" s="3" t="s">
        <v>14</v>
      </c>
      <c r="Q691" s="4" t="s">
        <v>2</v>
      </c>
      <c r="R691" s="3" t="s">
        <v>15</v>
      </c>
      <c r="S691" s="3"/>
      <c r="T691" s="3"/>
      <c r="U691" s="15"/>
    </row>
    <row r="692" spans="1:21">
      <c r="A692" s="8"/>
      <c r="B692" t="s">
        <v>16</v>
      </c>
      <c r="C692"/>
      <c r="D692"/>
      <c r="E692" s="2" t="s">
        <v>2</v>
      </c>
      <c r="F692" s="5">
        <v>3596000</v>
      </c>
      <c r="G692" s="15"/>
      <c r="H692" s="8"/>
      <c r="I692" t="s">
        <v>16</v>
      </c>
      <c r="J692"/>
      <c r="K692"/>
      <c r="L692" s="2" t="s">
        <v>2</v>
      </c>
      <c r="M692" s="5">
        <v>3594000</v>
      </c>
      <c r="N692" s="15"/>
      <c r="O692" s="8"/>
      <c r="P692" t="s">
        <v>16</v>
      </c>
      <c r="Q692"/>
      <c r="R692"/>
      <c r="S692" s="2" t="s">
        <v>2</v>
      </c>
      <c r="T692" s="5">
        <v>3597000</v>
      </c>
      <c r="U692" s="15"/>
    </row>
    <row r="693" spans="1:21">
      <c r="A693" s="8"/>
      <c r="B693" t="s">
        <v>17</v>
      </c>
      <c r="C693"/>
      <c r="D693"/>
      <c r="E693" s="2" t="s">
        <v>2</v>
      </c>
      <c r="F693" s="5">
        <v>0</v>
      </c>
      <c r="G693" s="15"/>
      <c r="H693" s="8"/>
      <c r="I693" t="s">
        <v>17</v>
      </c>
      <c r="J693"/>
      <c r="K693"/>
      <c r="L693" s="2" t="s">
        <v>2</v>
      </c>
      <c r="M693" s="5">
        <v>0</v>
      </c>
      <c r="N693" s="15"/>
      <c r="O693" s="8"/>
      <c r="P693" t="s">
        <v>17</v>
      </c>
      <c r="Q693"/>
      <c r="R693"/>
      <c r="S693" s="2" t="s">
        <v>2</v>
      </c>
      <c r="T693" s="5">
        <v>0</v>
      </c>
      <c r="U693" s="15"/>
    </row>
    <row r="694" spans="1:21">
      <c r="A694" s="8"/>
      <c r="B694" t="s">
        <v>18</v>
      </c>
      <c r="C694"/>
      <c r="D694"/>
      <c r="E694" s="2" t="s">
        <v>2</v>
      </c>
      <c r="F694" s="5">
        <v>0</v>
      </c>
      <c r="G694" s="15"/>
      <c r="H694" s="8"/>
      <c r="I694" t="s">
        <v>18</v>
      </c>
      <c r="J694"/>
      <c r="K694"/>
      <c r="L694" s="2" t="s">
        <v>2</v>
      </c>
      <c r="M694" s="5">
        <v>0</v>
      </c>
      <c r="N694" s="15"/>
      <c r="O694" s="8"/>
      <c r="P694" t="s">
        <v>18</v>
      </c>
      <c r="Q694"/>
      <c r="R694"/>
      <c r="S694" s="2" t="s">
        <v>2</v>
      </c>
      <c r="T694" s="5">
        <v>0</v>
      </c>
      <c r="U694" s="15"/>
    </row>
    <row r="695" spans="1:21">
      <c r="A695" s="8"/>
      <c r="B695" t="s">
        <v>19</v>
      </c>
      <c r="C695"/>
      <c r="D695"/>
      <c r="E695" s="2" t="s">
        <v>2</v>
      </c>
      <c r="F695" s="5">
        <v>0</v>
      </c>
      <c r="G695" s="15"/>
      <c r="H695" s="8"/>
      <c r="I695" t="s">
        <v>19</v>
      </c>
      <c r="J695"/>
      <c r="K695"/>
      <c r="L695" s="2" t="s">
        <v>2</v>
      </c>
      <c r="M695" s="5">
        <v>0</v>
      </c>
      <c r="N695" s="15"/>
      <c r="O695" s="8"/>
      <c r="P695" t="s">
        <v>19</v>
      </c>
      <c r="Q695"/>
      <c r="R695"/>
      <c r="S695" s="2" t="s">
        <v>2</v>
      </c>
      <c r="T695" s="5">
        <v>0</v>
      </c>
      <c r="U695" s="15"/>
    </row>
    <row r="696" spans="1:21">
      <c r="A696" s="8"/>
      <c r="B696"/>
      <c r="C696"/>
      <c r="D696"/>
      <c r="E696"/>
      <c r="F696"/>
      <c r="G696" s="15"/>
      <c r="H696" s="8"/>
      <c r="I696"/>
      <c r="J696"/>
      <c r="K696"/>
      <c r="L696"/>
      <c r="M696"/>
      <c r="N696" s="15"/>
      <c r="O696" s="8"/>
      <c r="P696"/>
      <c r="Q696"/>
      <c r="R696"/>
      <c r="S696"/>
      <c r="T696"/>
      <c r="U696" s="15"/>
    </row>
    <row r="697" spans="1:21">
      <c r="A697" s="8"/>
      <c r="B697" s="2" t="s">
        <v>20</v>
      </c>
      <c r="C697"/>
      <c r="D697"/>
      <c r="E697"/>
      <c r="F697"/>
      <c r="G697" s="15"/>
      <c r="H697" s="8"/>
      <c r="I697" s="2" t="s">
        <v>20</v>
      </c>
      <c r="J697"/>
      <c r="K697"/>
      <c r="L697"/>
      <c r="M697"/>
      <c r="N697" s="15"/>
      <c r="O697" s="8"/>
      <c r="P697" s="2" t="s">
        <v>20</v>
      </c>
      <c r="Q697"/>
      <c r="R697"/>
      <c r="S697"/>
      <c r="T697"/>
      <c r="U697" s="15"/>
    </row>
    <row r="698" spans="1:21">
      <c r="A698" s="8"/>
      <c r="B698" t="s">
        <v>21</v>
      </c>
      <c r="C698"/>
      <c r="D698"/>
      <c r="E698" s="2" t="s">
        <v>2</v>
      </c>
      <c r="F698" s="5">
        <v>2097666.75</v>
      </c>
      <c r="G698" s="15"/>
      <c r="H698" s="8"/>
      <c r="I698" t="s">
        <v>21</v>
      </c>
      <c r="J698"/>
      <c r="K698"/>
      <c r="L698" s="2" t="s">
        <v>2</v>
      </c>
      <c r="M698" s="5">
        <v>1916800</v>
      </c>
      <c r="N698" s="15"/>
      <c r="O698" s="8"/>
      <c r="P698" t="s">
        <v>21</v>
      </c>
      <c r="Q698"/>
      <c r="R698"/>
      <c r="S698" s="2" t="s">
        <v>2</v>
      </c>
      <c r="T698" s="5">
        <v>2038300</v>
      </c>
      <c r="U698" s="15"/>
    </row>
    <row r="699" spans="1:21">
      <c r="A699" s="8"/>
      <c r="B699" t="s">
        <v>22</v>
      </c>
      <c r="C699"/>
      <c r="D699"/>
      <c r="E699" s="2" t="s">
        <v>2</v>
      </c>
      <c r="F699" s="5">
        <v>107880</v>
      </c>
      <c r="G699" s="15"/>
      <c r="H699" s="8"/>
      <c r="I699" t="s">
        <v>22</v>
      </c>
      <c r="J699"/>
      <c r="K699"/>
      <c r="L699" s="2" t="s">
        <v>2</v>
      </c>
      <c r="M699" s="5">
        <v>107820</v>
      </c>
      <c r="N699" s="15"/>
      <c r="O699" s="8"/>
      <c r="P699" t="s">
        <v>22</v>
      </c>
      <c r="Q699"/>
      <c r="R699"/>
      <c r="S699" s="2" t="s">
        <v>2</v>
      </c>
      <c r="T699" s="5">
        <v>107910</v>
      </c>
      <c r="U699" s="15"/>
    </row>
    <row r="700" spans="1:21">
      <c r="A700" s="8"/>
      <c r="B700" s="3" t="s">
        <v>23</v>
      </c>
      <c r="C700" s="3"/>
      <c r="D700" s="3"/>
      <c r="E700" s="4" t="s">
        <v>2</v>
      </c>
      <c r="F700" s="6">
        <v>35745</v>
      </c>
      <c r="G700" s="15"/>
      <c r="H700" s="8"/>
      <c r="I700" s="3" t="s">
        <v>23</v>
      </c>
      <c r="J700" s="3"/>
      <c r="K700" s="3"/>
      <c r="L700" s="4" t="s">
        <v>2</v>
      </c>
      <c r="M700" s="6">
        <v>35745</v>
      </c>
      <c r="N700" s="15"/>
      <c r="O700" s="8"/>
      <c r="P700" s="3" t="s">
        <v>23</v>
      </c>
      <c r="Q700" s="3"/>
      <c r="R700" s="3"/>
      <c r="S700" s="4" t="s">
        <v>2</v>
      </c>
      <c r="T700" s="6">
        <v>0</v>
      </c>
      <c r="U700" s="15"/>
    </row>
    <row r="701" spans="1:21">
      <c r="A701" s="8"/>
      <c r="B701" t="s">
        <v>24</v>
      </c>
      <c r="C701"/>
      <c r="D701"/>
      <c r="E701" s="2" t="s">
        <v>2</v>
      </c>
      <c r="F701" s="5" t="str">
        <f>sum(f698:f700)</f>
        <v>0</v>
      </c>
      <c r="G701" s="15"/>
      <c r="H701" s="8"/>
      <c r="I701" t="s">
        <v>24</v>
      </c>
      <c r="J701"/>
      <c r="K701"/>
      <c r="L701" s="2" t="s">
        <v>2</v>
      </c>
      <c r="M701" s="5" t="str">
        <f>sum(m698:m700)</f>
        <v>0</v>
      </c>
      <c r="N701" s="15"/>
      <c r="O701" s="8"/>
      <c r="P701" t="s">
        <v>24</v>
      </c>
      <c r="Q701"/>
      <c r="R701"/>
      <c r="S701" s="2" t="s">
        <v>2</v>
      </c>
      <c r="T701" s="5" t="str">
        <f>sum(t698:t700)</f>
        <v>0</v>
      </c>
      <c r="U701" s="15"/>
    </row>
    <row r="702" spans="1:21">
      <c r="A702" s="9"/>
      <c r="B702" s="11" t="s">
        <v>25</v>
      </c>
      <c r="C702" s="11"/>
      <c r="D702" s="11"/>
      <c r="E702" s="12" t="s">
        <v>2</v>
      </c>
      <c r="F702" s="13" t="str">
        <f>sum(f692:f695)-f701</f>
        <v>0</v>
      </c>
      <c r="G702" s="16"/>
      <c r="H702" s="9"/>
      <c r="I702" s="11" t="s">
        <v>25</v>
      </c>
      <c r="J702" s="11"/>
      <c r="K702" s="11"/>
      <c r="L702" s="12" t="s">
        <v>2</v>
      </c>
      <c r="M702" s="13" t="str">
        <f>sum(m692:m695)-m701</f>
        <v>0</v>
      </c>
      <c r="N702" s="16"/>
      <c r="O702" s="9"/>
      <c r="P702" s="11" t="s">
        <v>25</v>
      </c>
      <c r="Q702" s="11"/>
      <c r="R702" s="11"/>
      <c r="S702" s="12" t="s">
        <v>2</v>
      </c>
      <c r="T702" s="13" t="str">
        <f>sum(t692:t695)-t701</f>
        <v>0</v>
      </c>
      <c r="U702" s="16"/>
    </row>
    <row r="703" spans="1:21">
      <c r="A703" s="7"/>
      <c r="B703" s="10"/>
      <c r="C703" s="10"/>
      <c r="D703" s="10"/>
      <c r="E703" s="10"/>
      <c r="F703" s="10"/>
      <c r="G703" s="14"/>
      <c r="H703" s="7"/>
      <c r="I703" s="10"/>
      <c r="J703" s="10"/>
      <c r="K703" s="10"/>
      <c r="L703" s="10"/>
      <c r="M703" s="10"/>
      <c r="N703" s="14"/>
      <c r="O703" s="7"/>
      <c r="P703" s="10"/>
      <c r="Q703" s="10"/>
      <c r="R703" s="10"/>
      <c r="S703" s="10"/>
      <c r="T703" s="10"/>
      <c r="U703" s="14"/>
    </row>
    <row r="704" spans="1:21">
      <c r="A704" s="8"/>
      <c r="B704" s="1" t="s">
        <v>0</v>
      </c>
      <c r="C704"/>
      <c r="D704"/>
      <c r="E704"/>
      <c r="F704"/>
      <c r="G704" s="15"/>
      <c r="H704" s="8"/>
      <c r="I704" s="1" t="s">
        <v>0</v>
      </c>
      <c r="J704"/>
      <c r="K704"/>
      <c r="L704"/>
      <c r="M704"/>
      <c r="N704" s="15"/>
      <c r="O704" s="8"/>
      <c r="P704" s="1" t="s">
        <v>0</v>
      </c>
      <c r="Q704"/>
      <c r="R704"/>
      <c r="S704"/>
      <c r="T704"/>
      <c r="U704" s="15"/>
    </row>
    <row r="705" spans="1:21">
      <c r="A705" s="8"/>
      <c r="B705" t="s">
        <v>1</v>
      </c>
      <c r="C705" s="2" t="s">
        <v>2</v>
      </c>
      <c r="D705" t="s">
        <v>252</v>
      </c>
      <c r="E705"/>
      <c r="F705"/>
      <c r="G705" s="15"/>
      <c r="H705" s="8"/>
      <c r="I705" t="s">
        <v>1</v>
      </c>
      <c r="J705" s="2" t="s">
        <v>2</v>
      </c>
      <c r="K705" t="s">
        <v>253</v>
      </c>
      <c r="L705"/>
      <c r="M705"/>
      <c r="N705" s="15"/>
      <c r="O705" s="8"/>
      <c r="P705" t="s">
        <v>1</v>
      </c>
      <c r="Q705" s="2" t="s">
        <v>2</v>
      </c>
      <c r="R705" t="s">
        <v>254</v>
      </c>
      <c r="S705"/>
      <c r="T705"/>
      <c r="U705" s="15"/>
    </row>
    <row r="706" spans="1:21">
      <c r="A706" s="8"/>
      <c r="B706" t="s">
        <v>6</v>
      </c>
      <c r="C706" s="2" t="s">
        <v>2</v>
      </c>
      <c r="D706" t="s">
        <v>255</v>
      </c>
      <c r="E706"/>
      <c r="F706"/>
      <c r="G706" s="15"/>
      <c r="H706" s="8"/>
      <c r="I706" t="s">
        <v>6</v>
      </c>
      <c r="J706" s="2" t="s">
        <v>2</v>
      </c>
      <c r="K706" t="s">
        <v>256</v>
      </c>
      <c r="L706"/>
      <c r="M706"/>
      <c r="N706" s="15"/>
      <c r="O706" s="8"/>
      <c r="P706" t="s">
        <v>6</v>
      </c>
      <c r="Q706" s="2" t="s">
        <v>2</v>
      </c>
      <c r="R706" t="s">
        <v>257</v>
      </c>
      <c r="S706"/>
      <c r="T706"/>
      <c r="U706" s="15"/>
    </row>
    <row r="707" spans="1:21">
      <c r="A707" s="8"/>
      <c r="B707" t="s">
        <v>10</v>
      </c>
      <c r="C707" s="2" t="s">
        <v>2</v>
      </c>
      <c r="D707" t="s">
        <v>197</v>
      </c>
      <c r="E707"/>
      <c r="F707"/>
      <c r="G707" s="15"/>
      <c r="H707" s="8"/>
      <c r="I707" t="s">
        <v>10</v>
      </c>
      <c r="J707" s="2" t="s">
        <v>2</v>
      </c>
      <c r="K707" t="s">
        <v>197</v>
      </c>
      <c r="L707"/>
      <c r="M707"/>
      <c r="N707" s="15"/>
      <c r="O707" s="8"/>
      <c r="P707" t="s">
        <v>10</v>
      </c>
      <c r="Q707" s="2" t="s">
        <v>2</v>
      </c>
      <c r="R707" t="s">
        <v>197</v>
      </c>
      <c r="S707"/>
      <c r="T707"/>
      <c r="U707" s="15"/>
    </row>
    <row r="708" spans="1:21">
      <c r="A708" s="8"/>
      <c r="B708" t="s">
        <v>12</v>
      </c>
      <c r="C708" s="2" t="s">
        <v>2</v>
      </c>
      <c r="D708" t="s">
        <v>13</v>
      </c>
      <c r="E708"/>
      <c r="F708"/>
      <c r="G708" s="15"/>
      <c r="H708" s="8"/>
      <c r="I708" t="s">
        <v>12</v>
      </c>
      <c r="J708" s="2" t="s">
        <v>2</v>
      </c>
      <c r="K708" t="s">
        <v>13</v>
      </c>
      <c r="L708"/>
      <c r="M708"/>
      <c r="N708" s="15"/>
      <c r="O708" s="8"/>
      <c r="P708" t="s">
        <v>12</v>
      </c>
      <c r="Q708" s="2" t="s">
        <v>2</v>
      </c>
      <c r="R708" t="s">
        <v>13</v>
      </c>
      <c r="S708"/>
      <c r="T708"/>
      <c r="U708" s="15"/>
    </row>
    <row r="709" spans="1:21">
      <c r="A709" s="8"/>
      <c r="B709" s="3" t="s">
        <v>14</v>
      </c>
      <c r="C709" s="4" t="s">
        <v>2</v>
      </c>
      <c r="D709" s="3" t="s">
        <v>15</v>
      </c>
      <c r="E709" s="3"/>
      <c r="F709" s="3"/>
      <c r="G709" s="15"/>
      <c r="H709" s="8"/>
      <c r="I709" s="3" t="s">
        <v>14</v>
      </c>
      <c r="J709" s="4" t="s">
        <v>2</v>
      </c>
      <c r="K709" s="3" t="s">
        <v>15</v>
      </c>
      <c r="L709" s="3"/>
      <c r="M709" s="3"/>
      <c r="N709" s="15"/>
      <c r="O709" s="8"/>
      <c r="P709" s="3" t="s">
        <v>14</v>
      </c>
      <c r="Q709" s="4" t="s">
        <v>2</v>
      </c>
      <c r="R709" s="3" t="s">
        <v>15</v>
      </c>
      <c r="S709" s="3"/>
      <c r="T709" s="3"/>
      <c r="U709" s="15"/>
    </row>
    <row r="710" spans="1:21">
      <c r="A710" s="8"/>
      <c r="B710" t="s">
        <v>16</v>
      </c>
      <c r="C710"/>
      <c r="D710"/>
      <c r="E710" s="2" t="s">
        <v>2</v>
      </c>
      <c r="F710" s="5">
        <v>3595000</v>
      </c>
      <c r="G710" s="15"/>
      <c r="H710" s="8"/>
      <c r="I710" t="s">
        <v>16</v>
      </c>
      <c r="J710"/>
      <c r="K710"/>
      <c r="L710" s="2" t="s">
        <v>2</v>
      </c>
      <c r="M710" s="5">
        <v>3593000</v>
      </c>
      <c r="N710" s="15"/>
      <c r="O710" s="8"/>
      <c r="P710" t="s">
        <v>16</v>
      </c>
      <c r="Q710"/>
      <c r="R710"/>
      <c r="S710" s="2" t="s">
        <v>2</v>
      </c>
      <c r="T710" s="5">
        <v>3591000</v>
      </c>
      <c r="U710" s="15"/>
    </row>
    <row r="711" spans="1:21">
      <c r="A711" s="8"/>
      <c r="B711" t="s">
        <v>17</v>
      </c>
      <c r="C711"/>
      <c r="D711"/>
      <c r="E711" s="2" t="s">
        <v>2</v>
      </c>
      <c r="F711" s="5">
        <v>40000</v>
      </c>
      <c r="G711" s="15"/>
      <c r="H711" s="8"/>
      <c r="I711" t="s">
        <v>17</v>
      </c>
      <c r="J711"/>
      <c r="K711"/>
      <c r="L711" s="2" t="s">
        <v>2</v>
      </c>
      <c r="M711" s="5">
        <v>0</v>
      </c>
      <c r="N711" s="15"/>
      <c r="O711" s="8"/>
      <c r="P711" t="s">
        <v>17</v>
      </c>
      <c r="Q711"/>
      <c r="R711"/>
      <c r="S711" s="2" t="s">
        <v>2</v>
      </c>
      <c r="T711" s="5">
        <v>0</v>
      </c>
      <c r="U711" s="15"/>
    </row>
    <row r="712" spans="1:21">
      <c r="A712" s="8"/>
      <c r="B712" t="s">
        <v>18</v>
      </c>
      <c r="C712"/>
      <c r="D712"/>
      <c r="E712" s="2" t="s">
        <v>2</v>
      </c>
      <c r="F712" s="5">
        <v>0</v>
      </c>
      <c r="G712" s="15"/>
      <c r="H712" s="8"/>
      <c r="I712" t="s">
        <v>18</v>
      </c>
      <c r="J712"/>
      <c r="K712"/>
      <c r="L712" s="2" t="s">
        <v>2</v>
      </c>
      <c r="M712" s="5">
        <v>0</v>
      </c>
      <c r="N712" s="15"/>
      <c r="O712" s="8"/>
      <c r="P712" t="s">
        <v>18</v>
      </c>
      <c r="Q712"/>
      <c r="R712"/>
      <c r="S712" s="2" t="s">
        <v>2</v>
      </c>
      <c r="T712" s="5">
        <v>0</v>
      </c>
      <c r="U712" s="15"/>
    </row>
    <row r="713" spans="1:21">
      <c r="A713" s="8"/>
      <c r="B713" t="s">
        <v>19</v>
      </c>
      <c r="C713"/>
      <c r="D713"/>
      <c r="E713" s="2" t="s">
        <v>2</v>
      </c>
      <c r="F713" s="5">
        <v>0</v>
      </c>
      <c r="G713" s="15"/>
      <c r="H713" s="8"/>
      <c r="I713" t="s">
        <v>19</v>
      </c>
      <c r="J713"/>
      <c r="K713"/>
      <c r="L713" s="2" t="s">
        <v>2</v>
      </c>
      <c r="M713" s="5">
        <v>0</v>
      </c>
      <c r="N713" s="15"/>
      <c r="O713" s="8"/>
      <c r="P713" t="s">
        <v>19</v>
      </c>
      <c r="Q713"/>
      <c r="R713"/>
      <c r="S713" s="2" t="s">
        <v>2</v>
      </c>
      <c r="T713" s="5">
        <v>0</v>
      </c>
      <c r="U713" s="15"/>
    </row>
    <row r="714" spans="1:21">
      <c r="A714" s="8"/>
      <c r="B714"/>
      <c r="C714"/>
      <c r="D714"/>
      <c r="E714"/>
      <c r="F714"/>
      <c r="G714" s="15"/>
      <c r="H714" s="8"/>
      <c r="I714"/>
      <c r="J714"/>
      <c r="K714"/>
      <c r="L714"/>
      <c r="M714"/>
      <c r="N714" s="15"/>
      <c r="O714" s="8"/>
      <c r="P714"/>
      <c r="Q714"/>
      <c r="R714"/>
      <c r="S714"/>
      <c r="T714"/>
      <c r="U714" s="15"/>
    </row>
    <row r="715" spans="1:21">
      <c r="A715" s="8"/>
      <c r="B715" s="2" t="s">
        <v>20</v>
      </c>
      <c r="C715"/>
      <c r="D715"/>
      <c r="E715"/>
      <c r="F715"/>
      <c r="G715" s="15"/>
      <c r="H715" s="8"/>
      <c r="I715" s="2" t="s">
        <v>20</v>
      </c>
      <c r="J715"/>
      <c r="K715"/>
      <c r="L715"/>
      <c r="M715"/>
      <c r="N715" s="15"/>
      <c r="O715" s="8"/>
      <c r="P715" s="2" t="s">
        <v>20</v>
      </c>
      <c r="Q715"/>
      <c r="R715"/>
      <c r="S715"/>
      <c r="T715"/>
      <c r="U715" s="15"/>
    </row>
    <row r="716" spans="1:21">
      <c r="A716" s="8"/>
      <c r="B716" t="s">
        <v>21</v>
      </c>
      <c r="C716"/>
      <c r="D716"/>
      <c r="E716" s="2" t="s">
        <v>2</v>
      </c>
      <c r="F716" s="5">
        <v>2157000</v>
      </c>
      <c r="G716" s="15"/>
      <c r="H716" s="8"/>
      <c r="I716" t="s">
        <v>21</v>
      </c>
      <c r="J716"/>
      <c r="K716"/>
      <c r="L716" s="2" t="s">
        <v>2</v>
      </c>
      <c r="M716" s="5">
        <v>2155800</v>
      </c>
      <c r="N716" s="15"/>
      <c r="O716" s="8"/>
      <c r="P716" t="s">
        <v>21</v>
      </c>
      <c r="Q716"/>
      <c r="R716"/>
      <c r="S716" s="2" t="s">
        <v>2</v>
      </c>
      <c r="T716" s="5">
        <v>1077300</v>
      </c>
      <c r="U716" s="15"/>
    </row>
    <row r="717" spans="1:21">
      <c r="A717" s="8"/>
      <c r="B717" t="s">
        <v>22</v>
      </c>
      <c r="C717"/>
      <c r="D717"/>
      <c r="E717" s="2" t="s">
        <v>2</v>
      </c>
      <c r="F717" s="5">
        <v>107850</v>
      </c>
      <c r="G717" s="15"/>
      <c r="H717" s="8"/>
      <c r="I717" t="s">
        <v>22</v>
      </c>
      <c r="J717"/>
      <c r="K717"/>
      <c r="L717" s="2" t="s">
        <v>2</v>
      </c>
      <c r="M717" s="5">
        <v>107790</v>
      </c>
      <c r="N717" s="15"/>
      <c r="O717" s="8"/>
      <c r="P717" t="s">
        <v>22</v>
      </c>
      <c r="Q717"/>
      <c r="R717"/>
      <c r="S717" s="2" t="s">
        <v>2</v>
      </c>
      <c r="T717" s="5">
        <v>107730</v>
      </c>
      <c r="U717" s="15"/>
    </row>
    <row r="718" spans="1:21">
      <c r="A718" s="8"/>
      <c r="B718" s="3" t="s">
        <v>23</v>
      </c>
      <c r="C718" s="3"/>
      <c r="D718" s="3"/>
      <c r="E718" s="4" t="s">
        <v>2</v>
      </c>
      <c r="F718" s="6">
        <v>35745</v>
      </c>
      <c r="G718" s="15"/>
      <c r="H718" s="8"/>
      <c r="I718" s="3" t="s">
        <v>23</v>
      </c>
      <c r="J718" s="3"/>
      <c r="K718" s="3"/>
      <c r="L718" s="4" t="s">
        <v>2</v>
      </c>
      <c r="M718" s="6">
        <v>35745</v>
      </c>
      <c r="N718" s="15"/>
      <c r="O718" s="8"/>
      <c r="P718" s="3" t="s">
        <v>23</v>
      </c>
      <c r="Q718" s="3"/>
      <c r="R718" s="3"/>
      <c r="S718" s="4" t="s">
        <v>2</v>
      </c>
      <c r="T718" s="6">
        <v>35745</v>
      </c>
      <c r="U718" s="15"/>
    </row>
    <row r="719" spans="1:21">
      <c r="A719" s="8"/>
      <c r="B719" t="s">
        <v>24</v>
      </c>
      <c r="C719"/>
      <c r="D719"/>
      <c r="E719" s="2" t="s">
        <v>2</v>
      </c>
      <c r="F719" s="5" t="str">
        <f>sum(f716:f718)</f>
        <v>0</v>
      </c>
      <c r="G719" s="15"/>
      <c r="H719" s="8"/>
      <c r="I719" t="s">
        <v>24</v>
      </c>
      <c r="J719"/>
      <c r="K719"/>
      <c r="L719" s="2" t="s">
        <v>2</v>
      </c>
      <c r="M719" s="5" t="str">
        <f>sum(m716:m718)</f>
        <v>0</v>
      </c>
      <c r="N719" s="15"/>
      <c r="O719" s="8"/>
      <c r="P719" t="s">
        <v>24</v>
      </c>
      <c r="Q719"/>
      <c r="R719"/>
      <c r="S719" s="2" t="s">
        <v>2</v>
      </c>
      <c r="T719" s="5" t="str">
        <f>sum(t716:t718)</f>
        <v>0</v>
      </c>
      <c r="U719" s="15"/>
    </row>
    <row r="720" spans="1:21">
      <c r="A720" s="9"/>
      <c r="B720" s="11" t="s">
        <v>25</v>
      </c>
      <c r="C720" s="11"/>
      <c r="D720" s="11"/>
      <c r="E720" s="12" t="s">
        <v>2</v>
      </c>
      <c r="F720" s="13" t="str">
        <f>sum(f710:f713)-f719</f>
        <v>0</v>
      </c>
      <c r="G720" s="16"/>
      <c r="H720" s="9"/>
      <c r="I720" s="11" t="s">
        <v>25</v>
      </c>
      <c r="J720" s="11"/>
      <c r="K720" s="11"/>
      <c r="L720" s="12" t="s">
        <v>2</v>
      </c>
      <c r="M720" s="13" t="str">
        <f>sum(m710:m713)-m719</f>
        <v>0</v>
      </c>
      <c r="N720" s="16"/>
      <c r="O720" s="9"/>
      <c r="P720" s="11" t="s">
        <v>25</v>
      </c>
      <c r="Q720" s="11"/>
      <c r="R720" s="11"/>
      <c r="S720" s="12" t="s">
        <v>2</v>
      </c>
      <c r="T720" s="13" t="str">
        <f>sum(t710:t713)-t719</f>
        <v>0</v>
      </c>
      <c r="U720" s="16"/>
    </row>
    <row r="721" spans="1:21">
      <c r="A721" s="7"/>
      <c r="B721" s="10"/>
      <c r="C721" s="10"/>
      <c r="D721" s="10"/>
      <c r="E721" s="10"/>
      <c r="F721" s="10"/>
      <c r="G721" s="14"/>
      <c r="H721" s="7"/>
      <c r="I721" s="10"/>
      <c r="J721" s="10"/>
      <c r="K721" s="10"/>
      <c r="L721" s="10"/>
      <c r="M721" s="10"/>
      <c r="N721" s="14"/>
      <c r="O721" s="7"/>
      <c r="P721" s="10"/>
      <c r="Q721" s="10"/>
      <c r="R721" s="10"/>
      <c r="S721" s="10"/>
      <c r="T721" s="10"/>
      <c r="U721" s="14"/>
    </row>
    <row r="722" spans="1:21">
      <c r="A722" s="8"/>
      <c r="B722" s="1" t="s">
        <v>0</v>
      </c>
      <c r="C722"/>
      <c r="D722"/>
      <c r="E722"/>
      <c r="F722"/>
      <c r="G722" s="15"/>
      <c r="H722" s="8"/>
      <c r="I722" s="1" t="s">
        <v>0</v>
      </c>
      <c r="J722"/>
      <c r="K722"/>
      <c r="L722"/>
      <c r="M722"/>
      <c r="N722" s="15"/>
      <c r="O722" s="8"/>
      <c r="P722" s="1" t="s">
        <v>0</v>
      </c>
      <c r="Q722"/>
      <c r="R722"/>
      <c r="S722"/>
      <c r="T722"/>
      <c r="U722" s="15"/>
    </row>
    <row r="723" spans="1:21">
      <c r="A723" s="8"/>
      <c r="B723" t="s">
        <v>1</v>
      </c>
      <c r="C723" s="2" t="s">
        <v>2</v>
      </c>
      <c r="D723" t="s">
        <v>258</v>
      </c>
      <c r="E723"/>
      <c r="F723"/>
      <c r="G723" s="15"/>
      <c r="H723" s="8"/>
      <c r="I723" t="s">
        <v>1</v>
      </c>
      <c r="J723" s="2" t="s">
        <v>2</v>
      </c>
      <c r="K723" t="s">
        <v>259</v>
      </c>
      <c r="L723"/>
      <c r="M723"/>
      <c r="N723" s="15"/>
      <c r="O723" s="8"/>
      <c r="P723" t="s">
        <v>1</v>
      </c>
      <c r="Q723" s="2" t="s">
        <v>2</v>
      </c>
      <c r="R723" t="s">
        <v>260</v>
      </c>
      <c r="S723"/>
      <c r="T723"/>
      <c r="U723" s="15"/>
    </row>
    <row r="724" spans="1:21">
      <c r="A724" s="8"/>
      <c r="B724" t="s">
        <v>6</v>
      </c>
      <c r="C724" s="2" t="s">
        <v>2</v>
      </c>
      <c r="D724" t="s">
        <v>261</v>
      </c>
      <c r="E724"/>
      <c r="F724"/>
      <c r="G724" s="15"/>
      <c r="H724" s="8"/>
      <c r="I724" t="s">
        <v>6</v>
      </c>
      <c r="J724" s="2" t="s">
        <v>2</v>
      </c>
      <c r="K724" t="s">
        <v>262</v>
      </c>
      <c r="L724"/>
      <c r="M724"/>
      <c r="N724" s="15"/>
      <c r="O724" s="8"/>
      <c r="P724" t="s">
        <v>6</v>
      </c>
      <c r="Q724" s="2" t="s">
        <v>2</v>
      </c>
      <c r="R724" t="s">
        <v>263</v>
      </c>
      <c r="S724"/>
      <c r="T724"/>
      <c r="U724" s="15"/>
    </row>
    <row r="725" spans="1:21">
      <c r="A725" s="8"/>
      <c r="B725" t="s">
        <v>10</v>
      </c>
      <c r="C725" s="2" t="s">
        <v>2</v>
      </c>
      <c r="D725" t="s">
        <v>197</v>
      </c>
      <c r="E725"/>
      <c r="F725"/>
      <c r="G725" s="15"/>
      <c r="H725" s="8"/>
      <c r="I725" t="s">
        <v>10</v>
      </c>
      <c r="J725" s="2" t="s">
        <v>2</v>
      </c>
      <c r="K725" t="s">
        <v>197</v>
      </c>
      <c r="L725"/>
      <c r="M725"/>
      <c r="N725" s="15"/>
      <c r="O725" s="8"/>
      <c r="P725" t="s">
        <v>10</v>
      </c>
      <c r="Q725" s="2" t="s">
        <v>2</v>
      </c>
      <c r="R725" t="s">
        <v>197</v>
      </c>
      <c r="S725"/>
      <c r="T725"/>
      <c r="U725" s="15"/>
    </row>
    <row r="726" spans="1:21">
      <c r="A726" s="8"/>
      <c r="B726" t="s">
        <v>12</v>
      </c>
      <c r="C726" s="2" t="s">
        <v>2</v>
      </c>
      <c r="D726" t="s">
        <v>13</v>
      </c>
      <c r="E726"/>
      <c r="F726"/>
      <c r="G726" s="15"/>
      <c r="H726" s="8"/>
      <c r="I726" t="s">
        <v>12</v>
      </c>
      <c r="J726" s="2" t="s">
        <v>2</v>
      </c>
      <c r="K726" t="s">
        <v>13</v>
      </c>
      <c r="L726"/>
      <c r="M726"/>
      <c r="N726" s="15"/>
      <c r="O726" s="8"/>
      <c r="P726" t="s">
        <v>12</v>
      </c>
      <c r="Q726" s="2" t="s">
        <v>2</v>
      </c>
      <c r="R726" t="s">
        <v>13</v>
      </c>
      <c r="S726"/>
      <c r="T726"/>
      <c r="U726" s="15"/>
    </row>
    <row r="727" spans="1:21">
      <c r="A727" s="8"/>
      <c r="B727" s="3" t="s">
        <v>14</v>
      </c>
      <c r="C727" s="4" t="s">
        <v>2</v>
      </c>
      <c r="D727" s="3" t="s">
        <v>15</v>
      </c>
      <c r="E727" s="3"/>
      <c r="F727" s="3"/>
      <c r="G727" s="15"/>
      <c r="H727" s="8"/>
      <c r="I727" s="3" t="s">
        <v>14</v>
      </c>
      <c r="J727" s="4" t="s">
        <v>2</v>
      </c>
      <c r="K727" s="3" t="s">
        <v>15</v>
      </c>
      <c r="L727" s="3"/>
      <c r="M727" s="3"/>
      <c r="N727" s="15"/>
      <c r="O727" s="8"/>
      <c r="P727" s="3" t="s">
        <v>14</v>
      </c>
      <c r="Q727" s="4" t="s">
        <v>2</v>
      </c>
      <c r="R727" s="3" t="s">
        <v>15</v>
      </c>
      <c r="S727" s="3"/>
      <c r="T727" s="3"/>
      <c r="U727" s="15"/>
    </row>
    <row r="728" spans="1:21">
      <c r="A728" s="8"/>
      <c r="B728" t="s">
        <v>16</v>
      </c>
      <c r="C728"/>
      <c r="D728"/>
      <c r="E728" s="2" t="s">
        <v>2</v>
      </c>
      <c r="F728" s="5">
        <v>3598000</v>
      </c>
      <c r="G728" s="15"/>
      <c r="H728" s="8"/>
      <c r="I728" t="s">
        <v>16</v>
      </c>
      <c r="J728"/>
      <c r="K728"/>
      <c r="L728" s="2" t="s">
        <v>2</v>
      </c>
      <c r="M728" s="5">
        <v>3595000</v>
      </c>
      <c r="N728" s="15"/>
      <c r="O728" s="8"/>
      <c r="P728" t="s">
        <v>16</v>
      </c>
      <c r="Q728"/>
      <c r="R728"/>
      <c r="S728" s="2" t="s">
        <v>2</v>
      </c>
      <c r="T728" s="5">
        <v>3596000</v>
      </c>
      <c r="U728" s="15"/>
    </row>
    <row r="729" spans="1:21">
      <c r="A729" s="8"/>
      <c r="B729" t="s">
        <v>17</v>
      </c>
      <c r="C729"/>
      <c r="D729"/>
      <c r="E729" s="2" t="s">
        <v>2</v>
      </c>
      <c r="F729" s="5">
        <v>40000</v>
      </c>
      <c r="G729" s="15"/>
      <c r="H729" s="8"/>
      <c r="I729" t="s">
        <v>17</v>
      </c>
      <c r="J729"/>
      <c r="K729"/>
      <c r="L729" s="2" t="s">
        <v>2</v>
      </c>
      <c r="M729" s="5">
        <v>0</v>
      </c>
      <c r="N729" s="15"/>
      <c r="O729" s="8"/>
      <c r="P729" t="s">
        <v>17</v>
      </c>
      <c r="Q729"/>
      <c r="R729"/>
      <c r="S729" s="2" t="s">
        <v>2</v>
      </c>
      <c r="T729" s="5">
        <v>0</v>
      </c>
      <c r="U729" s="15"/>
    </row>
    <row r="730" spans="1:21">
      <c r="A730" s="8"/>
      <c r="B730" t="s">
        <v>18</v>
      </c>
      <c r="C730"/>
      <c r="D730"/>
      <c r="E730" s="2" t="s">
        <v>2</v>
      </c>
      <c r="F730" s="5">
        <v>0</v>
      </c>
      <c r="G730" s="15"/>
      <c r="H730" s="8"/>
      <c r="I730" t="s">
        <v>18</v>
      </c>
      <c r="J730"/>
      <c r="K730"/>
      <c r="L730" s="2" t="s">
        <v>2</v>
      </c>
      <c r="M730" s="5">
        <v>0</v>
      </c>
      <c r="N730" s="15"/>
      <c r="O730" s="8"/>
      <c r="P730" t="s">
        <v>18</v>
      </c>
      <c r="Q730"/>
      <c r="R730"/>
      <c r="S730" s="2" t="s">
        <v>2</v>
      </c>
      <c r="T730" s="5">
        <v>0</v>
      </c>
      <c r="U730" s="15"/>
    </row>
    <row r="731" spans="1:21">
      <c r="A731" s="8"/>
      <c r="B731" t="s">
        <v>19</v>
      </c>
      <c r="C731"/>
      <c r="D731"/>
      <c r="E731" s="2" t="s">
        <v>2</v>
      </c>
      <c r="F731" s="5">
        <v>0</v>
      </c>
      <c r="G731" s="15"/>
      <c r="H731" s="8"/>
      <c r="I731" t="s">
        <v>19</v>
      </c>
      <c r="J731"/>
      <c r="K731"/>
      <c r="L731" s="2" t="s">
        <v>2</v>
      </c>
      <c r="M731" s="5">
        <v>0</v>
      </c>
      <c r="N731" s="15"/>
      <c r="O731" s="8"/>
      <c r="P731" t="s">
        <v>19</v>
      </c>
      <c r="Q731"/>
      <c r="R731"/>
      <c r="S731" s="2" t="s">
        <v>2</v>
      </c>
      <c r="T731" s="5">
        <v>0</v>
      </c>
      <c r="U731" s="15"/>
    </row>
    <row r="732" spans="1:21">
      <c r="A732" s="8"/>
      <c r="B732"/>
      <c r="C732"/>
      <c r="D732"/>
      <c r="E732"/>
      <c r="F732"/>
      <c r="G732" s="15"/>
      <c r="H732" s="8"/>
      <c r="I732"/>
      <c r="J732"/>
      <c r="K732"/>
      <c r="L732"/>
      <c r="M732"/>
      <c r="N732" s="15"/>
      <c r="O732" s="8"/>
      <c r="P732"/>
      <c r="Q732"/>
      <c r="R732"/>
      <c r="S732"/>
      <c r="T732"/>
      <c r="U732" s="15"/>
    </row>
    <row r="733" spans="1:21">
      <c r="A733" s="8"/>
      <c r="B733" s="2" t="s">
        <v>20</v>
      </c>
      <c r="C733"/>
      <c r="D733"/>
      <c r="E733"/>
      <c r="F733"/>
      <c r="G733" s="15"/>
      <c r="H733" s="8"/>
      <c r="I733" s="2" t="s">
        <v>20</v>
      </c>
      <c r="J733"/>
      <c r="K733"/>
      <c r="L733"/>
      <c r="M733"/>
      <c r="N733" s="15"/>
      <c r="O733" s="8"/>
      <c r="P733" s="2" t="s">
        <v>20</v>
      </c>
      <c r="Q733"/>
      <c r="R733"/>
      <c r="S733"/>
      <c r="T733"/>
      <c r="U733" s="15"/>
    </row>
    <row r="734" spans="1:21">
      <c r="A734" s="8"/>
      <c r="B734" t="s">
        <v>21</v>
      </c>
      <c r="C734"/>
      <c r="D734"/>
      <c r="E734" s="2" t="s">
        <v>2</v>
      </c>
      <c r="F734" s="5">
        <v>2158800</v>
      </c>
      <c r="G734" s="15"/>
      <c r="H734" s="8"/>
      <c r="I734" t="s">
        <v>21</v>
      </c>
      <c r="J734"/>
      <c r="K734"/>
      <c r="L734" s="2" t="s">
        <v>2</v>
      </c>
      <c r="M734" s="5">
        <v>2157000</v>
      </c>
      <c r="N734" s="15"/>
      <c r="O734" s="8"/>
      <c r="P734" t="s">
        <v>21</v>
      </c>
      <c r="Q734"/>
      <c r="R734"/>
      <c r="S734" s="2" t="s">
        <v>2</v>
      </c>
      <c r="T734" s="5">
        <v>2157600</v>
      </c>
      <c r="U734" s="15"/>
    </row>
    <row r="735" spans="1:21">
      <c r="A735" s="8"/>
      <c r="B735" t="s">
        <v>22</v>
      </c>
      <c r="C735"/>
      <c r="D735"/>
      <c r="E735" s="2" t="s">
        <v>2</v>
      </c>
      <c r="F735" s="5">
        <v>107940</v>
      </c>
      <c r="G735" s="15"/>
      <c r="H735" s="8"/>
      <c r="I735" t="s">
        <v>22</v>
      </c>
      <c r="J735"/>
      <c r="K735"/>
      <c r="L735" s="2" t="s">
        <v>2</v>
      </c>
      <c r="M735" s="5">
        <v>107850</v>
      </c>
      <c r="N735" s="15"/>
      <c r="O735" s="8"/>
      <c r="P735" t="s">
        <v>22</v>
      </c>
      <c r="Q735"/>
      <c r="R735"/>
      <c r="S735" s="2" t="s">
        <v>2</v>
      </c>
      <c r="T735" s="5">
        <v>107880</v>
      </c>
      <c r="U735" s="15"/>
    </row>
    <row r="736" spans="1:21">
      <c r="A736" s="8"/>
      <c r="B736" s="3" t="s">
        <v>23</v>
      </c>
      <c r="C736" s="3"/>
      <c r="D736" s="3"/>
      <c r="E736" s="4" t="s">
        <v>2</v>
      </c>
      <c r="F736" s="6">
        <v>35745</v>
      </c>
      <c r="G736" s="15"/>
      <c r="H736" s="8"/>
      <c r="I736" s="3" t="s">
        <v>23</v>
      </c>
      <c r="J736" s="3"/>
      <c r="K736" s="3"/>
      <c r="L736" s="4" t="s">
        <v>2</v>
      </c>
      <c r="M736" s="6">
        <v>35745</v>
      </c>
      <c r="N736" s="15"/>
      <c r="O736" s="8"/>
      <c r="P736" s="3" t="s">
        <v>23</v>
      </c>
      <c r="Q736" s="3"/>
      <c r="R736" s="3"/>
      <c r="S736" s="4" t="s">
        <v>2</v>
      </c>
      <c r="T736" s="6">
        <v>35745</v>
      </c>
      <c r="U736" s="15"/>
    </row>
    <row r="737" spans="1:21">
      <c r="A737" s="8"/>
      <c r="B737" t="s">
        <v>24</v>
      </c>
      <c r="C737"/>
      <c r="D737"/>
      <c r="E737" s="2" t="s">
        <v>2</v>
      </c>
      <c r="F737" s="5" t="str">
        <f>sum(f734:f736)</f>
        <v>0</v>
      </c>
      <c r="G737" s="15"/>
      <c r="H737" s="8"/>
      <c r="I737" t="s">
        <v>24</v>
      </c>
      <c r="J737"/>
      <c r="K737"/>
      <c r="L737" s="2" t="s">
        <v>2</v>
      </c>
      <c r="M737" s="5" t="str">
        <f>sum(m734:m736)</f>
        <v>0</v>
      </c>
      <c r="N737" s="15"/>
      <c r="O737" s="8"/>
      <c r="P737" t="s">
        <v>24</v>
      </c>
      <c r="Q737"/>
      <c r="R737"/>
      <c r="S737" s="2" t="s">
        <v>2</v>
      </c>
      <c r="T737" s="5" t="str">
        <f>sum(t734:t736)</f>
        <v>0</v>
      </c>
      <c r="U737" s="15"/>
    </row>
    <row r="738" spans="1:21">
      <c r="A738" s="9"/>
      <c r="B738" s="11" t="s">
        <v>25</v>
      </c>
      <c r="C738" s="11"/>
      <c r="D738" s="11"/>
      <c r="E738" s="12" t="s">
        <v>2</v>
      </c>
      <c r="F738" s="13" t="str">
        <f>sum(f728:f731)-f737</f>
        <v>0</v>
      </c>
      <c r="G738" s="16"/>
      <c r="H738" s="9"/>
      <c r="I738" s="11" t="s">
        <v>25</v>
      </c>
      <c r="J738" s="11"/>
      <c r="K738" s="11"/>
      <c r="L738" s="12" t="s">
        <v>2</v>
      </c>
      <c r="M738" s="13" t="str">
        <f>sum(m728:m731)-m737</f>
        <v>0</v>
      </c>
      <c r="N738" s="16"/>
      <c r="O738" s="9"/>
      <c r="P738" s="11" t="s">
        <v>25</v>
      </c>
      <c r="Q738" s="11"/>
      <c r="R738" s="11"/>
      <c r="S738" s="12" t="s">
        <v>2</v>
      </c>
      <c r="T738" s="13" t="str">
        <f>sum(t728:t731)-t737</f>
        <v>0</v>
      </c>
      <c r="U738" s="16"/>
    </row>
    <row r="739" spans="1:21">
      <c r="A739" s="7"/>
      <c r="B739" s="10"/>
      <c r="C739" s="10"/>
      <c r="D739" s="10"/>
      <c r="E739" s="10"/>
      <c r="F739" s="10"/>
      <c r="G739" s="14"/>
      <c r="H739" s="7"/>
      <c r="I739" s="10"/>
      <c r="J739" s="10"/>
      <c r="K739" s="10"/>
      <c r="L739" s="10"/>
      <c r="M739" s="10"/>
      <c r="N739" s="14"/>
      <c r="O739" s="7"/>
      <c r="P739" s="10"/>
      <c r="Q739" s="10"/>
      <c r="R739" s="10"/>
      <c r="S739" s="10"/>
      <c r="T739" s="10"/>
      <c r="U739" s="14"/>
    </row>
    <row r="740" spans="1:21">
      <c r="A740" s="8"/>
      <c r="B740" s="1" t="s">
        <v>0</v>
      </c>
      <c r="C740"/>
      <c r="D740"/>
      <c r="E740"/>
      <c r="F740"/>
      <c r="G740" s="15"/>
      <c r="H740" s="8"/>
      <c r="I740" s="1" t="s">
        <v>0</v>
      </c>
      <c r="J740"/>
      <c r="K740"/>
      <c r="L740"/>
      <c r="M740"/>
      <c r="N740" s="15"/>
      <c r="O740" s="8"/>
      <c r="P740" s="1" t="s">
        <v>0</v>
      </c>
      <c r="Q740"/>
      <c r="R740"/>
      <c r="S740"/>
      <c r="T740"/>
      <c r="U740" s="15"/>
    </row>
    <row r="741" spans="1:21">
      <c r="A741" s="8"/>
      <c r="B741" t="s">
        <v>1</v>
      </c>
      <c r="C741" s="2" t="s">
        <v>2</v>
      </c>
      <c r="D741" t="s">
        <v>264</v>
      </c>
      <c r="E741"/>
      <c r="F741"/>
      <c r="G741" s="15"/>
      <c r="H741" s="8"/>
      <c r="I741" t="s">
        <v>1</v>
      </c>
      <c r="J741" s="2" t="s">
        <v>2</v>
      </c>
      <c r="K741" t="s">
        <v>265</v>
      </c>
      <c r="L741"/>
      <c r="M741"/>
      <c r="N741" s="15"/>
      <c r="O741" s="8"/>
      <c r="P741" t="s">
        <v>1</v>
      </c>
      <c r="Q741" s="2" t="s">
        <v>2</v>
      </c>
      <c r="R741" t="s">
        <v>266</v>
      </c>
      <c r="S741"/>
      <c r="T741"/>
      <c r="U741" s="15"/>
    </row>
    <row r="742" spans="1:21">
      <c r="A742" s="8"/>
      <c r="B742" t="s">
        <v>6</v>
      </c>
      <c r="C742" s="2" t="s">
        <v>2</v>
      </c>
      <c r="D742" t="s">
        <v>267</v>
      </c>
      <c r="E742"/>
      <c r="F742"/>
      <c r="G742" s="15"/>
      <c r="H742" s="8"/>
      <c r="I742" t="s">
        <v>6</v>
      </c>
      <c r="J742" s="2" t="s">
        <v>2</v>
      </c>
      <c r="K742" t="s">
        <v>268</v>
      </c>
      <c r="L742"/>
      <c r="M742"/>
      <c r="N742" s="15"/>
      <c r="O742" s="8"/>
      <c r="P742" t="s">
        <v>6</v>
      </c>
      <c r="Q742" s="2" t="s">
        <v>2</v>
      </c>
      <c r="R742" t="s">
        <v>269</v>
      </c>
      <c r="S742"/>
      <c r="T742"/>
      <c r="U742" s="15"/>
    </row>
    <row r="743" spans="1:21">
      <c r="A743" s="8"/>
      <c r="B743" t="s">
        <v>10</v>
      </c>
      <c r="C743" s="2" t="s">
        <v>2</v>
      </c>
      <c r="D743" t="s">
        <v>197</v>
      </c>
      <c r="E743"/>
      <c r="F743"/>
      <c r="G743" s="15"/>
      <c r="H743" s="8"/>
      <c r="I743" t="s">
        <v>10</v>
      </c>
      <c r="J743" s="2" t="s">
        <v>2</v>
      </c>
      <c r="K743" t="s">
        <v>197</v>
      </c>
      <c r="L743"/>
      <c r="M743"/>
      <c r="N743" s="15"/>
      <c r="O743" s="8"/>
      <c r="P743" t="s">
        <v>10</v>
      </c>
      <c r="Q743" s="2" t="s">
        <v>2</v>
      </c>
      <c r="R743" t="s">
        <v>197</v>
      </c>
      <c r="S743"/>
      <c r="T743"/>
      <c r="U743" s="15"/>
    </row>
    <row r="744" spans="1:21">
      <c r="A744" s="8"/>
      <c r="B744" t="s">
        <v>12</v>
      </c>
      <c r="C744" s="2" t="s">
        <v>2</v>
      </c>
      <c r="D744" t="s">
        <v>13</v>
      </c>
      <c r="E744"/>
      <c r="F744"/>
      <c r="G744" s="15"/>
      <c r="H744" s="8"/>
      <c r="I744" t="s">
        <v>12</v>
      </c>
      <c r="J744" s="2" t="s">
        <v>2</v>
      </c>
      <c r="K744" t="s">
        <v>13</v>
      </c>
      <c r="L744"/>
      <c r="M744"/>
      <c r="N744" s="15"/>
      <c r="O744" s="8"/>
      <c r="P744" t="s">
        <v>12</v>
      </c>
      <c r="Q744" s="2" t="s">
        <v>2</v>
      </c>
      <c r="R744" t="s">
        <v>13</v>
      </c>
      <c r="S744"/>
      <c r="T744"/>
      <c r="U744" s="15"/>
    </row>
    <row r="745" spans="1:21">
      <c r="A745" s="8"/>
      <c r="B745" s="3" t="s">
        <v>14</v>
      </c>
      <c r="C745" s="4" t="s">
        <v>2</v>
      </c>
      <c r="D745" s="3" t="s">
        <v>15</v>
      </c>
      <c r="E745" s="3"/>
      <c r="F745" s="3"/>
      <c r="G745" s="15"/>
      <c r="H745" s="8"/>
      <c r="I745" s="3" t="s">
        <v>14</v>
      </c>
      <c r="J745" s="4" t="s">
        <v>2</v>
      </c>
      <c r="K745" s="3" t="s">
        <v>15</v>
      </c>
      <c r="L745" s="3"/>
      <c r="M745" s="3"/>
      <c r="N745" s="15"/>
      <c r="O745" s="8"/>
      <c r="P745" s="3" t="s">
        <v>14</v>
      </c>
      <c r="Q745" s="4" t="s">
        <v>2</v>
      </c>
      <c r="R745" s="3" t="s">
        <v>15</v>
      </c>
      <c r="S745" s="3"/>
      <c r="T745" s="3"/>
      <c r="U745" s="15"/>
    </row>
    <row r="746" spans="1:21">
      <c r="A746" s="8"/>
      <c r="B746" t="s">
        <v>16</v>
      </c>
      <c r="C746"/>
      <c r="D746"/>
      <c r="E746" s="2" t="s">
        <v>2</v>
      </c>
      <c r="F746" s="5">
        <v>3592000</v>
      </c>
      <c r="G746" s="15"/>
      <c r="H746" s="8"/>
      <c r="I746" t="s">
        <v>16</v>
      </c>
      <c r="J746"/>
      <c r="K746"/>
      <c r="L746" s="2" t="s">
        <v>2</v>
      </c>
      <c r="M746" s="5">
        <v>3596000</v>
      </c>
      <c r="N746" s="15"/>
      <c r="O746" s="8"/>
      <c r="P746" t="s">
        <v>16</v>
      </c>
      <c r="Q746"/>
      <c r="R746"/>
      <c r="S746" s="2" t="s">
        <v>2</v>
      </c>
      <c r="T746" s="5">
        <v>3593000</v>
      </c>
      <c r="U746" s="15"/>
    </row>
    <row r="747" spans="1:21">
      <c r="A747" s="8"/>
      <c r="B747" t="s">
        <v>17</v>
      </c>
      <c r="C747"/>
      <c r="D747"/>
      <c r="E747" s="2" t="s">
        <v>2</v>
      </c>
      <c r="F747" s="5">
        <v>0</v>
      </c>
      <c r="G747" s="15"/>
      <c r="H747" s="8"/>
      <c r="I747" t="s">
        <v>17</v>
      </c>
      <c r="J747"/>
      <c r="K747"/>
      <c r="L747" s="2" t="s">
        <v>2</v>
      </c>
      <c r="M747" s="5">
        <v>0</v>
      </c>
      <c r="N747" s="15"/>
      <c r="O747" s="8"/>
      <c r="P747" t="s">
        <v>17</v>
      </c>
      <c r="Q747"/>
      <c r="R747"/>
      <c r="S747" s="2" t="s">
        <v>2</v>
      </c>
      <c r="T747" s="5">
        <v>50000</v>
      </c>
      <c r="U747" s="15"/>
    </row>
    <row r="748" spans="1:21">
      <c r="A748" s="8"/>
      <c r="B748" t="s">
        <v>18</v>
      </c>
      <c r="C748"/>
      <c r="D748"/>
      <c r="E748" s="2" t="s">
        <v>2</v>
      </c>
      <c r="F748" s="5">
        <v>0</v>
      </c>
      <c r="G748" s="15"/>
      <c r="H748" s="8"/>
      <c r="I748" t="s">
        <v>18</v>
      </c>
      <c r="J748"/>
      <c r="K748"/>
      <c r="L748" s="2" t="s">
        <v>2</v>
      </c>
      <c r="M748" s="5">
        <v>0</v>
      </c>
      <c r="N748" s="15"/>
      <c r="O748" s="8"/>
      <c r="P748" t="s">
        <v>18</v>
      </c>
      <c r="Q748"/>
      <c r="R748"/>
      <c r="S748" s="2" t="s">
        <v>2</v>
      </c>
      <c r="T748" s="5">
        <v>25000</v>
      </c>
      <c r="U748" s="15"/>
    </row>
    <row r="749" spans="1:21">
      <c r="A749" s="8"/>
      <c r="B749" t="s">
        <v>19</v>
      </c>
      <c r="C749"/>
      <c r="D749"/>
      <c r="E749" s="2" t="s">
        <v>2</v>
      </c>
      <c r="F749" s="5">
        <v>0</v>
      </c>
      <c r="G749" s="15"/>
      <c r="H749" s="8"/>
      <c r="I749" t="s">
        <v>19</v>
      </c>
      <c r="J749"/>
      <c r="K749"/>
      <c r="L749" s="2" t="s">
        <v>2</v>
      </c>
      <c r="M749" s="5">
        <v>0</v>
      </c>
      <c r="N749" s="15"/>
      <c r="O749" s="8"/>
      <c r="P749" t="s">
        <v>19</v>
      </c>
      <c r="Q749"/>
      <c r="R749"/>
      <c r="S749" s="2" t="s">
        <v>2</v>
      </c>
      <c r="T749" s="5">
        <v>0</v>
      </c>
      <c r="U749" s="15"/>
    </row>
    <row r="750" spans="1:21">
      <c r="A750" s="8"/>
      <c r="B750"/>
      <c r="C750"/>
      <c r="D750"/>
      <c r="E750"/>
      <c r="F750"/>
      <c r="G750" s="15"/>
      <c r="H750" s="8"/>
      <c r="I750"/>
      <c r="J750"/>
      <c r="K750"/>
      <c r="L750"/>
      <c r="M750"/>
      <c r="N750" s="15"/>
      <c r="O750" s="8"/>
      <c r="P750"/>
      <c r="Q750"/>
      <c r="R750"/>
      <c r="S750"/>
      <c r="T750"/>
      <c r="U750" s="15"/>
    </row>
    <row r="751" spans="1:21">
      <c r="A751" s="8"/>
      <c r="B751" s="2" t="s">
        <v>20</v>
      </c>
      <c r="C751"/>
      <c r="D751"/>
      <c r="E751"/>
      <c r="F751"/>
      <c r="G751" s="15"/>
      <c r="H751" s="8"/>
      <c r="I751" s="2" t="s">
        <v>20</v>
      </c>
      <c r="J751"/>
      <c r="K751"/>
      <c r="L751"/>
      <c r="M751"/>
      <c r="N751" s="15"/>
      <c r="O751" s="8"/>
      <c r="P751" s="2" t="s">
        <v>20</v>
      </c>
      <c r="Q751"/>
      <c r="R751"/>
      <c r="S751"/>
      <c r="T751"/>
      <c r="U751" s="15"/>
    </row>
    <row r="752" spans="1:21">
      <c r="A752" s="8"/>
      <c r="B752" t="s">
        <v>21</v>
      </c>
      <c r="C752"/>
      <c r="D752"/>
      <c r="E752" s="2" t="s">
        <v>2</v>
      </c>
      <c r="F752" s="5">
        <v>1915733.38</v>
      </c>
      <c r="G752" s="15"/>
      <c r="H752" s="8"/>
      <c r="I752" t="s">
        <v>21</v>
      </c>
      <c r="J752"/>
      <c r="K752"/>
      <c r="L752" s="2" t="s">
        <v>2</v>
      </c>
      <c r="M752" s="5">
        <v>2157600</v>
      </c>
      <c r="N752" s="15"/>
      <c r="O752" s="8"/>
      <c r="P752" t="s">
        <v>21</v>
      </c>
      <c r="Q752"/>
      <c r="R752"/>
      <c r="S752" s="2" t="s">
        <v>2</v>
      </c>
      <c r="T752" s="5">
        <v>0</v>
      </c>
      <c r="U752" s="15"/>
    </row>
    <row r="753" spans="1:21">
      <c r="A753" s="8"/>
      <c r="B753" t="s">
        <v>22</v>
      </c>
      <c r="C753"/>
      <c r="D753"/>
      <c r="E753" s="2" t="s">
        <v>2</v>
      </c>
      <c r="F753" s="5">
        <v>107760</v>
      </c>
      <c r="G753" s="15"/>
      <c r="H753" s="8"/>
      <c r="I753" t="s">
        <v>22</v>
      </c>
      <c r="J753"/>
      <c r="K753"/>
      <c r="L753" s="2" t="s">
        <v>2</v>
      </c>
      <c r="M753" s="5">
        <v>107880</v>
      </c>
      <c r="N753" s="15"/>
      <c r="O753" s="8"/>
      <c r="P753" t="s">
        <v>22</v>
      </c>
      <c r="Q753"/>
      <c r="R753"/>
      <c r="S753" s="2" t="s">
        <v>2</v>
      </c>
      <c r="T753" s="5">
        <v>107790</v>
      </c>
      <c r="U753" s="15"/>
    </row>
    <row r="754" spans="1:21">
      <c r="A754" s="8"/>
      <c r="B754" s="3" t="s">
        <v>23</v>
      </c>
      <c r="C754" s="3"/>
      <c r="D754" s="3"/>
      <c r="E754" s="4" t="s">
        <v>2</v>
      </c>
      <c r="F754" s="6">
        <v>35745</v>
      </c>
      <c r="G754" s="15"/>
      <c r="H754" s="8"/>
      <c r="I754" s="3" t="s">
        <v>23</v>
      </c>
      <c r="J754" s="3"/>
      <c r="K754" s="3"/>
      <c r="L754" s="4" t="s">
        <v>2</v>
      </c>
      <c r="M754" s="6">
        <v>35745</v>
      </c>
      <c r="N754" s="15"/>
      <c r="O754" s="8"/>
      <c r="P754" s="3" t="s">
        <v>23</v>
      </c>
      <c r="Q754" s="3"/>
      <c r="R754" s="3"/>
      <c r="S754" s="4" t="s">
        <v>2</v>
      </c>
      <c r="T754" s="6">
        <v>35745</v>
      </c>
      <c r="U754" s="15"/>
    </row>
    <row r="755" spans="1:21">
      <c r="A755" s="8"/>
      <c r="B755" t="s">
        <v>24</v>
      </c>
      <c r="C755"/>
      <c r="D755"/>
      <c r="E755" s="2" t="s">
        <v>2</v>
      </c>
      <c r="F755" s="5" t="str">
        <f>sum(f752:f754)</f>
        <v>0</v>
      </c>
      <c r="G755" s="15"/>
      <c r="H755" s="8"/>
      <c r="I755" t="s">
        <v>24</v>
      </c>
      <c r="J755"/>
      <c r="K755"/>
      <c r="L755" s="2" t="s">
        <v>2</v>
      </c>
      <c r="M755" s="5" t="str">
        <f>sum(m752:m754)</f>
        <v>0</v>
      </c>
      <c r="N755" s="15"/>
      <c r="O755" s="8"/>
      <c r="P755" t="s">
        <v>24</v>
      </c>
      <c r="Q755"/>
      <c r="R755"/>
      <c r="S755" s="2" t="s">
        <v>2</v>
      </c>
      <c r="T755" s="5" t="str">
        <f>sum(t752:t754)</f>
        <v>0</v>
      </c>
      <c r="U755" s="15"/>
    </row>
    <row r="756" spans="1:21">
      <c r="A756" s="9"/>
      <c r="B756" s="11" t="s">
        <v>25</v>
      </c>
      <c r="C756" s="11"/>
      <c r="D756" s="11"/>
      <c r="E756" s="12" t="s">
        <v>2</v>
      </c>
      <c r="F756" s="13" t="str">
        <f>sum(f746:f749)-f755</f>
        <v>0</v>
      </c>
      <c r="G756" s="16"/>
      <c r="H756" s="9"/>
      <c r="I756" s="11" t="s">
        <v>25</v>
      </c>
      <c r="J756" s="11"/>
      <c r="K756" s="11"/>
      <c r="L756" s="12" t="s">
        <v>2</v>
      </c>
      <c r="M756" s="13" t="str">
        <f>sum(m746:m749)-m755</f>
        <v>0</v>
      </c>
      <c r="N756" s="16"/>
      <c r="O756" s="9"/>
      <c r="P756" s="11" t="s">
        <v>25</v>
      </c>
      <c r="Q756" s="11"/>
      <c r="R756" s="11"/>
      <c r="S756" s="12" t="s">
        <v>2</v>
      </c>
      <c r="T756" s="13" t="str">
        <f>sum(t746:t749)-t755</f>
        <v>0</v>
      </c>
      <c r="U756" s="16"/>
    </row>
    <row r="757" spans="1:21">
      <c r="A757" s="7"/>
      <c r="B757" s="10"/>
      <c r="C757" s="10"/>
      <c r="D757" s="10"/>
      <c r="E757" s="10"/>
      <c r="F757" s="10"/>
      <c r="G757" s="14"/>
      <c r="H757" s="7"/>
      <c r="I757" s="10"/>
      <c r="J757" s="10"/>
      <c r="K757" s="10"/>
      <c r="L757" s="10"/>
      <c r="M757" s="10"/>
      <c r="N757" s="14"/>
      <c r="O757" s="7"/>
      <c r="P757" s="10"/>
      <c r="Q757" s="10"/>
      <c r="R757" s="10"/>
      <c r="S757" s="10"/>
      <c r="T757" s="10"/>
      <c r="U757" s="14"/>
    </row>
    <row r="758" spans="1:21">
      <c r="A758" s="8"/>
      <c r="B758" s="1" t="s">
        <v>0</v>
      </c>
      <c r="C758"/>
      <c r="D758"/>
      <c r="E758"/>
      <c r="F758"/>
      <c r="G758" s="15"/>
      <c r="H758" s="8"/>
      <c r="I758" s="1" t="s">
        <v>0</v>
      </c>
      <c r="J758"/>
      <c r="K758"/>
      <c r="L758"/>
      <c r="M758"/>
      <c r="N758" s="15"/>
      <c r="O758" s="8"/>
      <c r="P758" s="1" t="s">
        <v>0</v>
      </c>
      <c r="Q758"/>
      <c r="R758"/>
      <c r="S758"/>
      <c r="T758"/>
      <c r="U758" s="15"/>
    </row>
    <row r="759" spans="1:21">
      <c r="A759" s="8"/>
      <c r="B759" t="s">
        <v>1</v>
      </c>
      <c r="C759" s="2" t="s">
        <v>2</v>
      </c>
      <c r="D759" t="s">
        <v>270</v>
      </c>
      <c r="E759"/>
      <c r="F759"/>
      <c r="G759" s="15"/>
      <c r="H759" s="8"/>
      <c r="I759" t="s">
        <v>1</v>
      </c>
      <c r="J759" s="2" t="s">
        <v>2</v>
      </c>
      <c r="K759" t="s">
        <v>271</v>
      </c>
      <c r="L759"/>
      <c r="M759"/>
      <c r="N759" s="15"/>
      <c r="O759" s="8"/>
      <c r="P759" t="s">
        <v>1</v>
      </c>
      <c r="Q759" s="2" t="s">
        <v>2</v>
      </c>
      <c r="R759" t="s">
        <v>272</v>
      </c>
      <c r="S759"/>
      <c r="T759"/>
      <c r="U759" s="15"/>
    </row>
    <row r="760" spans="1:21">
      <c r="A760" s="8"/>
      <c r="B760" t="s">
        <v>6</v>
      </c>
      <c r="C760" s="2" t="s">
        <v>2</v>
      </c>
      <c r="D760" t="s">
        <v>273</v>
      </c>
      <c r="E760"/>
      <c r="F760"/>
      <c r="G760" s="15"/>
      <c r="H760" s="8"/>
      <c r="I760" t="s">
        <v>6</v>
      </c>
      <c r="J760" s="2" t="s">
        <v>2</v>
      </c>
      <c r="K760" t="s">
        <v>274</v>
      </c>
      <c r="L760"/>
      <c r="M760"/>
      <c r="N760" s="15"/>
      <c r="O760" s="8"/>
      <c r="P760" t="s">
        <v>6</v>
      </c>
      <c r="Q760" s="2" t="s">
        <v>2</v>
      </c>
      <c r="R760" t="s">
        <v>275</v>
      </c>
      <c r="S760"/>
      <c r="T760"/>
      <c r="U760" s="15"/>
    </row>
    <row r="761" spans="1:21">
      <c r="A761" s="8"/>
      <c r="B761" t="s">
        <v>10</v>
      </c>
      <c r="C761" s="2" t="s">
        <v>2</v>
      </c>
      <c r="D761" t="s">
        <v>197</v>
      </c>
      <c r="E761"/>
      <c r="F761"/>
      <c r="G761" s="15"/>
      <c r="H761" s="8"/>
      <c r="I761" t="s">
        <v>10</v>
      </c>
      <c r="J761" s="2" t="s">
        <v>2</v>
      </c>
      <c r="K761" t="s">
        <v>197</v>
      </c>
      <c r="L761"/>
      <c r="M761"/>
      <c r="N761" s="15"/>
      <c r="O761" s="8"/>
      <c r="P761" t="s">
        <v>10</v>
      </c>
      <c r="Q761" s="2" t="s">
        <v>2</v>
      </c>
      <c r="R761" t="s">
        <v>276</v>
      </c>
      <c r="S761"/>
      <c r="T761"/>
      <c r="U761" s="15"/>
    </row>
    <row r="762" spans="1:21">
      <c r="A762" s="8"/>
      <c r="B762" t="s">
        <v>12</v>
      </c>
      <c r="C762" s="2" t="s">
        <v>2</v>
      </c>
      <c r="D762" t="s">
        <v>13</v>
      </c>
      <c r="E762"/>
      <c r="F762"/>
      <c r="G762" s="15"/>
      <c r="H762" s="8"/>
      <c r="I762" t="s">
        <v>12</v>
      </c>
      <c r="J762" s="2" t="s">
        <v>2</v>
      </c>
      <c r="K762" t="s">
        <v>13</v>
      </c>
      <c r="L762"/>
      <c r="M762"/>
      <c r="N762" s="15"/>
      <c r="O762" s="8"/>
      <c r="P762" t="s">
        <v>12</v>
      </c>
      <c r="Q762" s="2" t="s">
        <v>2</v>
      </c>
      <c r="R762" t="s">
        <v>13</v>
      </c>
      <c r="S762"/>
      <c r="T762"/>
      <c r="U762" s="15"/>
    </row>
    <row r="763" spans="1:21">
      <c r="A763" s="8"/>
      <c r="B763" s="3" t="s">
        <v>14</v>
      </c>
      <c r="C763" s="4" t="s">
        <v>2</v>
      </c>
      <c r="D763" s="3" t="s">
        <v>15</v>
      </c>
      <c r="E763" s="3"/>
      <c r="F763" s="3"/>
      <c r="G763" s="15"/>
      <c r="H763" s="8"/>
      <c r="I763" s="3" t="s">
        <v>14</v>
      </c>
      <c r="J763" s="4" t="s">
        <v>2</v>
      </c>
      <c r="K763" s="3" t="s">
        <v>15</v>
      </c>
      <c r="L763" s="3"/>
      <c r="M763" s="3"/>
      <c r="N763" s="15"/>
      <c r="O763" s="8"/>
      <c r="P763" s="3" t="s">
        <v>14</v>
      </c>
      <c r="Q763" s="4" t="s">
        <v>2</v>
      </c>
      <c r="R763" s="3" t="s">
        <v>15</v>
      </c>
      <c r="S763" s="3"/>
      <c r="T763" s="3"/>
      <c r="U763" s="15"/>
    </row>
    <row r="764" spans="1:21">
      <c r="A764" s="8"/>
      <c r="B764" t="s">
        <v>16</v>
      </c>
      <c r="C764"/>
      <c r="D764"/>
      <c r="E764" s="2" t="s">
        <v>2</v>
      </c>
      <c r="F764" s="5">
        <v>3595000</v>
      </c>
      <c r="G764" s="15"/>
      <c r="H764" s="8"/>
      <c r="I764" t="s">
        <v>16</v>
      </c>
      <c r="J764"/>
      <c r="K764"/>
      <c r="L764" s="2" t="s">
        <v>2</v>
      </c>
      <c r="M764" s="5">
        <v>3597000</v>
      </c>
      <c r="N764" s="15"/>
      <c r="O764" s="8"/>
      <c r="P764" t="s">
        <v>16</v>
      </c>
      <c r="Q764"/>
      <c r="R764"/>
      <c r="S764" s="2" t="s">
        <v>2</v>
      </c>
      <c r="T764" s="5">
        <v>3597000</v>
      </c>
      <c r="U764" s="15"/>
    </row>
    <row r="765" spans="1:21">
      <c r="A765" s="8"/>
      <c r="B765" t="s">
        <v>17</v>
      </c>
      <c r="C765"/>
      <c r="D765"/>
      <c r="E765" s="2" t="s">
        <v>2</v>
      </c>
      <c r="F765" s="5">
        <v>0</v>
      </c>
      <c r="G765" s="15"/>
      <c r="H765" s="8"/>
      <c r="I765" t="s">
        <v>17</v>
      </c>
      <c r="J765"/>
      <c r="K765"/>
      <c r="L765" s="2" t="s">
        <v>2</v>
      </c>
      <c r="M765" s="5">
        <v>0</v>
      </c>
      <c r="N765" s="15"/>
      <c r="O765" s="8"/>
      <c r="P765" t="s">
        <v>17</v>
      </c>
      <c r="Q765"/>
      <c r="R765"/>
      <c r="S765" s="2" t="s">
        <v>2</v>
      </c>
      <c r="T765" s="5">
        <v>80000</v>
      </c>
      <c r="U765" s="15"/>
    </row>
    <row r="766" spans="1:21">
      <c r="A766" s="8"/>
      <c r="B766" t="s">
        <v>18</v>
      </c>
      <c r="C766"/>
      <c r="D766"/>
      <c r="E766" s="2" t="s">
        <v>2</v>
      </c>
      <c r="F766" s="5">
        <v>0</v>
      </c>
      <c r="G766" s="15"/>
      <c r="H766" s="8"/>
      <c r="I766" t="s">
        <v>18</v>
      </c>
      <c r="J766"/>
      <c r="K766"/>
      <c r="L766" s="2" t="s">
        <v>2</v>
      </c>
      <c r="M766" s="5">
        <v>0</v>
      </c>
      <c r="N766" s="15"/>
      <c r="O766" s="8"/>
      <c r="P766" t="s">
        <v>18</v>
      </c>
      <c r="Q766"/>
      <c r="R766"/>
      <c r="S766" s="2" t="s">
        <v>2</v>
      </c>
      <c r="T766" s="5">
        <v>0</v>
      </c>
      <c r="U766" s="15"/>
    </row>
    <row r="767" spans="1:21">
      <c r="A767" s="8"/>
      <c r="B767" t="s">
        <v>19</v>
      </c>
      <c r="C767"/>
      <c r="D767"/>
      <c r="E767" s="2" t="s">
        <v>2</v>
      </c>
      <c r="F767" s="5">
        <v>0</v>
      </c>
      <c r="G767" s="15"/>
      <c r="H767" s="8"/>
      <c r="I767" t="s">
        <v>19</v>
      </c>
      <c r="J767"/>
      <c r="K767"/>
      <c r="L767" s="2" t="s">
        <v>2</v>
      </c>
      <c r="M767" s="5">
        <v>0</v>
      </c>
      <c r="N767" s="15"/>
      <c r="O767" s="8"/>
      <c r="P767" t="s">
        <v>19</v>
      </c>
      <c r="Q767"/>
      <c r="R767"/>
      <c r="S767" s="2" t="s">
        <v>2</v>
      </c>
      <c r="T767" s="5">
        <v>10000</v>
      </c>
      <c r="U767" s="15"/>
    </row>
    <row r="768" spans="1:21">
      <c r="A768" s="8"/>
      <c r="B768"/>
      <c r="C768"/>
      <c r="D768"/>
      <c r="E768"/>
      <c r="F768"/>
      <c r="G768" s="15"/>
      <c r="H768" s="8"/>
      <c r="I768"/>
      <c r="J768"/>
      <c r="K768"/>
      <c r="L768"/>
      <c r="M768"/>
      <c r="N768" s="15"/>
      <c r="O768" s="8"/>
      <c r="P768"/>
      <c r="Q768"/>
      <c r="R768"/>
      <c r="S768"/>
      <c r="T768"/>
      <c r="U768" s="15"/>
    </row>
    <row r="769" spans="1:21">
      <c r="A769" s="8"/>
      <c r="B769" s="2" t="s">
        <v>20</v>
      </c>
      <c r="C769"/>
      <c r="D769"/>
      <c r="E769"/>
      <c r="F769"/>
      <c r="G769" s="15"/>
      <c r="H769" s="8"/>
      <c r="I769" s="2" t="s">
        <v>20</v>
      </c>
      <c r="J769"/>
      <c r="K769"/>
      <c r="L769"/>
      <c r="M769"/>
      <c r="N769" s="15"/>
      <c r="O769" s="8"/>
      <c r="P769" s="2" t="s">
        <v>20</v>
      </c>
      <c r="Q769"/>
      <c r="R769"/>
      <c r="S769"/>
      <c r="T769"/>
      <c r="U769" s="15"/>
    </row>
    <row r="770" spans="1:21">
      <c r="A770" s="8"/>
      <c r="B770" t="s">
        <v>21</v>
      </c>
      <c r="C770"/>
      <c r="D770"/>
      <c r="E770" s="2" t="s">
        <v>2</v>
      </c>
      <c r="F770" s="5">
        <v>2157000</v>
      </c>
      <c r="G770" s="15"/>
      <c r="H770" s="8"/>
      <c r="I770" t="s">
        <v>21</v>
      </c>
      <c r="J770"/>
      <c r="K770"/>
      <c r="L770" s="2" t="s">
        <v>2</v>
      </c>
      <c r="M770" s="5">
        <v>2038300</v>
      </c>
      <c r="N770" s="15"/>
      <c r="O770" s="8"/>
      <c r="P770" t="s">
        <v>21</v>
      </c>
      <c r="Q770"/>
      <c r="R770"/>
      <c r="S770" s="2" t="s">
        <v>2</v>
      </c>
      <c r="T770" s="5">
        <v>0</v>
      </c>
      <c r="U770" s="15"/>
    </row>
    <row r="771" spans="1:21">
      <c r="A771" s="8"/>
      <c r="B771" t="s">
        <v>22</v>
      </c>
      <c r="C771"/>
      <c r="D771"/>
      <c r="E771" s="2" t="s">
        <v>2</v>
      </c>
      <c r="F771" s="5">
        <v>107850</v>
      </c>
      <c r="G771" s="15"/>
      <c r="H771" s="8"/>
      <c r="I771" t="s">
        <v>22</v>
      </c>
      <c r="J771"/>
      <c r="K771"/>
      <c r="L771" s="2" t="s">
        <v>2</v>
      </c>
      <c r="M771" s="5">
        <v>107910</v>
      </c>
      <c r="N771" s="15"/>
      <c r="O771" s="8"/>
      <c r="P771" t="s">
        <v>22</v>
      </c>
      <c r="Q771"/>
      <c r="R771"/>
      <c r="S771" s="2" t="s">
        <v>2</v>
      </c>
      <c r="T771" s="5">
        <v>107910</v>
      </c>
      <c r="U771" s="15"/>
    </row>
    <row r="772" spans="1:21">
      <c r="A772" s="8"/>
      <c r="B772" s="3" t="s">
        <v>23</v>
      </c>
      <c r="C772" s="3"/>
      <c r="D772" s="3"/>
      <c r="E772" s="4" t="s">
        <v>2</v>
      </c>
      <c r="F772" s="6">
        <v>0</v>
      </c>
      <c r="G772" s="15"/>
      <c r="H772" s="8"/>
      <c r="I772" s="3" t="s">
        <v>23</v>
      </c>
      <c r="J772" s="3"/>
      <c r="K772" s="3"/>
      <c r="L772" s="4" t="s">
        <v>2</v>
      </c>
      <c r="M772" s="6">
        <v>35745</v>
      </c>
      <c r="N772" s="15"/>
      <c r="O772" s="8"/>
      <c r="P772" s="3" t="s">
        <v>23</v>
      </c>
      <c r="Q772" s="3"/>
      <c r="R772" s="3"/>
      <c r="S772" s="4" t="s">
        <v>2</v>
      </c>
      <c r="T772" s="6">
        <v>35745</v>
      </c>
      <c r="U772" s="15"/>
    </row>
    <row r="773" spans="1:21">
      <c r="A773" s="8"/>
      <c r="B773" t="s">
        <v>24</v>
      </c>
      <c r="C773"/>
      <c r="D773"/>
      <c r="E773" s="2" t="s">
        <v>2</v>
      </c>
      <c r="F773" s="5" t="str">
        <f>sum(f770:f772)</f>
        <v>0</v>
      </c>
      <c r="G773" s="15"/>
      <c r="H773" s="8"/>
      <c r="I773" t="s">
        <v>24</v>
      </c>
      <c r="J773"/>
      <c r="K773"/>
      <c r="L773" s="2" t="s">
        <v>2</v>
      </c>
      <c r="M773" s="5" t="str">
        <f>sum(m770:m772)</f>
        <v>0</v>
      </c>
      <c r="N773" s="15"/>
      <c r="O773" s="8"/>
      <c r="P773" t="s">
        <v>24</v>
      </c>
      <c r="Q773"/>
      <c r="R773"/>
      <c r="S773" s="2" t="s">
        <v>2</v>
      </c>
      <c r="T773" s="5" t="str">
        <f>sum(t770:t772)</f>
        <v>0</v>
      </c>
      <c r="U773" s="15"/>
    </row>
    <row r="774" spans="1:21">
      <c r="A774" s="9"/>
      <c r="B774" s="11" t="s">
        <v>25</v>
      </c>
      <c r="C774" s="11"/>
      <c r="D774" s="11"/>
      <c r="E774" s="12" t="s">
        <v>2</v>
      </c>
      <c r="F774" s="13" t="str">
        <f>sum(f764:f767)-f773</f>
        <v>0</v>
      </c>
      <c r="G774" s="16"/>
      <c r="H774" s="9"/>
      <c r="I774" s="11" t="s">
        <v>25</v>
      </c>
      <c r="J774" s="11"/>
      <c r="K774" s="11"/>
      <c r="L774" s="12" t="s">
        <v>2</v>
      </c>
      <c r="M774" s="13" t="str">
        <f>sum(m764:m767)-m773</f>
        <v>0</v>
      </c>
      <c r="N774" s="16"/>
      <c r="O774" s="9"/>
      <c r="P774" s="11" t="s">
        <v>25</v>
      </c>
      <c r="Q774" s="11"/>
      <c r="R774" s="11"/>
      <c r="S774" s="12" t="s">
        <v>2</v>
      </c>
      <c r="T774" s="13" t="str">
        <f>sum(t764:t767)-t773</f>
        <v>0</v>
      </c>
      <c r="U774" s="16"/>
    </row>
    <row r="775" spans="1:21">
      <c r="A775" s="7"/>
      <c r="B775" s="10"/>
      <c r="C775" s="10"/>
      <c r="D775" s="10"/>
      <c r="E775" s="10"/>
      <c r="F775" s="10"/>
      <c r="G775" s="14"/>
      <c r="H775" s="7"/>
      <c r="I775" s="10"/>
      <c r="J775" s="10"/>
      <c r="K775" s="10"/>
      <c r="L775" s="10"/>
      <c r="M775" s="10"/>
      <c r="N775" s="14"/>
      <c r="O775" s="7"/>
      <c r="P775" s="10"/>
      <c r="Q775" s="10"/>
      <c r="R775" s="10"/>
      <c r="S775" s="10"/>
      <c r="T775" s="10"/>
      <c r="U775" s="14"/>
    </row>
    <row r="776" spans="1:21">
      <c r="A776" s="8"/>
      <c r="B776" s="1" t="s">
        <v>0</v>
      </c>
      <c r="C776"/>
      <c r="D776"/>
      <c r="E776"/>
      <c r="F776"/>
      <c r="G776" s="15"/>
      <c r="H776" s="8"/>
      <c r="I776" s="1" t="s">
        <v>0</v>
      </c>
      <c r="J776"/>
      <c r="K776"/>
      <c r="L776"/>
      <c r="M776"/>
      <c r="N776" s="15"/>
      <c r="O776" s="8"/>
      <c r="P776" s="1" t="s">
        <v>0</v>
      </c>
      <c r="Q776"/>
      <c r="R776"/>
      <c r="S776"/>
      <c r="T776"/>
      <c r="U776" s="15"/>
    </row>
    <row r="777" spans="1:21">
      <c r="A777" s="8"/>
      <c r="B777" t="s">
        <v>1</v>
      </c>
      <c r="C777" s="2" t="s">
        <v>2</v>
      </c>
      <c r="D777" t="s">
        <v>277</v>
      </c>
      <c r="E777"/>
      <c r="F777"/>
      <c r="G777" s="15"/>
      <c r="H777" s="8"/>
      <c r="I777" t="s">
        <v>1</v>
      </c>
      <c r="J777" s="2" t="s">
        <v>2</v>
      </c>
      <c r="K777" t="s">
        <v>278</v>
      </c>
      <c r="L777"/>
      <c r="M777"/>
      <c r="N777" s="15"/>
      <c r="O777" s="8"/>
      <c r="P777" t="s">
        <v>1</v>
      </c>
      <c r="Q777" s="2" t="s">
        <v>2</v>
      </c>
      <c r="R777" t="s">
        <v>279</v>
      </c>
      <c r="S777"/>
      <c r="T777"/>
      <c r="U777" s="15"/>
    </row>
    <row r="778" spans="1:21">
      <c r="A778" s="8"/>
      <c r="B778" t="s">
        <v>6</v>
      </c>
      <c r="C778" s="2" t="s">
        <v>2</v>
      </c>
      <c r="D778" t="s">
        <v>280</v>
      </c>
      <c r="E778"/>
      <c r="F778"/>
      <c r="G778" s="15"/>
      <c r="H778" s="8"/>
      <c r="I778" t="s">
        <v>6</v>
      </c>
      <c r="J778" s="2" t="s">
        <v>2</v>
      </c>
      <c r="K778" t="s">
        <v>281</v>
      </c>
      <c r="L778"/>
      <c r="M778"/>
      <c r="N778" s="15"/>
      <c r="O778" s="8"/>
      <c r="P778" t="s">
        <v>6</v>
      </c>
      <c r="Q778" s="2" t="s">
        <v>2</v>
      </c>
      <c r="R778" t="s">
        <v>282</v>
      </c>
      <c r="S778"/>
      <c r="T778"/>
      <c r="U778" s="15"/>
    </row>
    <row r="779" spans="1:21">
      <c r="A779" s="8"/>
      <c r="B779" t="s">
        <v>10</v>
      </c>
      <c r="C779" s="2" t="s">
        <v>2</v>
      </c>
      <c r="D779" t="s">
        <v>276</v>
      </c>
      <c r="E779"/>
      <c r="F779"/>
      <c r="G779" s="15"/>
      <c r="H779" s="8"/>
      <c r="I779" t="s">
        <v>10</v>
      </c>
      <c r="J779" s="2" t="s">
        <v>2</v>
      </c>
      <c r="K779" t="s">
        <v>276</v>
      </c>
      <c r="L779"/>
      <c r="M779"/>
      <c r="N779" s="15"/>
      <c r="O779" s="8"/>
      <c r="P779" t="s">
        <v>10</v>
      </c>
      <c r="Q779" s="2" t="s">
        <v>2</v>
      </c>
      <c r="R779" t="s">
        <v>276</v>
      </c>
      <c r="S779"/>
      <c r="T779"/>
      <c r="U779" s="15"/>
    </row>
    <row r="780" spans="1:21">
      <c r="A780" s="8"/>
      <c r="B780" t="s">
        <v>12</v>
      </c>
      <c r="C780" s="2" t="s">
        <v>2</v>
      </c>
      <c r="D780" t="s">
        <v>13</v>
      </c>
      <c r="E780"/>
      <c r="F780"/>
      <c r="G780" s="15"/>
      <c r="H780" s="8"/>
      <c r="I780" t="s">
        <v>12</v>
      </c>
      <c r="J780" s="2" t="s">
        <v>2</v>
      </c>
      <c r="K780" t="s">
        <v>13</v>
      </c>
      <c r="L780"/>
      <c r="M780"/>
      <c r="N780" s="15"/>
      <c r="O780" s="8"/>
      <c r="P780" t="s">
        <v>12</v>
      </c>
      <c r="Q780" s="2" t="s">
        <v>2</v>
      </c>
      <c r="R780" t="s">
        <v>13</v>
      </c>
      <c r="S780"/>
      <c r="T780"/>
      <c r="U780" s="15"/>
    </row>
    <row r="781" spans="1:21">
      <c r="A781" s="8"/>
      <c r="B781" s="3" t="s">
        <v>14</v>
      </c>
      <c r="C781" s="4" t="s">
        <v>2</v>
      </c>
      <c r="D781" s="3" t="s">
        <v>15</v>
      </c>
      <c r="E781" s="3"/>
      <c r="F781" s="3"/>
      <c r="G781" s="15"/>
      <c r="H781" s="8"/>
      <c r="I781" s="3" t="s">
        <v>14</v>
      </c>
      <c r="J781" s="4" t="s">
        <v>2</v>
      </c>
      <c r="K781" s="3" t="s">
        <v>15</v>
      </c>
      <c r="L781" s="3"/>
      <c r="M781" s="3"/>
      <c r="N781" s="15"/>
      <c r="O781" s="8"/>
      <c r="P781" s="3" t="s">
        <v>14</v>
      </c>
      <c r="Q781" s="4" t="s">
        <v>2</v>
      </c>
      <c r="R781" s="3" t="s">
        <v>15</v>
      </c>
      <c r="S781" s="3"/>
      <c r="T781" s="3"/>
      <c r="U781" s="15"/>
    </row>
    <row r="782" spans="1:21">
      <c r="A782" s="8"/>
      <c r="B782" t="s">
        <v>16</v>
      </c>
      <c r="C782"/>
      <c r="D782"/>
      <c r="E782" s="2" t="s">
        <v>2</v>
      </c>
      <c r="F782" s="5">
        <v>3596000</v>
      </c>
      <c r="G782" s="15"/>
      <c r="H782" s="8"/>
      <c r="I782" t="s">
        <v>16</v>
      </c>
      <c r="J782"/>
      <c r="K782"/>
      <c r="L782" s="2" t="s">
        <v>2</v>
      </c>
      <c r="M782" s="5">
        <v>3595000</v>
      </c>
      <c r="N782" s="15"/>
      <c r="O782" s="8"/>
      <c r="P782" t="s">
        <v>16</v>
      </c>
      <c r="Q782"/>
      <c r="R782"/>
      <c r="S782" s="2" t="s">
        <v>2</v>
      </c>
      <c r="T782" s="5">
        <v>3591000</v>
      </c>
      <c r="U782" s="15"/>
    </row>
    <row r="783" spans="1:21">
      <c r="A783" s="8"/>
      <c r="B783" t="s">
        <v>17</v>
      </c>
      <c r="C783"/>
      <c r="D783"/>
      <c r="E783" s="2" t="s">
        <v>2</v>
      </c>
      <c r="F783" s="5">
        <v>80000</v>
      </c>
      <c r="G783" s="15"/>
      <c r="H783" s="8"/>
      <c r="I783" t="s">
        <v>17</v>
      </c>
      <c r="J783"/>
      <c r="K783"/>
      <c r="L783" s="2" t="s">
        <v>2</v>
      </c>
      <c r="M783" s="5">
        <v>80000</v>
      </c>
      <c r="N783" s="15"/>
      <c r="O783" s="8"/>
      <c r="P783" t="s">
        <v>17</v>
      </c>
      <c r="Q783"/>
      <c r="R783"/>
      <c r="S783" s="2" t="s">
        <v>2</v>
      </c>
      <c r="T783" s="5">
        <v>0</v>
      </c>
      <c r="U783" s="15"/>
    </row>
    <row r="784" spans="1:21">
      <c r="A784" s="8"/>
      <c r="B784" t="s">
        <v>18</v>
      </c>
      <c r="C784"/>
      <c r="D784"/>
      <c r="E784" s="2" t="s">
        <v>2</v>
      </c>
      <c r="F784" s="5">
        <v>0</v>
      </c>
      <c r="G784" s="15"/>
      <c r="H784" s="8"/>
      <c r="I784" t="s">
        <v>18</v>
      </c>
      <c r="J784"/>
      <c r="K784"/>
      <c r="L784" s="2" t="s">
        <v>2</v>
      </c>
      <c r="M784" s="5">
        <v>0</v>
      </c>
      <c r="N784" s="15"/>
      <c r="O784" s="8"/>
      <c r="P784" t="s">
        <v>18</v>
      </c>
      <c r="Q784"/>
      <c r="R784"/>
      <c r="S784" s="2" t="s">
        <v>2</v>
      </c>
      <c r="T784" s="5">
        <v>25000</v>
      </c>
      <c r="U784" s="15"/>
    </row>
    <row r="785" spans="1:21">
      <c r="A785" s="8"/>
      <c r="B785" t="s">
        <v>19</v>
      </c>
      <c r="C785"/>
      <c r="D785"/>
      <c r="E785" s="2" t="s">
        <v>2</v>
      </c>
      <c r="F785" s="5">
        <v>20000</v>
      </c>
      <c r="G785" s="15"/>
      <c r="H785" s="8"/>
      <c r="I785" t="s">
        <v>19</v>
      </c>
      <c r="J785"/>
      <c r="K785"/>
      <c r="L785" s="2" t="s">
        <v>2</v>
      </c>
      <c r="M785" s="5">
        <v>8000</v>
      </c>
      <c r="N785" s="15"/>
      <c r="O785" s="8"/>
      <c r="P785" t="s">
        <v>19</v>
      </c>
      <c r="Q785"/>
      <c r="R785"/>
      <c r="S785" s="2" t="s">
        <v>2</v>
      </c>
      <c r="T785" s="5">
        <v>20000</v>
      </c>
      <c r="U785" s="15"/>
    </row>
    <row r="786" spans="1:21">
      <c r="A786" s="8"/>
      <c r="B786"/>
      <c r="C786"/>
      <c r="D786"/>
      <c r="E786"/>
      <c r="F786"/>
      <c r="G786" s="15"/>
      <c r="H786" s="8"/>
      <c r="I786"/>
      <c r="J786"/>
      <c r="K786"/>
      <c r="L786"/>
      <c r="M786"/>
      <c r="N786" s="15"/>
      <c r="O786" s="8"/>
      <c r="P786"/>
      <c r="Q786"/>
      <c r="R786"/>
      <c r="S786"/>
      <c r="T786"/>
      <c r="U786" s="15"/>
    </row>
    <row r="787" spans="1:21">
      <c r="A787" s="8"/>
      <c r="B787" s="2" t="s">
        <v>20</v>
      </c>
      <c r="C787"/>
      <c r="D787"/>
      <c r="E787"/>
      <c r="F787"/>
      <c r="G787" s="15"/>
      <c r="H787" s="8"/>
      <c r="I787" s="2" t="s">
        <v>20</v>
      </c>
      <c r="J787"/>
      <c r="K787"/>
      <c r="L787"/>
      <c r="M787"/>
      <c r="N787" s="15"/>
      <c r="O787" s="8"/>
      <c r="P787" s="2" t="s">
        <v>20</v>
      </c>
      <c r="Q787"/>
      <c r="R787"/>
      <c r="S787"/>
      <c r="T787"/>
      <c r="U787" s="15"/>
    </row>
    <row r="788" spans="1:21">
      <c r="A788" s="8"/>
      <c r="B788" t="s">
        <v>21</v>
      </c>
      <c r="C788"/>
      <c r="D788"/>
      <c r="E788" s="2" t="s">
        <v>2</v>
      </c>
      <c r="F788" s="5">
        <v>119866.67</v>
      </c>
      <c r="G788" s="15"/>
      <c r="H788" s="8"/>
      <c r="I788" t="s">
        <v>21</v>
      </c>
      <c r="J788"/>
      <c r="K788"/>
      <c r="L788" s="2" t="s">
        <v>2</v>
      </c>
      <c r="M788" s="5">
        <v>2037166.62</v>
      </c>
      <c r="N788" s="15"/>
      <c r="O788" s="8"/>
      <c r="P788" t="s">
        <v>21</v>
      </c>
      <c r="Q788"/>
      <c r="R788"/>
      <c r="S788" s="2" t="s">
        <v>2</v>
      </c>
      <c r="T788" s="5">
        <v>0</v>
      </c>
      <c r="U788" s="15"/>
    </row>
    <row r="789" spans="1:21">
      <c r="A789" s="8"/>
      <c r="B789" t="s">
        <v>22</v>
      </c>
      <c r="C789"/>
      <c r="D789"/>
      <c r="E789" s="2" t="s">
        <v>2</v>
      </c>
      <c r="F789" s="5">
        <v>107880</v>
      </c>
      <c r="G789" s="15"/>
      <c r="H789" s="8"/>
      <c r="I789" t="s">
        <v>22</v>
      </c>
      <c r="J789"/>
      <c r="K789"/>
      <c r="L789" s="2" t="s">
        <v>2</v>
      </c>
      <c r="M789" s="5">
        <v>107850</v>
      </c>
      <c r="N789" s="15"/>
      <c r="O789" s="8"/>
      <c r="P789" t="s">
        <v>22</v>
      </c>
      <c r="Q789"/>
      <c r="R789"/>
      <c r="S789" s="2" t="s">
        <v>2</v>
      </c>
      <c r="T789" s="5">
        <v>107730</v>
      </c>
      <c r="U789" s="15"/>
    </row>
    <row r="790" spans="1:21">
      <c r="A790" s="8"/>
      <c r="B790" s="3" t="s">
        <v>23</v>
      </c>
      <c r="C790" s="3"/>
      <c r="D790" s="3"/>
      <c r="E790" s="4" t="s">
        <v>2</v>
      </c>
      <c r="F790" s="6">
        <v>35745</v>
      </c>
      <c r="G790" s="15"/>
      <c r="H790" s="8"/>
      <c r="I790" s="3" t="s">
        <v>23</v>
      </c>
      <c r="J790" s="3"/>
      <c r="K790" s="3"/>
      <c r="L790" s="4" t="s">
        <v>2</v>
      </c>
      <c r="M790" s="6">
        <v>35745</v>
      </c>
      <c r="N790" s="15"/>
      <c r="O790" s="8"/>
      <c r="P790" s="3" t="s">
        <v>23</v>
      </c>
      <c r="Q790" s="3"/>
      <c r="R790" s="3"/>
      <c r="S790" s="4" t="s">
        <v>2</v>
      </c>
      <c r="T790" s="6">
        <v>35745</v>
      </c>
      <c r="U790" s="15"/>
    </row>
    <row r="791" spans="1:21">
      <c r="A791" s="8"/>
      <c r="B791" t="s">
        <v>24</v>
      </c>
      <c r="C791"/>
      <c r="D791"/>
      <c r="E791" s="2" t="s">
        <v>2</v>
      </c>
      <c r="F791" s="5" t="str">
        <f>sum(f788:f790)</f>
        <v>0</v>
      </c>
      <c r="G791" s="15"/>
      <c r="H791" s="8"/>
      <c r="I791" t="s">
        <v>24</v>
      </c>
      <c r="J791"/>
      <c r="K791"/>
      <c r="L791" s="2" t="s">
        <v>2</v>
      </c>
      <c r="M791" s="5" t="str">
        <f>sum(m788:m790)</f>
        <v>0</v>
      </c>
      <c r="N791" s="15"/>
      <c r="O791" s="8"/>
      <c r="P791" t="s">
        <v>24</v>
      </c>
      <c r="Q791"/>
      <c r="R791"/>
      <c r="S791" s="2" t="s">
        <v>2</v>
      </c>
      <c r="T791" s="5" t="str">
        <f>sum(t788:t790)</f>
        <v>0</v>
      </c>
      <c r="U791" s="15"/>
    </row>
    <row r="792" spans="1:21">
      <c r="A792" s="9"/>
      <c r="B792" s="11" t="s">
        <v>25</v>
      </c>
      <c r="C792" s="11"/>
      <c r="D792" s="11"/>
      <c r="E792" s="12" t="s">
        <v>2</v>
      </c>
      <c r="F792" s="13" t="str">
        <f>sum(f782:f785)-f791</f>
        <v>0</v>
      </c>
      <c r="G792" s="16"/>
      <c r="H792" s="9"/>
      <c r="I792" s="11" t="s">
        <v>25</v>
      </c>
      <c r="J792" s="11"/>
      <c r="K792" s="11"/>
      <c r="L792" s="12" t="s">
        <v>2</v>
      </c>
      <c r="M792" s="13" t="str">
        <f>sum(m782:m785)-m791</f>
        <v>0</v>
      </c>
      <c r="N792" s="16"/>
      <c r="O792" s="9"/>
      <c r="P792" s="11" t="s">
        <v>25</v>
      </c>
      <c r="Q792" s="11"/>
      <c r="R792" s="11"/>
      <c r="S792" s="12" t="s">
        <v>2</v>
      </c>
      <c r="T792" s="13" t="str">
        <f>sum(t782:t785)-t791</f>
        <v>0</v>
      </c>
      <c r="U792" s="16"/>
    </row>
    <row r="793" spans="1:21">
      <c r="A793" s="7"/>
      <c r="B793" s="10"/>
      <c r="C793" s="10"/>
      <c r="D793" s="10"/>
      <c r="E793" s="10"/>
      <c r="F793" s="10"/>
      <c r="G793" s="14"/>
      <c r="H793" s="7"/>
      <c r="I793" s="10"/>
      <c r="J793" s="10"/>
      <c r="K793" s="10"/>
      <c r="L793" s="10"/>
      <c r="M793" s="10"/>
      <c r="N793" s="14"/>
      <c r="O793" s="7"/>
      <c r="P793" s="10"/>
      <c r="Q793" s="10"/>
      <c r="R793" s="10"/>
      <c r="S793" s="10"/>
      <c r="T793" s="10"/>
      <c r="U793" s="14"/>
    </row>
    <row r="794" spans="1:21">
      <c r="A794" s="8"/>
      <c r="B794" s="1" t="s">
        <v>0</v>
      </c>
      <c r="C794"/>
      <c r="D794"/>
      <c r="E794"/>
      <c r="F794"/>
      <c r="G794" s="15"/>
      <c r="H794" s="8"/>
      <c r="I794" s="1" t="s">
        <v>0</v>
      </c>
      <c r="J794"/>
      <c r="K794"/>
      <c r="L794"/>
      <c r="M794"/>
      <c r="N794" s="15"/>
      <c r="O794" s="8"/>
      <c r="P794" s="1" t="s">
        <v>0</v>
      </c>
      <c r="Q794"/>
      <c r="R794"/>
      <c r="S794"/>
      <c r="T794"/>
      <c r="U794" s="15"/>
    </row>
    <row r="795" spans="1:21">
      <c r="A795" s="8"/>
      <c r="B795" t="s">
        <v>1</v>
      </c>
      <c r="C795" s="2" t="s">
        <v>2</v>
      </c>
      <c r="D795" t="s">
        <v>283</v>
      </c>
      <c r="E795"/>
      <c r="F795"/>
      <c r="G795" s="15"/>
      <c r="H795" s="8"/>
      <c r="I795" t="s">
        <v>1</v>
      </c>
      <c r="J795" s="2" t="s">
        <v>2</v>
      </c>
      <c r="K795" t="s">
        <v>284</v>
      </c>
      <c r="L795"/>
      <c r="M795"/>
      <c r="N795" s="15"/>
      <c r="O795" s="8"/>
      <c r="P795" t="s">
        <v>1</v>
      </c>
      <c r="Q795" s="2" t="s">
        <v>2</v>
      </c>
      <c r="R795" t="s">
        <v>285</v>
      </c>
      <c r="S795"/>
      <c r="T795"/>
      <c r="U795" s="15"/>
    </row>
    <row r="796" spans="1:21">
      <c r="A796" s="8"/>
      <c r="B796" t="s">
        <v>6</v>
      </c>
      <c r="C796" s="2" t="s">
        <v>2</v>
      </c>
      <c r="D796" t="s">
        <v>286</v>
      </c>
      <c r="E796"/>
      <c r="F796"/>
      <c r="G796" s="15"/>
      <c r="H796" s="8"/>
      <c r="I796" t="s">
        <v>6</v>
      </c>
      <c r="J796" s="2" t="s">
        <v>2</v>
      </c>
      <c r="K796" t="s">
        <v>287</v>
      </c>
      <c r="L796"/>
      <c r="M796"/>
      <c r="N796" s="15"/>
      <c r="O796" s="8"/>
      <c r="P796" t="s">
        <v>6</v>
      </c>
      <c r="Q796" s="2" t="s">
        <v>2</v>
      </c>
      <c r="R796" t="s">
        <v>288</v>
      </c>
      <c r="S796"/>
      <c r="T796"/>
      <c r="U796" s="15"/>
    </row>
    <row r="797" spans="1:21">
      <c r="A797" s="8"/>
      <c r="B797" t="s">
        <v>10</v>
      </c>
      <c r="C797" s="2" t="s">
        <v>2</v>
      </c>
      <c r="D797" t="s">
        <v>276</v>
      </c>
      <c r="E797"/>
      <c r="F797"/>
      <c r="G797" s="15"/>
      <c r="H797" s="8"/>
      <c r="I797" t="s">
        <v>10</v>
      </c>
      <c r="J797" s="2" t="s">
        <v>2</v>
      </c>
      <c r="K797" t="s">
        <v>289</v>
      </c>
      <c r="L797"/>
      <c r="M797"/>
      <c r="N797" s="15"/>
      <c r="O797" s="8"/>
      <c r="P797" t="s">
        <v>10</v>
      </c>
      <c r="Q797" s="2" t="s">
        <v>2</v>
      </c>
      <c r="R797" t="s">
        <v>289</v>
      </c>
      <c r="S797"/>
      <c r="T797"/>
      <c r="U797" s="15"/>
    </row>
    <row r="798" spans="1:21">
      <c r="A798" s="8"/>
      <c r="B798" t="s">
        <v>12</v>
      </c>
      <c r="C798" s="2" t="s">
        <v>2</v>
      </c>
      <c r="D798" t="s">
        <v>13</v>
      </c>
      <c r="E798"/>
      <c r="F798"/>
      <c r="G798" s="15"/>
      <c r="H798" s="8"/>
      <c r="I798" t="s">
        <v>12</v>
      </c>
      <c r="J798" s="2" t="s">
        <v>2</v>
      </c>
      <c r="K798" t="s">
        <v>13</v>
      </c>
      <c r="L798"/>
      <c r="M798"/>
      <c r="N798" s="15"/>
      <c r="O798" s="8"/>
      <c r="P798" t="s">
        <v>12</v>
      </c>
      <c r="Q798" s="2" t="s">
        <v>2</v>
      </c>
      <c r="R798" t="s">
        <v>13</v>
      </c>
      <c r="S798"/>
      <c r="T798"/>
      <c r="U798" s="15"/>
    </row>
    <row r="799" spans="1:21">
      <c r="A799" s="8"/>
      <c r="B799" s="3" t="s">
        <v>14</v>
      </c>
      <c r="C799" s="4" t="s">
        <v>2</v>
      </c>
      <c r="D799" s="3" t="s">
        <v>15</v>
      </c>
      <c r="E799" s="3"/>
      <c r="F799" s="3"/>
      <c r="G799" s="15"/>
      <c r="H799" s="8"/>
      <c r="I799" s="3" t="s">
        <v>14</v>
      </c>
      <c r="J799" s="4" t="s">
        <v>2</v>
      </c>
      <c r="K799" s="3" t="s">
        <v>15</v>
      </c>
      <c r="L799" s="3"/>
      <c r="M799" s="3"/>
      <c r="N799" s="15"/>
      <c r="O799" s="8"/>
      <c r="P799" s="3" t="s">
        <v>14</v>
      </c>
      <c r="Q799" s="4" t="s">
        <v>2</v>
      </c>
      <c r="R799" s="3" t="s">
        <v>15</v>
      </c>
      <c r="S799" s="3"/>
      <c r="T799" s="3"/>
      <c r="U799" s="15"/>
    </row>
    <row r="800" spans="1:21">
      <c r="A800" s="8"/>
      <c r="B800" t="s">
        <v>16</v>
      </c>
      <c r="C800"/>
      <c r="D800"/>
      <c r="E800" s="2" t="s">
        <v>2</v>
      </c>
      <c r="F800" s="5">
        <v>3593000</v>
      </c>
      <c r="G800" s="15"/>
      <c r="H800" s="8"/>
      <c r="I800" t="s">
        <v>16</v>
      </c>
      <c r="J800"/>
      <c r="K800"/>
      <c r="L800" s="2" t="s">
        <v>2</v>
      </c>
      <c r="M800" s="5">
        <v>3597000</v>
      </c>
      <c r="N800" s="15"/>
      <c r="O800" s="8"/>
      <c r="P800" t="s">
        <v>16</v>
      </c>
      <c r="Q800"/>
      <c r="R800"/>
      <c r="S800" s="2" t="s">
        <v>2</v>
      </c>
      <c r="T800" s="5">
        <v>3594000</v>
      </c>
      <c r="U800" s="15"/>
    </row>
    <row r="801" spans="1:21">
      <c r="A801" s="8"/>
      <c r="B801" t="s">
        <v>17</v>
      </c>
      <c r="C801"/>
      <c r="D801"/>
      <c r="E801" s="2" t="s">
        <v>2</v>
      </c>
      <c r="F801" s="5">
        <v>0</v>
      </c>
      <c r="G801" s="15"/>
      <c r="H801" s="8"/>
      <c r="I801" t="s">
        <v>17</v>
      </c>
      <c r="J801"/>
      <c r="K801"/>
      <c r="L801" s="2" t="s">
        <v>2</v>
      </c>
      <c r="M801" s="5">
        <v>80000</v>
      </c>
      <c r="N801" s="15"/>
      <c r="O801" s="8"/>
      <c r="P801" t="s">
        <v>17</v>
      </c>
      <c r="Q801"/>
      <c r="R801"/>
      <c r="S801" s="2" t="s">
        <v>2</v>
      </c>
      <c r="T801" s="5">
        <v>0</v>
      </c>
      <c r="U801" s="15"/>
    </row>
    <row r="802" spans="1:21">
      <c r="A802" s="8"/>
      <c r="B802" t="s">
        <v>18</v>
      </c>
      <c r="C802"/>
      <c r="D802"/>
      <c r="E802" s="2" t="s">
        <v>2</v>
      </c>
      <c r="F802" s="5">
        <v>0</v>
      </c>
      <c r="G802" s="15"/>
      <c r="H802" s="8"/>
      <c r="I802" t="s">
        <v>18</v>
      </c>
      <c r="J802"/>
      <c r="K802"/>
      <c r="L802" s="2" t="s">
        <v>2</v>
      </c>
      <c r="M802" s="5">
        <v>0</v>
      </c>
      <c r="N802" s="15"/>
      <c r="O802" s="8"/>
      <c r="P802" t="s">
        <v>18</v>
      </c>
      <c r="Q802"/>
      <c r="R802"/>
      <c r="S802" s="2" t="s">
        <v>2</v>
      </c>
      <c r="T802" s="5">
        <v>0</v>
      </c>
      <c r="U802" s="15"/>
    </row>
    <row r="803" spans="1:21">
      <c r="A803" s="8"/>
      <c r="B803" t="s">
        <v>19</v>
      </c>
      <c r="C803"/>
      <c r="D803"/>
      <c r="E803" s="2" t="s">
        <v>2</v>
      </c>
      <c r="F803" s="5">
        <v>8000</v>
      </c>
      <c r="G803" s="15"/>
      <c r="H803" s="8"/>
      <c r="I803" t="s">
        <v>19</v>
      </c>
      <c r="J803"/>
      <c r="K803"/>
      <c r="L803" s="2" t="s">
        <v>2</v>
      </c>
      <c r="M803" s="5">
        <v>6000</v>
      </c>
      <c r="N803" s="15"/>
      <c r="O803" s="8"/>
      <c r="P803" t="s">
        <v>19</v>
      </c>
      <c r="Q803"/>
      <c r="R803"/>
      <c r="S803" s="2" t="s">
        <v>2</v>
      </c>
      <c r="T803" s="5">
        <v>0</v>
      </c>
      <c r="U803" s="15"/>
    </row>
    <row r="804" spans="1:21">
      <c r="A804" s="8"/>
      <c r="B804"/>
      <c r="C804"/>
      <c r="D804"/>
      <c r="E804"/>
      <c r="F804"/>
      <c r="G804" s="15"/>
      <c r="H804" s="8"/>
      <c r="I804"/>
      <c r="J804"/>
      <c r="K804"/>
      <c r="L804"/>
      <c r="M804"/>
      <c r="N804" s="15"/>
      <c r="O804" s="8"/>
      <c r="P804"/>
      <c r="Q804"/>
      <c r="R804"/>
      <c r="S804"/>
      <c r="T804"/>
      <c r="U804" s="15"/>
    </row>
    <row r="805" spans="1:21">
      <c r="A805" s="8"/>
      <c r="B805" s="2" t="s">
        <v>20</v>
      </c>
      <c r="C805"/>
      <c r="D805"/>
      <c r="E805"/>
      <c r="F805"/>
      <c r="G805" s="15"/>
      <c r="H805" s="8"/>
      <c r="I805" s="2" t="s">
        <v>20</v>
      </c>
      <c r="J805"/>
      <c r="K805"/>
      <c r="L805"/>
      <c r="M805"/>
      <c r="N805" s="15"/>
      <c r="O805" s="8"/>
      <c r="P805" s="2" t="s">
        <v>20</v>
      </c>
      <c r="Q805"/>
      <c r="R805"/>
      <c r="S805"/>
      <c r="T805"/>
      <c r="U805" s="15"/>
    </row>
    <row r="806" spans="1:21">
      <c r="A806" s="8"/>
      <c r="B806" t="s">
        <v>21</v>
      </c>
      <c r="C806"/>
      <c r="D806"/>
      <c r="E806" s="2" t="s">
        <v>2</v>
      </c>
      <c r="F806" s="5">
        <v>239533.33</v>
      </c>
      <c r="G806" s="15"/>
      <c r="H806" s="8"/>
      <c r="I806" t="s">
        <v>21</v>
      </c>
      <c r="J806"/>
      <c r="K806"/>
      <c r="L806" s="2" t="s">
        <v>2</v>
      </c>
      <c r="M806" s="5">
        <v>1678600</v>
      </c>
      <c r="N806" s="15"/>
      <c r="O806" s="8"/>
      <c r="P806" t="s">
        <v>21</v>
      </c>
      <c r="Q806"/>
      <c r="R806"/>
      <c r="S806" s="2" t="s">
        <v>2</v>
      </c>
      <c r="T806" s="5">
        <v>1797000</v>
      </c>
      <c r="U806" s="15"/>
    </row>
    <row r="807" spans="1:21">
      <c r="A807" s="8"/>
      <c r="B807" t="s">
        <v>22</v>
      </c>
      <c r="C807"/>
      <c r="D807"/>
      <c r="E807" s="2" t="s">
        <v>2</v>
      </c>
      <c r="F807" s="5">
        <v>107790</v>
      </c>
      <c r="G807" s="15"/>
      <c r="H807" s="8"/>
      <c r="I807" t="s">
        <v>22</v>
      </c>
      <c r="J807"/>
      <c r="K807"/>
      <c r="L807" s="2" t="s">
        <v>2</v>
      </c>
      <c r="M807" s="5">
        <v>107910</v>
      </c>
      <c r="N807" s="15"/>
      <c r="O807" s="8"/>
      <c r="P807" t="s">
        <v>22</v>
      </c>
      <c r="Q807"/>
      <c r="R807"/>
      <c r="S807" s="2" t="s">
        <v>2</v>
      </c>
      <c r="T807" s="5">
        <v>107820</v>
      </c>
      <c r="U807" s="15"/>
    </row>
    <row r="808" spans="1:21">
      <c r="A808" s="8"/>
      <c r="B808" s="3" t="s">
        <v>23</v>
      </c>
      <c r="C808" s="3"/>
      <c r="D808" s="3"/>
      <c r="E808" s="4" t="s">
        <v>2</v>
      </c>
      <c r="F808" s="6">
        <v>35745</v>
      </c>
      <c r="G808" s="15"/>
      <c r="H808" s="8"/>
      <c r="I808" s="3" t="s">
        <v>23</v>
      </c>
      <c r="J808" s="3"/>
      <c r="K808" s="3"/>
      <c r="L808" s="4" t="s">
        <v>2</v>
      </c>
      <c r="M808" s="6">
        <v>35745</v>
      </c>
      <c r="N808" s="15"/>
      <c r="O808" s="8"/>
      <c r="P808" s="3" t="s">
        <v>23</v>
      </c>
      <c r="Q808" s="3"/>
      <c r="R808" s="3"/>
      <c r="S808" s="4" t="s">
        <v>2</v>
      </c>
      <c r="T808" s="6">
        <v>35745</v>
      </c>
      <c r="U808" s="15"/>
    </row>
    <row r="809" spans="1:21">
      <c r="A809" s="8"/>
      <c r="B809" t="s">
        <v>24</v>
      </c>
      <c r="C809"/>
      <c r="D809"/>
      <c r="E809" s="2" t="s">
        <v>2</v>
      </c>
      <c r="F809" s="5" t="str">
        <f>sum(f806:f808)</f>
        <v>0</v>
      </c>
      <c r="G809" s="15"/>
      <c r="H809" s="8"/>
      <c r="I809" t="s">
        <v>24</v>
      </c>
      <c r="J809"/>
      <c r="K809"/>
      <c r="L809" s="2" t="s">
        <v>2</v>
      </c>
      <c r="M809" s="5" t="str">
        <f>sum(m806:m808)</f>
        <v>0</v>
      </c>
      <c r="N809" s="15"/>
      <c r="O809" s="8"/>
      <c r="P809" t="s">
        <v>24</v>
      </c>
      <c r="Q809"/>
      <c r="R809"/>
      <c r="S809" s="2" t="s">
        <v>2</v>
      </c>
      <c r="T809" s="5" t="str">
        <f>sum(t806:t808)</f>
        <v>0</v>
      </c>
      <c r="U809" s="15"/>
    </row>
    <row r="810" spans="1:21">
      <c r="A810" s="9"/>
      <c r="B810" s="11" t="s">
        <v>25</v>
      </c>
      <c r="C810" s="11"/>
      <c r="D810" s="11"/>
      <c r="E810" s="12" t="s">
        <v>2</v>
      </c>
      <c r="F810" s="13" t="str">
        <f>sum(f800:f803)-f809</f>
        <v>0</v>
      </c>
      <c r="G810" s="16"/>
      <c r="H810" s="9"/>
      <c r="I810" s="11" t="s">
        <v>25</v>
      </c>
      <c r="J810" s="11"/>
      <c r="K810" s="11"/>
      <c r="L810" s="12" t="s">
        <v>2</v>
      </c>
      <c r="M810" s="13" t="str">
        <f>sum(m800:m803)-m809</f>
        <v>0</v>
      </c>
      <c r="N810" s="16"/>
      <c r="O810" s="9"/>
      <c r="P810" s="11" t="s">
        <v>25</v>
      </c>
      <c r="Q810" s="11"/>
      <c r="R810" s="11"/>
      <c r="S810" s="12" t="s">
        <v>2</v>
      </c>
      <c r="T810" s="13" t="str">
        <f>sum(t800:t803)-t809</f>
        <v>0</v>
      </c>
      <c r="U810" s="16"/>
    </row>
    <row r="811" spans="1:21">
      <c r="A811" s="7"/>
      <c r="B811" s="10"/>
      <c r="C811" s="10"/>
      <c r="D811" s="10"/>
      <c r="E811" s="10"/>
      <c r="F811" s="10"/>
      <c r="G811" s="14"/>
      <c r="H811" s="7"/>
      <c r="I811" s="10"/>
      <c r="J811" s="10"/>
      <c r="K811" s="10"/>
      <c r="L811" s="10"/>
      <c r="M811" s="10"/>
      <c r="N811" s="14"/>
      <c r="O811" s="7"/>
      <c r="P811" s="10"/>
      <c r="Q811" s="10"/>
      <c r="R811" s="10"/>
      <c r="S811" s="10"/>
      <c r="T811" s="10"/>
      <c r="U811" s="14"/>
    </row>
    <row r="812" spans="1:21">
      <c r="A812" s="8"/>
      <c r="B812" s="1" t="s">
        <v>0</v>
      </c>
      <c r="C812"/>
      <c r="D812"/>
      <c r="E812"/>
      <c r="F812"/>
      <c r="G812" s="15"/>
      <c r="H812" s="8"/>
      <c r="I812" s="1" t="s">
        <v>0</v>
      </c>
      <c r="J812"/>
      <c r="K812"/>
      <c r="L812"/>
      <c r="M812"/>
      <c r="N812" s="15"/>
      <c r="O812" s="8"/>
      <c r="P812" s="1" t="s">
        <v>0</v>
      </c>
      <c r="Q812"/>
      <c r="R812"/>
      <c r="S812"/>
      <c r="T812"/>
      <c r="U812" s="15"/>
    </row>
    <row r="813" spans="1:21">
      <c r="A813" s="8"/>
      <c r="B813" t="s">
        <v>1</v>
      </c>
      <c r="C813" s="2" t="s">
        <v>2</v>
      </c>
      <c r="D813" t="s">
        <v>290</v>
      </c>
      <c r="E813"/>
      <c r="F813"/>
      <c r="G813" s="15"/>
      <c r="H813" s="8"/>
      <c r="I813" t="s">
        <v>1</v>
      </c>
      <c r="J813" s="2" t="s">
        <v>2</v>
      </c>
      <c r="K813" t="s">
        <v>291</v>
      </c>
      <c r="L813"/>
      <c r="M813"/>
      <c r="N813" s="15"/>
      <c r="O813" s="8"/>
      <c r="P813" t="s">
        <v>1</v>
      </c>
      <c r="Q813" s="2" t="s">
        <v>2</v>
      </c>
      <c r="R813" t="s">
        <v>292</v>
      </c>
      <c r="S813"/>
      <c r="T813"/>
      <c r="U813" s="15"/>
    </row>
    <row r="814" spans="1:21">
      <c r="A814" s="8"/>
      <c r="B814" t="s">
        <v>6</v>
      </c>
      <c r="C814" s="2" t="s">
        <v>2</v>
      </c>
      <c r="D814" t="s">
        <v>293</v>
      </c>
      <c r="E814"/>
      <c r="F814"/>
      <c r="G814" s="15"/>
      <c r="H814" s="8"/>
      <c r="I814" t="s">
        <v>6</v>
      </c>
      <c r="J814" s="2" t="s">
        <v>2</v>
      </c>
      <c r="K814" t="s">
        <v>294</v>
      </c>
      <c r="L814"/>
      <c r="M814"/>
      <c r="N814" s="15"/>
      <c r="O814" s="8"/>
      <c r="P814" t="s">
        <v>6</v>
      </c>
      <c r="Q814" s="2" t="s">
        <v>2</v>
      </c>
      <c r="R814" t="s">
        <v>295</v>
      </c>
      <c r="S814"/>
      <c r="T814"/>
      <c r="U814" s="15"/>
    </row>
    <row r="815" spans="1:21">
      <c r="A815" s="8"/>
      <c r="B815" t="s">
        <v>10</v>
      </c>
      <c r="C815" s="2" t="s">
        <v>2</v>
      </c>
      <c r="D815" t="s">
        <v>289</v>
      </c>
      <c r="E815"/>
      <c r="F815"/>
      <c r="G815" s="15"/>
      <c r="H815" s="8"/>
      <c r="I815" t="s">
        <v>10</v>
      </c>
      <c r="J815" s="2" t="s">
        <v>2</v>
      </c>
      <c r="K815" t="s">
        <v>289</v>
      </c>
      <c r="L815"/>
      <c r="M815"/>
      <c r="N815" s="15"/>
      <c r="O815" s="8"/>
      <c r="P815" t="s">
        <v>10</v>
      </c>
      <c r="Q815" s="2" t="s">
        <v>2</v>
      </c>
      <c r="R815" t="s">
        <v>296</v>
      </c>
      <c r="S815"/>
      <c r="T815"/>
      <c r="U815" s="15"/>
    </row>
    <row r="816" spans="1:21">
      <c r="A816" s="8"/>
      <c r="B816" t="s">
        <v>12</v>
      </c>
      <c r="C816" s="2" t="s">
        <v>2</v>
      </c>
      <c r="D816" t="s">
        <v>13</v>
      </c>
      <c r="E816"/>
      <c r="F816"/>
      <c r="G816" s="15"/>
      <c r="H816" s="8"/>
      <c r="I816" t="s">
        <v>12</v>
      </c>
      <c r="J816" s="2" t="s">
        <v>2</v>
      </c>
      <c r="K816" t="s">
        <v>13</v>
      </c>
      <c r="L816"/>
      <c r="M816"/>
      <c r="N816" s="15"/>
      <c r="O816" s="8"/>
      <c r="P816" t="s">
        <v>12</v>
      </c>
      <c r="Q816" s="2" t="s">
        <v>2</v>
      </c>
      <c r="R816" t="s">
        <v>13</v>
      </c>
      <c r="S816"/>
      <c r="T816"/>
      <c r="U816" s="15"/>
    </row>
    <row r="817" spans="1:21">
      <c r="A817" s="8"/>
      <c r="B817" s="3" t="s">
        <v>14</v>
      </c>
      <c r="C817" s="4" t="s">
        <v>2</v>
      </c>
      <c r="D817" s="3" t="s">
        <v>15</v>
      </c>
      <c r="E817" s="3"/>
      <c r="F817" s="3"/>
      <c r="G817" s="15"/>
      <c r="H817" s="8"/>
      <c r="I817" s="3" t="s">
        <v>14</v>
      </c>
      <c r="J817" s="4" t="s">
        <v>2</v>
      </c>
      <c r="K817" s="3" t="s">
        <v>15</v>
      </c>
      <c r="L817" s="3"/>
      <c r="M817" s="3"/>
      <c r="N817" s="15"/>
      <c r="O817" s="8"/>
      <c r="P817" s="3" t="s">
        <v>14</v>
      </c>
      <c r="Q817" s="4" t="s">
        <v>2</v>
      </c>
      <c r="R817" s="3" t="s">
        <v>15</v>
      </c>
      <c r="S817" s="3"/>
      <c r="T817" s="3"/>
      <c r="U817" s="15"/>
    </row>
    <row r="818" spans="1:21">
      <c r="A818" s="8"/>
      <c r="B818" t="s">
        <v>16</v>
      </c>
      <c r="C818"/>
      <c r="D818"/>
      <c r="E818" s="2" t="s">
        <v>2</v>
      </c>
      <c r="F818" s="5">
        <v>3594000</v>
      </c>
      <c r="G818" s="15"/>
      <c r="H818" s="8"/>
      <c r="I818" t="s">
        <v>16</v>
      </c>
      <c r="J818"/>
      <c r="K818"/>
      <c r="L818" s="2" t="s">
        <v>2</v>
      </c>
      <c r="M818" s="5">
        <v>3591000</v>
      </c>
      <c r="N818" s="15"/>
      <c r="O818" s="8"/>
      <c r="P818" t="s">
        <v>16</v>
      </c>
      <c r="Q818"/>
      <c r="R818"/>
      <c r="S818" s="2" t="s">
        <v>2</v>
      </c>
      <c r="T818" s="5">
        <v>3596000</v>
      </c>
      <c r="U818" s="15"/>
    </row>
    <row r="819" spans="1:21">
      <c r="A819" s="8"/>
      <c r="B819" t="s">
        <v>17</v>
      </c>
      <c r="C819"/>
      <c r="D819"/>
      <c r="E819" s="2" t="s">
        <v>2</v>
      </c>
      <c r="F819" s="5">
        <v>80000</v>
      </c>
      <c r="G819" s="15"/>
      <c r="H819" s="8"/>
      <c r="I819" t="s">
        <v>17</v>
      </c>
      <c r="J819"/>
      <c r="K819"/>
      <c r="L819" s="2" t="s">
        <v>2</v>
      </c>
      <c r="M819" s="5">
        <v>0</v>
      </c>
      <c r="N819" s="15"/>
      <c r="O819" s="8"/>
      <c r="P819" t="s">
        <v>17</v>
      </c>
      <c r="Q819"/>
      <c r="R819"/>
      <c r="S819" s="2" t="s">
        <v>2</v>
      </c>
      <c r="T819" s="5">
        <v>80000</v>
      </c>
      <c r="U819" s="15"/>
    </row>
    <row r="820" spans="1:21">
      <c r="A820" s="8"/>
      <c r="B820" t="s">
        <v>18</v>
      </c>
      <c r="C820"/>
      <c r="D820"/>
      <c r="E820" s="2" t="s">
        <v>2</v>
      </c>
      <c r="F820" s="5">
        <v>0</v>
      </c>
      <c r="G820" s="15"/>
      <c r="H820" s="8"/>
      <c r="I820" t="s">
        <v>18</v>
      </c>
      <c r="J820"/>
      <c r="K820"/>
      <c r="L820" s="2" t="s">
        <v>2</v>
      </c>
      <c r="M820" s="5">
        <v>0</v>
      </c>
      <c r="N820" s="15"/>
      <c r="O820" s="8"/>
      <c r="P820" t="s">
        <v>18</v>
      </c>
      <c r="Q820"/>
      <c r="R820"/>
      <c r="S820" s="2" t="s">
        <v>2</v>
      </c>
      <c r="T820" s="5">
        <v>0</v>
      </c>
      <c r="U820" s="15"/>
    </row>
    <row r="821" spans="1:21">
      <c r="A821" s="8"/>
      <c r="B821" t="s">
        <v>19</v>
      </c>
      <c r="C821"/>
      <c r="D821"/>
      <c r="E821" s="2" t="s">
        <v>2</v>
      </c>
      <c r="F821" s="5">
        <v>2000</v>
      </c>
      <c r="G821" s="15"/>
      <c r="H821" s="8"/>
      <c r="I821" t="s">
        <v>19</v>
      </c>
      <c r="J821"/>
      <c r="K821"/>
      <c r="L821" s="2" t="s">
        <v>2</v>
      </c>
      <c r="M821" s="5">
        <v>6000</v>
      </c>
      <c r="N821" s="15"/>
      <c r="O821" s="8"/>
      <c r="P821" t="s">
        <v>19</v>
      </c>
      <c r="Q821"/>
      <c r="R821"/>
      <c r="S821" s="2" t="s">
        <v>2</v>
      </c>
      <c r="T821" s="5">
        <v>0</v>
      </c>
      <c r="U821" s="15"/>
    </row>
    <row r="822" spans="1:21">
      <c r="A822" s="8"/>
      <c r="B822"/>
      <c r="C822"/>
      <c r="D822"/>
      <c r="E822"/>
      <c r="F822"/>
      <c r="G822" s="15"/>
      <c r="H822" s="8"/>
      <c r="I822"/>
      <c r="J822"/>
      <c r="K822"/>
      <c r="L822"/>
      <c r="M822"/>
      <c r="N822" s="15"/>
      <c r="O822" s="8"/>
      <c r="P822"/>
      <c r="Q822"/>
      <c r="R822"/>
      <c r="S822"/>
      <c r="T822"/>
      <c r="U822" s="15"/>
    </row>
    <row r="823" spans="1:21">
      <c r="A823" s="8"/>
      <c r="B823" s="2" t="s">
        <v>20</v>
      </c>
      <c r="C823"/>
      <c r="D823"/>
      <c r="E823"/>
      <c r="F823"/>
      <c r="G823" s="15"/>
      <c r="H823" s="8"/>
      <c r="I823" s="2" t="s">
        <v>20</v>
      </c>
      <c r="J823"/>
      <c r="K823"/>
      <c r="L823"/>
      <c r="M823"/>
      <c r="N823" s="15"/>
      <c r="O823" s="8"/>
      <c r="P823" s="2" t="s">
        <v>20</v>
      </c>
      <c r="Q823"/>
      <c r="R823"/>
      <c r="S823"/>
      <c r="T823"/>
      <c r="U823" s="15"/>
    </row>
    <row r="824" spans="1:21">
      <c r="A824" s="8"/>
      <c r="B824" t="s">
        <v>21</v>
      </c>
      <c r="C824"/>
      <c r="D824"/>
      <c r="E824" s="2" t="s">
        <v>2</v>
      </c>
      <c r="F824" s="5">
        <v>1916800</v>
      </c>
      <c r="G824" s="15"/>
      <c r="H824" s="8"/>
      <c r="I824" t="s">
        <v>21</v>
      </c>
      <c r="J824"/>
      <c r="K824"/>
      <c r="L824" s="2" t="s">
        <v>2</v>
      </c>
      <c r="M824" s="5">
        <v>2034900</v>
      </c>
      <c r="N824" s="15"/>
      <c r="O824" s="8"/>
      <c r="P824" t="s">
        <v>21</v>
      </c>
      <c r="Q824"/>
      <c r="R824"/>
      <c r="S824" s="2" t="s">
        <v>2</v>
      </c>
      <c r="T824" s="5">
        <v>287680</v>
      </c>
      <c r="U824" s="15"/>
    </row>
    <row r="825" spans="1:21">
      <c r="A825" s="8"/>
      <c r="B825" t="s">
        <v>22</v>
      </c>
      <c r="C825"/>
      <c r="D825"/>
      <c r="E825" s="2" t="s">
        <v>2</v>
      </c>
      <c r="F825" s="5">
        <v>107820</v>
      </c>
      <c r="G825" s="15"/>
      <c r="H825" s="8"/>
      <c r="I825" t="s">
        <v>22</v>
      </c>
      <c r="J825"/>
      <c r="K825"/>
      <c r="L825" s="2" t="s">
        <v>2</v>
      </c>
      <c r="M825" s="5">
        <v>107730</v>
      </c>
      <c r="N825" s="15"/>
      <c r="O825" s="8"/>
      <c r="P825" t="s">
        <v>22</v>
      </c>
      <c r="Q825"/>
      <c r="R825"/>
      <c r="S825" s="2" t="s">
        <v>2</v>
      </c>
      <c r="T825" s="5">
        <v>107880</v>
      </c>
      <c r="U825" s="15"/>
    </row>
    <row r="826" spans="1:21">
      <c r="A826" s="8"/>
      <c r="B826" s="3" t="s">
        <v>23</v>
      </c>
      <c r="C826" s="3"/>
      <c r="D826" s="3"/>
      <c r="E826" s="4" t="s">
        <v>2</v>
      </c>
      <c r="F826" s="6">
        <v>35745</v>
      </c>
      <c r="G826" s="15"/>
      <c r="H826" s="8"/>
      <c r="I826" s="3" t="s">
        <v>23</v>
      </c>
      <c r="J826" s="3"/>
      <c r="K826" s="3"/>
      <c r="L826" s="4" t="s">
        <v>2</v>
      </c>
      <c r="M826" s="6">
        <v>35745</v>
      </c>
      <c r="N826" s="15"/>
      <c r="O826" s="8"/>
      <c r="P826" s="3" t="s">
        <v>23</v>
      </c>
      <c r="Q826" s="3"/>
      <c r="R826" s="3"/>
      <c r="S826" s="4" t="s">
        <v>2</v>
      </c>
      <c r="T826" s="6">
        <v>35745</v>
      </c>
      <c r="U826" s="15"/>
    </row>
    <row r="827" spans="1:21">
      <c r="A827" s="8"/>
      <c r="B827" t="s">
        <v>24</v>
      </c>
      <c r="C827"/>
      <c r="D827"/>
      <c r="E827" s="2" t="s">
        <v>2</v>
      </c>
      <c r="F827" s="5" t="str">
        <f>sum(f824:f826)</f>
        <v>0</v>
      </c>
      <c r="G827" s="15"/>
      <c r="H827" s="8"/>
      <c r="I827" t="s">
        <v>24</v>
      </c>
      <c r="J827"/>
      <c r="K827"/>
      <c r="L827" s="2" t="s">
        <v>2</v>
      </c>
      <c r="M827" s="5" t="str">
        <f>sum(m824:m826)</f>
        <v>0</v>
      </c>
      <c r="N827" s="15"/>
      <c r="O827" s="8"/>
      <c r="P827" t="s">
        <v>24</v>
      </c>
      <c r="Q827"/>
      <c r="R827"/>
      <c r="S827" s="2" t="s">
        <v>2</v>
      </c>
      <c r="T827" s="5" t="str">
        <f>sum(t824:t826)</f>
        <v>0</v>
      </c>
      <c r="U827" s="15"/>
    </row>
    <row r="828" spans="1:21">
      <c r="A828" s="9"/>
      <c r="B828" s="11" t="s">
        <v>25</v>
      </c>
      <c r="C828" s="11"/>
      <c r="D828" s="11"/>
      <c r="E828" s="12" t="s">
        <v>2</v>
      </c>
      <c r="F828" s="13" t="str">
        <f>sum(f818:f821)-f827</f>
        <v>0</v>
      </c>
      <c r="G828" s="16"/>
      <c r="H828" s="9"/>
      <c r="I828" s="11" t="s">
        <v>25</v>
      </c>
      <c r="J828" s="11"/>
      <c r="K828" s="11"/>
      <c r="L828" s="12" t="s">
        <v>2</v>
      </c>
      <c r="M828" s="13" t="str">
        <f>sum(m818:m821)-m827</f>
        <v>0</v>
      </c>
      <c r="N828" s="16"/>
      <c r="O828" s="9"/>
      <c r="P828" s="11" t="s">
        <v>25</v>
      </c>
      <c r="Q828" s="11"/>
      <c r="R828" s="11"/>
      <c r="S828" s="12" t="s">
        <v>2</v>
      </c>
      <c r="T828" s="13" t="str">
        <f>sum(t818:t821)-t827</f>
        <v>0</v>
      </c>
      <c r="U828" s="16"/>
    </row>
    <row r="829" spans="1:21">
      <c r="A829" s="7"/>
      <c r="B829" s="10"/>
      <c r="C829" s="10"/>
      <c r="D829" s="10"/>
      <c r="E829" s="10"/>
      <c r="F829" s="10"/>
      <c r="G829" s="14"/>
      <c r="H829" s="7"/>
      <c r="I829" s="10"/>
      <c r="J829" s="10"/>
      <c r="K829" s="10"/>
      <c r="L829" s="10"/>
      <c r="M829" s="10"/>
      <c r="N829" s="14"/>
      <c r="O829" s="7"/>
      <c r="P829" s="10"/>
      <c r="Q829" s="10"/>
      <c r="R829" s="10"/>
      <c r="S829" s="10"/>
      <c r="T829" s="10"/>
      <c r="U829" s="14"/>
    </row>
    <row r="830" spans="1:21">
      <c r="A830" s="8"/>
      <c r="B830" s="1" t="s">
        <v>0</v>
      </c>
      <c r="C830"/>
      <c r="D830"/>
      <c r="E830"/>
      <c r="F830"/>
      <c r="G830" s="15"/>
      <c r="H830" s="8"/>
      <c r="I830" s="1" t="s">
        <v>0</v>
      </c>
      <c r="J830"/>
      <c r="K830"/>
      <c r="L830"/>
      <c r="M830"/>
      <c r="N830" s="15"/>
      <c r="O830" s="8"/>
      <c r="P830" s="1" t="s">
        <v>0</v>
      </c>
      <c r="Q830"/>
      <c r="R830"/>
      <c r="S830"/>
      <c r="T830"/>
      <c r="U830" s="15"/>
    </row>
    <row r="831" spans="1:21">
      <c r="A831" s="8"/>
      <c r="B831" t="s">
        <v>1</v>
      </c>
      <c r="C831" s="2" t="s">
        <v>2</v>
      </c>
      <c r="D831" t="s">
        <v>297</v>
      </c>
      <c r="E831"/>
      <c r="F831"/>
      <c r="G831" s="15"/>
      <c r="H831" s="8"/>
      <c r="I831" t="s">
        <v>1</v>
      </c>
      <c r="J831" s="2" t="s">
        <v>2</v>
      </c>
      <c r="K831" t="s">
        <v>298</v>
      </c>
      <c r="L831"/>
      <c r="M831"/>
      <c r="N831" s="15"/>
      <c r="O831" s="8"/>
      <c r="P831" t="s">
        <v>1</v>
      </c>
      <c r="Q831" s="2" t="s">
        <v>2</v>
      </c>
      <c r="R831" t="s">
        <v>299</v>
      </c>
      <c r="S831"/>
      <c r="T831"/>
      <c r="U831" s="15"/>
    </row>
    <row r="832" spans="1:21">
      <c r="A832" s="8"/>
      <c r="B832" t="s">
        <v>6</v>
      </c>
      <c r="C832" s="2" t="s">
        <v>2</v>
      </c>
      <c r="D832" t="s">
        <v>300</v>
      </c>
      <c r="E832"/>
      <c r="F832"/>
      <c r="G832" s="15"/>
      <c r="H832" s="8"/>
      <c r="I832" t="s">
        <v>6</v>
      </c>
      <c r="J832" s="2" t="s">
        <v>2</v>
      </c>
      <c r="K832" t="s">
        <v>301</v>
      </c>
      <c r="L832"/>
      <c r="M832"/>
      <c r="N832" s="15"/>
      <c r="O832" s="8"/>
      <c r="P832" t="s">
        <v>6</v>
      </c>
      <c r="Q832" s="2" t="s">
        <v>2</v>
      </c>
      <c r="R832" t="s">
        <v>302</v>
      </c>
      <c r="S832"/>
      <c r="T832"/>
      <c r="U832" s="15"/>
    </row>
    <row r="833" spans="1:21">
      <c r="A833" s="8"/>
      <c r="B833" t="s">
        <v>10</v>
      </c>
      <c r="C833" s="2" t="s">
        <v>2</v>
      </c>
      <c r="D833" t="s">
        <v>296</v>
      </c>
      <c r="E833"/>
      <c r="F833"/>
      <c r="G833" s="15"/>
      <c r="H833" s="8"/>
      <c r="I833" t="s">
        <v>10</v>
      </c>
      <c r="J833" s="2" t="s">
        <v>2</v>
      </c>
      <c r="K833" t="s">
        <v>296</v>
      </c>
      <c r="L833"/>
      <c r="M833"/>
      <c r="N833" s="15"/>
      <c r="O833" s="8"/>
      <c r="P833" t="s">
        <v>10</v>
      </c>
      <c r="Q833" s="2" t="s">
        <v>2</v>
      </c>
      <c r="R833" t="s">
        <v>296</v>
      </c>
      <c r="S833"/>
      <c r="T833"/>
      <c r="U833" s="15"/>
    </row>
    <row r="834" spans="1:21">
      <c r="A834" s="8"/>
      <c r="B834" t="s">
        <v>12</v>
      </c>
      <c r="C834" s="2" t="s">
        <v>2</v>
      </c>
      <c r="D834" t="s">
        <v>13</v>
      </c>
      <c r="E834"/>
      <c r="F834"/>
      <c r="G834" s="15"/>
      <c r="H834" s="8"/>
      <c r="I834" t="s">
        <v>12</v>
      </c>
      <c r="J834" s="2" t="s">
        <v>2</v>
      </c>
      <c r="K834" t="s">
        <v>13</v>
      </c>
      <c r="L834"/>
      <c r="M834"/>
      <c r="N834" s="15"/>
      <c r="O834" s="8"/>
      <c r="P834" t="s">
        <v>12</v>
      </c>
      <c r="Q834" s="2" t="s">
        <v>2</v>
      </c>
      <c r="R834" t="s">
        <v>13</v>
      </c>
      <c r="S834"/>
      <c r="T834"/>
      <c r="U834" s="15"/>
    </row>
    <row r="835" spans="1:21">
      <c r="A835" s="8"/>
      <c r="B835" s="3" t="s">
        <v>14</v>
      </c>
      <c r="C835" s="4" t="s">
        <v>2</v>
      </c>
      <c r="D835" s="3" t="s">
        <v>15</v>
      </c>
      <c r="E835" s="3"/>
      <c r="F835" s="3"/>
      <c r="G835" s="15"/>
      <c r="H835" s="8"/>
      <c r="I835" s="3" t="s">
        <v>14</v>
      </c>
      <c r="J835" s="4" t="s">
        <v>2</v>
      </c>
      <c r="K835" s="3" t="s">
        <v>15</v>
      </c>
      <c r="L835" s="3"/>
      <c r="M835" s="3"/>
      <c r="N835" s="15"/>
      <c r="O835" s="8"/>
      <c r="P835" s="3" t="s">
        <v>14</v>
      </c>
      <c r="Q835" s="4" t="s">
        <v>2</v>
      </c>
      <c r="R835" s="3" t="s">
        <v>15</v>
      </c>
      <c r="S835" s="3"/>
      <c r="T835" s="3"/>
      <c r="U835" s="15"/>
    </row>
    <row r="836" spans="1:21">
      <c r="A836" s="8"/>
      <c r="B836" t="s">
        <v>16</v>
      </c>
      <c r="C836"/>
      <c r="D836"/>
      <c r="E836" s="2" t="s">
        <v>2</v>
      </c>
      <c r="F836" s="5">
        <v>3598000</v>
      </c>
      <c r="G836" s="15"/>
      <c r="H836" s="8"/>
      <c r="I836" t="s">
        <v>16</v>
      </c>
      <c r="J836"/>
      <c r="K836"/>
      <c r="L836" s="2" t="s">
        <v>2</v>
      </c>
      <c r="M836" s="5">
        <v>3593000</v>
      </c>
      <c r="N836" s="15"/>
      <c r="O836" s="8"/>
      <c r="P836" t="s">
        <v>16</v>
      </c>
      <c r="Q836"/>
      <c r="R836"/>
      <c r="S836" s="2" t="s">
        <v>2</v>
      </c>
      <c r="T836" s="5">
        <v>3593000</v>
      </c>
      <c r="U836" s="15"/>
    </row>
    <row r="837" spans="1:21">
      <c r="A837" s="8"/>
      <c r="B837" t="s">
        <v>17</v>
      </c>
      <c r="C837"/>
      <c r="D837"/>
      <c r="E837" s="2" t="s">
        <v>2</v>
      </c>
      <c r="F837" s="5">
        <v>0</v>
      </c>
      <c r="G837" s="15"/>
      <c r="H837" s="8"/>
      <c r="I837" t="s">
        <v>17</v>
      </c>
      <c r="J837"/>
      <c r="K837"/>
      <c r="L837" s="2" t="s">
        <v>2</v>
      </c>
      <c r="M837" s="5">
        <v>0</v>
      </c>
      <c r="N837" s="15"/>
      <c r="O837" s="8"/>
      <c r="P837" t="s">
        <v>17</v>
      </c>
      <c r="Q837"/>
      <c r="R837"/>
      <c r="S837" s="2" t="s">
        <v>2</v>
      </c>
      <c r="T837" s="5">
        <v>0</v>
      </c>
      <c r="U837" s="15"/>
    </row>
    <row r="838" spans="1:21">
      <c r="A838" s="8"/>
      <c r="B838" t="s">
        <v>18</v>
      </c>
      <c r="C838"/>
      <c r="D838"/>
      <c r="E838" s="2" t="s">
        <v>2</v>
      </c>
      <c r="F838" s="5">
        <v>0</v>
      </c>
      <c r="G838" s="15"/>
      <c r="H838" s="8"/>
      <c r="I838" t="s">
        <v>18</v>
      </c>
      <c r="J838"/>
      <c r="K838"/>
      <c r="L838" s="2" t="s">
        <v>2</v>
      </c>
      <c r="M838" s="5">
        <v>0</v>
      </c>
      <c r="N838" s="15"/>
      <c r="O838" s="8"/>
      <c r="P838" t="s">
        <v>18</v>
      </c>
      <c r="Q838"/>
      <c r="R838"/>
      <c r="S838" s="2" t="s">
        <v>2</v>
      </c>
      <c r="T838" s="5">
        <v>0</v>
      </c>
      <c r="U838" s="15"/>
    </row>
    <row r="839" spans="1:21">
      <c r="A839" s="8"/>
      <c r="B839" t="s">
        <v>19</v>
      </c>
      <c r="C839"/>
      <c r="D839"/>
      <c r="E839" s="2" t="s">
        <v>2</v>
      </c>
      <c r="F839" s="5">
        <v>0</v>
      </c>
      <c r="G839" s="15"/>
      <c r="H839" s="8"/>
      <c r="I839" t="s">
        <v>19</v>
      </c>
      <c r="J839"/>
      <c r="K839"/>
      <c r="L839" s="2" t="s">
        <v>2</v>
      </c>
      <c r="M839" s="5">
        <v>0</v>
      </c>
      <c r="N839" s="15"/>
      <c r="O839" s="8"/>
      <c r="P839" t="s">
        <v>19</v>
      </c>
      <c r="Q839"/>
      <c r="R839"/>
      <c r="S839" s="2" t="s">
        <v>2</v>
      </c>
      <c r="T839" s="5">
        <v>0</v>
      </c>
      <c r="U839" s="15"/>
    </row>
    <row r="840" spans="1:21">
      <c r="A840" s="8"/>
      <c r="B840"/>
      <c r="C840"/>
      <c r="D840"/>
      <c r="E840"/>
      <c r="F840"/>
      <c r="G840" s="15"/>
      <c r="H840" s="8"/>
      <c r="I840"/>
      <c r="J840"/>
      <c r="K840"/>
      <c r="L840"/>
      <c r="M840"/>
      <c r="N840" s="15"/>
      <c r="O840" s="8"/>
      <c r="P840"/>
      <c r="Q840"/>
      <c r="R840"/>
      <c r="S840"/>
      <c r="T840"/>
      <c r="U840" s="15"/>
    </row>
    <row r="841" spans="1:21">
      <c r="A841" s="8"/>
      <c r="B841" s="2" t="s">
        <v>20</v>
      </c>
      <c r="C841"/>
      <c r="D841"/>
      <c r="E841"/>
      <c r="F841"/>
      <c r="G841" s="15"/>
      <c r="H841" s="8"/>
      <c r="I841" s="2" t="s">
        <v>20</v>
      </c>
      <c r="J841"/>
      <c r="K841"/>
      <c r="L841"/>
      <c r="M841"/>
      <c r="N841" s="15"/>
      <c r="O841" s="8"/>
      <c r="P841" s="2" t="s">
        <v>20</v>
      </c>
      <c r="Q841"/>
      <c r="R841"/>
      <c r="S841"/>
      <c r="T841"/>
      <c r="U841" s="15"/>
    </row>
    <row r="842" spans="1:21">
      <c r="A842" s="8"/>
      <c r="B842" t="s">
        <v>21</v>
      </c>
      <c r="C842"/>
      <c r="D842"/>
      <c r="E842" s="2" t="s">
        <v>2</v>
      </c>
      <c r="F842" s="5">
        <v>287840</v>
      </c>
      <c r="G842" s="15"/>
      <c r="H842" s="8"/>
      <c r="I842" t="s">
        <v>21</v>
      </c>
      <c r="J842"/>
      <c r="K842"/>
      <c r="L842" s="2" t="s">
        <v>2</v>
      </c>
      <c r="M842" s="5">
        <v>407206.66</v>
      </c>
      <c r="N842" s="15"/>
      <c r="O842" s="8"/>
      <c r="P842" t="s">
        <v>21</v>
      </c>
      <c r="Q842"/>
      <c r="R842"/>
      <c r="S842" s="2" t="s">
        <v>2</v>
      </c>
      <c r="T842" s="5">
        <v>287440</v>
      </c>
      <c r="U842" s="15"/>
    </row>
    <row r="843" spans="1:21">
      <c r="A843" s="8"/>
      <c r="B843" t="s">
        <v>22</v>
      </c>
      <c r="C843"/>
      <c r="D843"/>
      <c r="E843" s="2" t="s">
        <v>2</v>
      </c>
      <c r="F843" s="5">
        <v>107940</v>
      </c>
      <c r="G843" s="15"/>
      <c r="H843" s="8"/>
      <c r="I843" t="s">
        <v>22</v>
      </c>
      <c r="J843"/>
      <c r="K843"/>
      <c r="L843" s="2" t="s">
        <v>2</v>
      </c>
      <c r="M843" s="5">
        <v>107790</v>
      </c>
      <c r="N843" s="15"/>
      <c r="O843" s="8"/>
      <c r="P843" t="s">
        <v>22</v>
      </c>
      <c r="Q843"/>
      <c r="R843"/>
      <c r="S843" s="2" t="s">
        <v>2</v>
      </c>
      <c r="T843" s="5">
        <v>107790</v>
      </c>
      <c r="U843" s="15"/>
    </row>
    <row r="844" spans="1:21">
      <c r="A844" s="8"/>
      <c r="B844" s="3" t="s">
        <v>23</v>
      </c>
      <c r="C844" s="3"/>
      <c r="D844" s="3"/>
      <c r="E844" s="4" t="s">
        <v>2</v>
      </c>
      <c r="F844" s="6">
        <v>35745</v>
      </c>
      <c r="G844" s="15"/>
      <c r="H844" s="8"/>
      <c r="I844" s="3" t="s">
        <v>23</v>
      </c>
      <c r="J844" s="3"/>
      <c r="K844" s="3"/>
      <c r="L844" s="4" t="s">
        <v>2</v>
      </c>
      <c r="M844" s="6">
        <v>0</v>
      </c>
      <c r="N844" s="15"/>
      <c r="O844" s="8"/>
      <c r="P844" s="3" t="s">
        <v>23</v>
      </c>
      <c r="Q844" s="3"/>
      <c r="R844" s="3"/>
      <c r="S844" s="4" t="s">
        <v>2</v>
      </c>
      <c r="T844" s="6">
        <v>35745</v>
      </c>
      <c r="U844" s="15"/>
    </row>
    <row r="845" spans="1:21">
      <c r="A845" s="8"/>
      <c r="B845" t="s">
        <v>24</v>
      </c>
      <c r="C845"/>
      <c r="D845"/>
      <c r="E845" s="2" t="s">
        <v>2</v>
      </c>
      <c r="F845" s="5" t="str">
        <f>sum(f842:f844)</f>
        <v>0</v>
      </c>
      <c r="G845" s="15"/>
      <c r="H845" s="8"/>
      <c r="I845" t="s">
        <v>24</v>
      </c>
      <c r="J845"/>
      <c r="K845"/>
      <c r="L845" s="2" t="s">
        <v>2</v>
      </c>
      <c r="M845" s="5" t="str">
        <f>sum(m842:m844)</f>
        <v>0</v>
      </c>
      <c r="N845" s="15"/>
      <c r="O845" s="8"/>
      <c r="P845" t="s">
        <v>24</v>
      </c>
      <c r="Q845"/>
      <c r="R845"/>
      <c r="S845" s="2" t="s">
        <v>2</v>
      </c>
      <c r="T845" s="5" t="str">
        <f>sum(t842:t844)</f>
        <v>0</v>
      </c>
      <c r="U845" s="15"/>
    </row>
    <row r="846" spans="1:21">
      <c r="A846" s="9"/>
      <c r="B846" s="11" t="s">
        <v>25</v>
      </c>
      <c r="C846" s="11"/>
      <c r="D846" s="11"/>
      <c r="E846" s="12" t="s">
        <v>2</v>
      </c>
      <c r="F846" s="13" t="str">
        <f>sum(f836:f839)-f845</f>
        <v>0</v>
      </c>
      <c r="G846" s="16"/>
      <c r="H846" s="9"/>
      <c r="I846" s="11" t="s">
        <v>25</v>
      </c>
      <c r="J846" s="11"/>
      <c r="K846" s="11"/>
      <c r="L846" s="12" t="s">
        <v>2</v>
      </c>
      <c r="M846" s="13" t="str">
        <f>sum(m836:m839)-m845</f>
        <v>0</v>
      </c>
      <c r="N846" s="16"/>
      <c r="O846" s="9"/>
      <c r="P846" s="11" t="s">
        <v>25</v>
      </c>
      <c r="Q846" s="11"/>
      <c r="R846" s="11"/>
      <c r="S846" s="12" t="s">
        <v>2</v>
      </c>
      <c r="T846" s="13" t="str">
        <f>sum(t836:t839)-t845</f>
        <v>0</v>
      </c>
      <c r="U846" s="16"/>
    </row>
    <row r="847" spans="1:21">
      <c r="A847" s="7"/>
      <c r="B847" s="10"/>
      <c r="C847" s="10"/>
      <c r="D847" s="10"/>
      <c r="E847" s="10"/>
      <c r="F847" s="10"/>
      <c r="G847" s="14"/>
      <c r="H847" s="7"/>
      <c r="I847" s="10"/>
      <c r="J847" s="10"/>
      <c r="K847" s="10"/>
      <c r="L847" s="10"/>
      <c r="M847" s="10"/>
      <c r="N847" s="14"/>
      <c r="O847" s="7"/>
      <c r="P847" s="10"/>
      <c r="Q847" s="10"/>
      <c r="R847" s="10"/>
      <c r="S847" s="10"/>
      <c r="T847" s="10"/>
      <c r="U847" s="14"/>
    </row>
    <row r="848" spans="1:21">
      <c r="A848" s="8"/>
      <c r="B848" s="1" t="s">
        <v>0</v>
      </c>
      <c r="C848"/>
      <c r="D848"/>
      <c r="E848"/>
      <c r="F848"/>
      <c r="G848" s="15"/>
      <c r="H848" s="8"/>
      <c r="I848" s="1" t="s">
        <v>0</v>
      </c>
      <c r="J848"/>
      <c r="K848"/>
      <c r="L848"/>
      <c r="M848"/>
      <c r="N848" s="15"/>
      <c r="O848" s="8"/>
      <c r="P848" s="1" t="s">
        <v>0</v>
      </c>
      <c r="Q848"/>
      <c r="R848"/>
      <c r="S848"/>
      <c r="T848"/>
      <c r="U848" s="15"/>
    </row>
    <row r="849" spans="1:21">
      <c r="A849" s="8"/>
      <c r="B849" t="s">
        <v>1</v>
      </c>
      <c r="C849" s="2" t="s">
        <v>2</v>
      </c>
      <c r="D849" t="s">
        <v>303</v>
      </c>
      <c r="E849"/>
      <c r="F849"/>
      <c r="G849" s="15"/>
      <c r="H849" s="8"/>
      <c r="I849" t="s">
        <v>1</v>
      </c>
      <c r="J849" s="2" t="s">
        <v>2</v>
      </c>
      <c r="K849" t="s">
        <v>304</v>
      </c>
      <c r="L849"/>
      <c r="M849"/>
      <c r="N849" s="15"/>
      <c r="O849" s="8"/>
      <c r="P849" t="s">
        <v>1</v>
      </c>
      <c r="Q849" s="2" t="s">
        <v>2</v>
      </c>
      <c r="R849" t="s">
        <v>305</v>
      </c>
      <c r="S849"/>
      <c r="T849"/>
      <c r="U849" s="15"/>
    </row>
    <row r="850" spans="1:21">
      <c r="A850" s="8"/>
      <c r="B850" t="s">
        <v>6</v>
      </c>
      <c r="C850" s="2" t="s">
        <v>2</v>
      </c>
      <c r="D850" t="s">
        <v>306</v>
      </c>
      <c r="E850"/>
      <c r="F850"/>
      <c r="G850" s="15"/>
      <c r="H850" s="8"/>
      <c r="I850" t="s">
        <v>6</v>
      </c>
      <c r="J850" s="2" t="s">
        <v>2</v>
      </c>
      <c r="K850" t="s">
        <v>307</v>
      </c>
      <c r="L850"/>
      <c r="M850"/>
      <c r="N850" s="15"/>
      <c r="O850" s="8"/>
      <c r="P850" t="s">
        <v>6</v>
      </c>
      <c r="Q850" s="2" t="s">
        <v>2</v>
      </c>
      <c r="R850" t="s">
        <v>308</v>
      </c>
      <c r="S850"/>
      <c r="T850"/>
      <c r="U850" s="15"/>
    </row>
    <row r="851" spans="1:21">
      <c r="A851" s="8"/>
      <c r="B851" t="s">
        <v>10</v>
      </c>
      <c r="C851" s="2" t="s">
        <v>2</v>
      </c>
      <c r="D851" t="s">
        <v>296</v>
      </c>
      <c r="E851"/>
      <c r="F851"/>
      <c r="G851" s="15"/>
      <c r="H851" s="8"/>
      <c r="I851" t="s">
        <v>10</v>
      </c>
      <c r="J851" s="2" t="s">
        <v>2</v>
      </c>
      <c r="K851" t="s">
        <v>296</v>
      </c>
      <c r="L851"/>
      <c r="M851"/>
      <c r="N851" s="15"/>
      <c r="O851" s="8"/>
      <c r="P851" t="s">
        <v>10</v>
      </c>
      <c r="Q851" s="2" t="s">
        <v>2</v>
      </c>
      <c r="R851" t="s">
        <v>309</v>
      </c>
      <c r="S851"/>
      <c r="T851"/>
      <c r="U851" s="15"/>
    </row>
    <row r="852" spans="1:21">
      <c r="A852" s="8"/>
      <c r="B852" t="s">
        <v>12</v>
      </c>
      <c r="C852" s="2" t="s">
        <v>2</v>
      </c>
      <c r="D852" t="s">
        <v>13</v>
      </c>
      <c r="E852"/>
      <c r="F852"/>
      <c r="G852" s="15"/>
      <c r="H852" s="8"/>
      <c r="I852" t="s">
        <v>12</v>
      </c>
      <c r="J852" s="2" t="s">
        <v>2</v>
      </c>
      <c r="K852" t="s">
        <v>13</v>
      </c>
      <c r="L852"/>
      <c r="M852"/>
      <c r="N852" s="15"/>
      <c r="O852" s="8"/>
      <c r="P852" t="s">
        <v>12</v>
      </c>
      <c r="Q852" s="2" t="s">
        <v>2</v>
      </c>
      <c r="R852" t="s">
        <v>13</v>
      </c>
      <c r="S852"/>
      <c r="T852"/>
      <c r="U852" s="15"/>
    </row>
    <row r="853" spans="1:21">
      <c r="A853" s="8"/>
      <c r="B853" s="3" t="s">
        <v>14</v>
      </c>
      <c r="C853" s="4" t="s">
        <v>2</v>
      </c>
      <c r="D853" s="3" t="s">
        <v>15</v>
      </c>
      <c r="E853" s="3"/>
      <c r="F853" s="3"/>
      <c r="G853" s="15"/>
      <c r="H853" s="8"/>
      <c r="I853" s="3" t="s">
        <v>14</v>
      </c>
      <c r="J853" s="4" t="s">
        <v>2</v>
      </c>
      <c r="K853" s="3" t="s">
        <v>15</v>
      </c>
      <c r="L853" s="3"/>
      <c r="M853" s="3"/>
      <c r="N853" s="15"/>
      <c r="O853" s="8"/>
      <c r="P853" s="3" t="s">
        <v>14</v>
      </c>
      <c r="Q853" s="4" t="s">
        <v>2</v>
      </c>
      <c r="R853" s="3" t="s">
        <v>15</v>
      </c>
      <c r="S853" s="3"/>
      <c r="T853" s="3"/>
      <c r="U853" s="15"/>
    </row>
    <row r="854" spans="1:21">
      <c r="A854" s="8"/>
      <c r="B854" t="s">
        <v>16</v>
      </c>
      <c r="C854"/>
      <c r="D854"/>
      <c r="E854" s="2" t="s">
        <v>2</v>
      </c>
      <c r="F854" s="5">
        <v>3596000</v>
      </c>
      <c r="G854" s="15"/>
      <c r="H854" s="8"/>
      <c r="I854" t="s">
        <v>16</v>
      </c>
      <c r="J854"/>
      <c r="K854"/>
      <c r="L854" s="2" t="s">
        <v>2</v>
      </c>
      <c r="M854" s="5">
        <v>3597000</v>
      </c>
      <c r="N854" s="15"/>
      <c r="O854" s="8"/>
      <c r="P854" t="s">
        <v>16</v>
      </c>
      <c r="Q854"/>
      <c r="R854"/>
      <c r="S854" s="2" t="s">
        <v>2</v>
      </c>
      <c r="T854" s="5">
        <v>3590000</v>
      </c>
      <c r="U854" s="15"/>
    </row>
    <row r="855" spans="1:21">
      <c r="A855" s="8"/>
      <c r="B855" t="s">
        <v>17</v>
      </c>
      <c r="C855"/>
      <c r="D855"/>
      <c r="E855" s="2" t="s">
        <v>2</v>
      </c>
      <c r="F855" s="5">
        <v>0</v>
      </c>
      <c r="G855" s="15"/>
      <c r="H855" s="8"/>
      <c r="I855" t="s">
        <v>17</v>
      </c>
      <c r="J855"/>
      <c r="K855"/>
      <c r="L855" s="2" t="s">
        <v>2</v>
      </c>
      <c r="M855" s="5">
        <v>80000</v>
      </c>
      <c r="N855" s="15"/>
      <c r="O855" s="8"/>
      <c r="P855" t="s">
        <v>17</v>
      </c>
      <c r="Q855"/>
      <c r="R855"/>
      <c r="S855" s="2" t="s">
        <v>2</v>
      </c>
      <c r="T855" s="5">
        <v>80000</v>
      </c>
      <c r="U855" s="15"/>
    </row>
    <row r="856" spans="1:21">
      <c r="A856" s="8"/>
      <c r="B856" t="s">
        <v>18</v>
      </c>
      <c r="C856"/>
      <c r="D856"/>
      <c r="E856" s="2" t="s">
        <v>2</v>
      </c>
      <c r="F856" s="5">
        <v>0</v>
      </c>
      <c r="G856" s="15"/>
      <c r="H856" s="8"/>
      <c r="I856" t="s">
        <v>18</v>
      </c>
      <c r="J856"/>
      <c r="K856"/>
      <c r="L856" s="2" t="s">
        <v>2</v>
      </c>
      <c r="M856" s="5">
        <v>0</v>
      </c>
      <c r="N856" s="15"/>
      <c r="O856" s="8"/>
      <c r="P856" t="s">
        <v>18</v>
      </c>
      <c r="Q856"/>
      <c r="R856"/>
      <c r="S856" s="2" t="s">
        <v>2</v>
      </c>
      <c r="T856" s="5">
        <v>25000</v>
      </c>
      <c r="U856" s="15"/>
    </row>
    <row r="857" spans="1:21">
      <c r="A857" s="8"/>
      <c r="B857" t="s">
        <v>19</v>
      </c>
      <c r="C857"/>
      <c r="D857"/>
      <c r="E857" s="2" t="s">
        <v>2</v>
      </c>
      <c r="F857" s="5">
        <v>0</v>
      </c>
      <c r="G857" s="15"/>
      <c r="H857" s="8"/>
      <c r="I857" t="s">
        <v>19</v>
      </c>
      <c r="J857"/>
      <c r="K857"/>
      <c r="L857" s="2" t="s">
        <v>2</v>
      </c>
      <c r="M857" s="5">
        <v>0</v>
      </c>
      <c r="N857" s="15"/>
      <c r="O857" s="8"/>
      <c r="P857" t="s">
        <v>19</v>
      </c>
      <c r="Q857"/>
      <c r="R857"/>
      <c r="S857" s="2" t="s">
        <v>2</v>
      </c>
      <c r="T857" s="5">
        <v>20000</v>
      </c>
      <c r="U857" s="15"/>
    </row>
    <row r="858" spans="1:21">
      <c r="A858" s="8"/>
      <c r="B858"/>
      <c r="C858"/>
      <c r="D858"/>
      <c r="E858"/>
      <c r="F858"/>
      <c r="G858" s="15"/>
      <c r="H858" s="8"/>
      <c r="I858"/>
      <c r="J858"/>
      <c r="K858"/>
      <c r="L858"/>
      <c r="M858"/>
      <c r="N858" s="15"/>
      <c r="O858" s="8"/>
      <c r="P858"/>
      <c r="Q858"/>
      <c r="R858"/>
      <c r="S858"/>
      <c r="T858"/>
      <c r="U858" s="15"/>
    </row>
    <row r="859" spans="1:21">
      <c r="A859" s="8"/>
      <c r="B859" s="2" t="s">
        <v>20</v>
      </c>
      <c r="C859"/>
      <c r="D859"/>
      <c r="E859"/>
      <c r="F859"/>
      <c r="G859" s="15"/>
      <c r="H859" s="8"/>
      <c r="I859" s="2" t="s">
        <v>20</v>
      </c>
      <c r="J859"/>
      <c r="K859"/>
      <c r="L859"/>
      <c r="M859"/>
      <c r="N859" s="15"/>
      <c r="O859" s="8"/>
      <c r="P859" s="2" t="s">
        <v>20</v>
      </c>
      <c r="Q859"/>
      <c r="R859"/>
      <c r="S859"/>
      <c r="T859"/>
      <c r="U859" s="15"/>
    </row>
    <row r="860" spans="1:21">
      <c r="A860" s="8"/>
      <c r="B860" t="s">
        <v>21</v>
      </c>
      <c r="C860"/>
      <c r="D860"/>
      <c r="E860" s="2" t="s">
        <v>2</v>
      </c>
      <c r="F860" s="5">
        <v>287680</v>
      </c>
      <c r="G860" s="15"/>
      <c r="H860" s="8"/>
      <c r="I860" t="s">
        <v>21</v>
      </c>
      <c r="J860"/>
      <c r="K860"/>
      <c r="L860" s="2" t="s">
        <v>2</v>
      </c>
      <c r="M860" s="5">
        <v>407660</v>
      </c>
      <c r="N860" s="15"/>
      <c r="O860" s="8"/>
      <c r="P860" t="s">
        <v>21</v>
      </c>
      <c r="Q860"/>
      <c r="R860"/>
      <c r="S860" s="2" t="s">
        <v>2</v>
      </c>
      <c r="T860" s="5">
        <v>0</v>
      </c>
      <c r="U860" s="15"/>
    </row>
    <row r="861" spans="1:21">
      <c r="A861" s="8"/>
      <c r="B861" t="s">
        <v>22</v>
      </c>
      <c r="C861"/>
      <c r="D861"/>
      <c r="E861" s="2" t="s">
        <v>2</v>
      </c>
      <c r="F861" s="5">
        <v>107880</v>
      </c>
      <c r="G861" s="15"/>
      <c r="H861" s="8"/>
      <c r="I861" t="s">
        <v>22</v>
      </c>
      <c r="J861"/>
      <c r="K861"/>
      <c r="L861" s="2" t="s">
        <v>2</v>
      </c>
      <c r="M861" s="5">
        <v>107910</v>
      </c>
      <c r="N861" s="15"/>
      <c r="O861" s="8"/>
      <c r="P861" t="s">
        <v>22</v>
      </c>
      <c r="Q861"/>
      <c r="R861"/>
      <c r="S861" s="2" t="s">
        <v>2</v>
      </c>
      <c r="T861" s="5">
        <v>107700</v>
      </c>
      <c r="U861" s="15"/>
    </row>
    <row r="862" spans="1:21">
      <c r="A862" s="8"/>
      <c r="B862" s="3" t="s">
        <v>23</v>
      </c>
      <c r="C862" s="3"/>
      <c r="D862" s="3"/>
      <c r="E862" s="4" t="s">
        <v>2</v>
      </c>
      <c r="F862" s="6">
        <v>35745</v>
      </c>
      <c r="G862" s="15"/>
      <c r="H862" s="8"/>
      <c r="I862" s="3" t="s">
        <v>23</v>
      </c>
      <c r="J862" s="3"/>
      <c r="K862" s="3"/>
      <c r="L862" s="4" t="s">
        <v>2</v>
      </c>
      <c r="M862" s="6">
        <v>35745</v>
      </c>
      <c r="N862" s="15"/>
      <c r="O862" s="8"/>
      <c r="P862" s="3" t="s">
        <v>23</v>
      </c>
      <c r="Q862" s="3"/>
      <c r="R862" s="3"/>
      <c r="S862" s="4" t="s">
        <v>2</v>
      </c>
      <c r="T862" s="6">
        <v>35745</v>
      </c>
      <c r="U862" s="15"/>
    </row>
    <row r="863" spans="1:21">
      <c r="A863" s="8"/>
      <c r="B863" t="s">
        <v>24</v>
      </c>
      <c r="C863"/>
      <c r="D863"/>
      <c r="E863" s="2" t="s">
        <v>2</v>
      </c>
      <c r="F863" s="5" t="str">
        <f>sum(f860:f862)</f>
        <v>0</v>
      </c>
      <c r="G863" s="15"/>
      <c r="H863" s="8"/>
      <c r="I863" t="s">
        <v>24</v>
      </c>
      <c r="J863"/>
      <c r="K863"/>
      <c r="L863" s="2" t="s">
        <v>2</v>
      </c>
      <c r="M863" s="5" t="str">
        <f>sum(m860:m862)</f>
        <v>0</v>
      </c>
      <c r="N863" s="15"/>
      <c r="O863" s="8"/>
      <c r="P863" t="s">
        <v>24</v>
      </c>
      <c r="Q863"/>
      <c r="R863"/>
      <c r="S863" s="2" t="s">
        <v>2</v>
      </c>
      <c r="T863" s="5" t="str">
        <f>sum(t860:t862)</f>
        <v>0</v>
      </c>
      <c r="U863" s="15"/>
    </row>
    <row r="864" spans="1:21">
      <c r="A864" s="9"/>
      <c r="B864" s="11" t="s">
        <v>25</v>
      </c>
      <c r="C864" s="11"/>
      <c r="D864" s="11"/>
      <c r="E864" s="12" t="s">
        <v>2</v>
      </c>
      <c r="F864" s="13" t="str">
        <f>sum(f854:f857)-f863</f>
        <v>0</v>
      </c>
      <c r="G864" s="16"/>
      <c r="H864" s="9"/>
      <c r="I864" s="11" t="s">
        <v>25</v>
      </c>
      <c r="J864" s="11"/>
      <c r="K864" s="11"/>
      <c r="L864" s="12" t="s">
        <v>2</v>
      </c>
      <c r="M864" s="13" t="str">
        <f>sum(m854:m857)-m863</f>
        <v>0</v>
      </c>
      <c r="N864" s="16"/>
      <c r="O864" s="9"/>
      <c r="P864" s="11" t="s">
        <v>25</v>
      </c>
      <c r="Q864" s="11"/>
      <c r="R864" s="11"/>
      <c r="S864" s="12" t="s">
        <v>2</v>
      </c>
      <c r="T864" s="13" t="str">
        <f>sum(t854:t857)-t863</f>
        <v>0</v>
      </c>
      <c r="U864" s="16"/>
    </row>
    <row r="865" spans="1:21">
      <c r="A865" s="7"/>
      <c r="B865" s="10"/>
      <c r="C865" s="10"/>
      <c r="D865" s="10"/>
      <c r="E865" s="10"/>
      <c r="F865" s="10"/>
      <c r="G865" s="14"/>
      <c r="H865" s="7"/>
      <c r="I865" s="10"/>
      <c r="J865" s="10"/>
      <c r="K865" s="10"/>
      <c r="L865" s="10"/>
      <c r="M865" s="10"/>
      <c r="N865" s="14"/>
      <c r="O865" s="7"/>
      <c r="P865" s="10"/>
      <c r="Q865" s="10"/>
      <c r="R865" s="10"/>
      <c r="S865" s="10"/>
      <c r="T865" s="10"/>
      <c r="U865" s="14"/>
    </row>
    <row r="866" spans="1:21">
      <c r="A866" s="8"/>
      <c r="B866" s="1" t="s">
        <v>0</v>
      </c>
      <c r="C866"/>
      <c r="D866"/>
      <c r="E866"/>
      <c r="F866"/>
      <c r="G866" s="15"/>
      <c r="H866" s="8"/>
      <c r="I866" s="1" t="s">
        <v>0</v>
      </c>
      <c r="J866"/>
      <c r="K866"/>
      <c r="L866"/>
      <c r="M866"/>
      <c r="N866" s="15"/>
      <c r="O866" s="8"/>
      <c r="P866" s="1" t="s">
        <v>0</v>
      </c>
      <c r="Q866"/>
      <c r="R866"/>
      <c r="S866"/>
      <c r="T866"/>
      <c r="U866" s="15"/>
    </row>
    <row r="867" spans="1:21">
      <c r="A867" s="8"/>
      <c r="B867" t="s">
        <v>1</v>
      </c>
      <c r="C867" s="2" t="s">
        <v>2</v>
      </c>
      <c r="D867" t="s">
        <v>310</v>
      </c>
      <c r="E867"/>
      <c r="F867"/>
      <c r="G867" s="15"/>
      <c r="H867" s="8"/>
      <c r="I867" t="s">
        <v>1</v>
      </c>
      <c r="J867" s="2" t="s">
        <v>2</v>
      </c>
      <c r="K867" t="s">
        <v>311</v>
      </c>
      <c r="L867"/>
      <c r="M867"/>
      <c r="N867" s="15"/>
      <c r="O867" s="8"/>
      <c r="P867" t="s">
        <v>1</v>
      </c>
      <c r="Q867" s="2" t="s">
        <v>2</v>
      </c>
      <c r="R867" t="s">
        <v>312</v>
      </c>
      <c r="S867"/>
      <c r="T867"/>
      <c r="U867" s="15"/>
    </row>
    <row r="868" spans="1:21">
      <c r="A868" s="8"/>
      <c r="B868" t="s">
        <v>6</v>
      </c>
      <c r="C868" s="2" t="s">
        <v>2</v>
      </c>
      <c r="D868" t="s">
        <v>313</v>
      </c>
      <c r="E868"/>
      <c r="F868"/>
      <c r="G868" s="15"/>
      <c r="H868" s="8"/>
      <c r="I868" t="s">
        <v>6</v>
      </c>
      <c r="J868" s="2" t="s">
        <v>2</v>
      </c>
      <c r="K868" t="s">
        <v>314</v>
      </c>
      <c r="L868"/>
      <c r="M868"/>
      <c r="N868" s="15"/>
      <c r="O868" s="8"/>
      <c r="P868" t="s">
        <v>6</v>
      </c>
      <c r="Q868" s="2" t="s">
        <v>2</v>
      </c>
      <c r="R868">
        <v>1723</v>
      </c>
      <c r="S868"/>
      <c r="T868"/>
      <c r="U868" s="15"/>
    </row>
    <row r="869" spans="1:21">
      <c r="A869" s="8"/>
      <c r="B869" t="s">
        <v>10</v>
      </c>
      <c r="C869" s="2" t="s">
        <v>2</v>
      </c>
      <c r="D869" t="s">
        <v>309</v>
      </c>
      <c r="E869"/>
      <c r="F869"/>
      <c r="G869" s="15"/>
      <c r="H869" s="8"/>
      <c r="I869" t="s">
        <v>10</v>
      </c>
      <c r="J869" s="2" t="s">
        <v>2</v>
      </c>
      <c r="K869" t="s">
        <v>309</v>
      </c>
      <c r="L869"/>
      <c r="M869"/>
      <c r="N869" s="15"/>
      <c r="O869" s="8"/>
      <c r="P869" t="s">
        <v>10</v>
      </c>
      <c r="Q869" s="2" t="s">
        <v>2</v>
      </c>
      <c r="R869" t="s">
        <v>309</v>
      </c>
      <c r="S869"/>
      <c r="T869"/>
      <c r="U869" s="15"/>
    </row>
    <row r="870" spans="1:21">
      <c r="A870" s="8"/>
      <c r="B870" t="s">
        <v>12</v>
      </c>
      <c r="C870" s="2" t="s">
        <v>2</v>
      </c>
      <c r="D870" t="s">
        <v>13</v>
      </c>
      <c r="E870"/>
      <c r="F870"/>
      <c r="G870" s="15"/>
      <c r="H870" s="8"/>
      <c r="I870" t="s">
        <v>12</v>
      </c>
      <c r="J870" s="2" t="s">
        <v>2</v>
      </c>
      <c r="K870" t="s">
        <v>13</v>
      </c>
      <c r="L870"/>
      <c r="M870"/>
      <c r="N870" s="15"/>
      <c r="O870" s="8"/>
      <c r="P870" t="s">
        <v>12</v>
      </c>
      <c r="Q870" s="2" t="s">
        <v>2</v>
      </c>
      <c r="R870" t="s">
        <v>13</v>
      </c>
      <c r="S870"/>
      <c r="T870"/>
      <c r="U870" s="15"/>
    </row>
    <row r="871" spans="1:21">
      <c r="A871" s="8"/>
      <c r="B871" s="3" t="s">
        <v>14</v>
      </c>
      <c r="C871" s="4" t="s">
        <v>2</v>
      </c>
      <c r="D871" s="3" t="s">
        <v>15</v>
      </c>
      <c r="E871" s="3"/>
      <c r="F871" s="3"/>
      <c r="G871" s="15"/>
      <c r="H871" s="8"/>
      <c r="I871" s="3" t="s">
        <v>14</v>
      </c>
      <c r="J871" s="4" t="s">
        <v>2</v>
      </c>
      <c r="K871" s="3" t="s">
        <v>15</v>
      </c>
      <c r="L871" s="3"/>
      <c r="M871" s="3"/>
      <c r="N871" s="15"/>
      <c r="O871" s="8"/>
      <c r="P871" s="3" t="s">
        <v>14</v>
      </c>
      <c r="Q871" s="4" t="s">
        <v>2</v>
      </c>
      <c r="R871" s="3" t="s">
        <v>15</v>
      </c>
      <c r="S871" s="3"/>
      <c r="T871" s="3"/>
      <c r="U871" s="15"/>
    </row>
    <row r="872" spans="1:21">
      <c r="A872" s="8"/>
      <c r="B872" t="s">
        <v>16</v>
      </c>
      <c r="C872"/>
      <c r="D872"/>
      <c r="E872" s="2" t="s">
        <v>2</v>
      </c>
      <c r="F872" s="5">
        <v>3593000</v>
      </c>
      <c r="G872" s="15"/>
      <c r="H872" s="8"/>
      <c r="I872" t="s">
        <v>16</v>
      </c>
      <c r="J872"/>
      <c r="K872"/>
      <c r="L872" s="2" t="s">
        <v>2</v>
      </c>
      <c r="M872" s="5">
        <v>3594000</v>
      </c>
      <c r="N872" s="15"/>
      <c r="O872" s="8"/>
      <c r="P872" t="s">
        <v>16</v>
      </c>
      <c r="Q872"/>
      <c r="R872"/>
      <c r="S872" s="2" t="s">
        <v>2</v>
      </c>
      <c r="T872" s="5">
        <v>3585000</v>
      </c>
      <c r="U872" s="15"/>
    </row>
    <row r="873" spans="1:21">
      <c r="A873" s="8"/>
      <c r="B873" t="s">
        <v>17</v>
      </c>
      <c r="C873"/>
      <c r="D873"/>
      <c r="E873" s="2" t="s">
        <v>2</v>
      </c>
      <c r="F873" s="5">
        <v>80000</v>
      </c>
      <c r="G873" s="15"/>
      <c r="H873" s="8"/>
      <c r="I873" t="s">
        <v>17</v>
      </c>
      <c r="J873"/>
      <c r="K873"/>
      <c r="L873" s="2" t="s">
        <v>2</v>
      </c>
      <c r="M873" s="5">
        <v>80000</v>
      </c>
      <c r="N873" s="15"/>
      <c r="O873" s="8"/>
      <c r="P873" t="s">
        <v>17</v>
      </c>
      <c r="Q873"/>
      <c r="R873"/>
      <c r="S873" s="2" t="s">
        <v>2</v>
      </c>
      <c r="T873" s="5">
        <v>80000</v>
      </c>
      <c r="U873" s="15"/>
    </row>
    <row r="874" spans="1:21">
      <c r="A874" s="8"/>
      <c r="B874" t="s">
        <v>18</v>
      </c>
      <c r="C874"/>
      <c r="D874"/>
      <c r="E874" s="2" t="s">
        <v>2</v>
      </c>
      <c r="F874" s="5">
        <v>25000</v>
      </c>
      <c r="G874" s="15"/>
      <c r="H874" s="8"/>
      <c r="I874" t="s">
        <v>18</v>
      </c>
      <c r="J874"/>
      <c r="K874"/>
      <c r="L874" s="2" t="s">
        <v>2</v>
      </c>
      <c r="M874" s="5">
        <v>0</v>
      </c>
      <c r="N874" s="15"/>
      <c r="O874" s="8"/>
      <c r="P874" t="s">
        <v>18</v>
      </c>
      <c r="Q874"/>
      <c r="R874"/>
      <c r="S874" s="2" t="s">
        <v>2</v>
      </c>
      <c r="T874" s="5">
        <v>25000</v>
      </c>
      <c r="U874" s="15"/>
    </row>
    <row r="875" spans="1:21">
      <c r="A875" s="8"/>
      <c r="B875" t="s">
        <v>19</v>
      </c>
      <c r="C875"/>
      <c r="D875"/>
      <c r="E875" s="2" t="s">
        <v>2</v>
      </c>
      <c r="F875" s="5">
        <v>10000</v>
      </c>
      <c r="G875" s="15"/>
      <c r="H875" s="8"/>
      <c r="I875" t="s">
        <v>19</v>
      </c>
      <c r="J875"/>
      <c r="K875"/>
      <c r="L875" s="2" t="s">
        <v>2</v>
      </c>
      <c r="M875" s="5">
        <v>6000</v>
      </c>
      <c r="N875" s="15"/>
      <c r="O875" s="8"/>
      <c r="P875" t="s">
        <v>19</v>
      </c>
      <c r="Q875"/>
      <c r="R875"/>
      <c r="S875" s="2" t="s">
        <v>2</v>
      </c>
      <c r="T875" s="5">
        <v>0</v>
      </c>
      <c r="U875" s="15"/>
    </row>
    <row r="876" spans="1:21">
      <c r="A876" s="8"/>
      <c r="B876"/>
      <c r="C876"/>
      <c r="D876"/>
      <c r="E876"/>
      <c r="F876"/>
      <c r="G876" s="15"/>
      <c r="H876" s="8"/>
      <c r="I876"/>
      <c r="J876"/>
      <c r="K876"/>
      <c r="L876"/>
      <c r="M876"/>
      <c r="N876" s="15"/>
      <c r="O876" s="8"/>
      <c r="P876"/>
      <c r="Q876"/>
      <c r="R876"/>
      <c r="S876"/>
      <c r="T876"/>
      <c r="U876" s="15"/>
    </row>
    <row r="877" spans="1:21">
      <c r="A877" s="8"/>
      <c r="B877" s="2" t="s">
        <v>20</v>
      </c>
      <c r="C877"/>
      <c r="D877"/>
      <c r="E877"/>
      <c r="F877"/>
      <c r="G877" s="15"/>
      <c r="H877" s="8"/>
      <c r="I877" s="2" t="s">
        <v>20</v>
      </c>
      <c r="J877"/>
      <c r="K877"/>
      <c r="L877"/>
      <c r="M877"/>
      <c r="N877" s="15"/>
      <c r="O877" s="8"/>
      <c r="P877" s="2" t="s">
        <v>20</v>
      </c>
      <c r="Q877"/>
      <c r="R877"/>
      <c r="S877"/>
      <c r="T877"/>
      <c r="U877" s="15"/>
    </row>
    <row r="878" spans="1:21">
      <c r="A878" s="8"/>
      <c r="B878" t="s">
        <v>21</v>
      </c>
      <c r="C878"/>
      <c r="D878"/>
      <c r="E878" s="2" t="s">
        <v>2</v>
      </c>
      <c r="F878" s="5">
        <v>0</v>
      </c>
      <c r="G878" s="15"/>
      <c r="H878" s="8"/>
      <c r="I878" t="s">
        <v>21</v>
      </c>
      <c r="J878"/>
      <c r="K878"/>
      <c r="L878" s="2" t="s">
        <v>2</v>
      </c>
      <c r="M878" s="5">
        <v>2156400</v>
      </c>
      <c r="N878" s="15"/>
      <c r="O878" s="8"/>
      <c r="P878" t="s">
        <v>21</v>
      </c>
      <c r="Q878"/>
      <c r="R878"/>
      <c r="S878" s="2" t="s">
        <v>2</v>
      </c>
      <c r="T878" s="5">
        <v>0</v>
      </c>
      <c r="U878" s="15"/>
    </row>
    <row r="879" spans="1:21">
      <c r="A879" s="8"/>
      <c r="B879" t="s">
        <v>22</v>
      </c>
      <c r="C879"/>
      <c r="D879"/>
      <c r="E879" s="2" t="s">
        <v>2</v>
      </c>
      <c r="F879" s="5">
        <v>107790</v>
      </c>
      <c r="G879" s="15"/>
      <c r="H879" s="8"/>
      <c r="I879" t="s">
        <v>22</v>
      </c>
      <c r="J879"/>
      <c r="K879"/>
      <c r="L879" s="2" t="s">
        <v>2</v>
      </c>
      <c r="M879" s="5">
        <v>107820</v>
      </c>
      <c r="N879" s="15"/>
      <c r="O879" s="8"/>
      <c r="P879" t="s">
        <v>22</v>
      </c>
      <c r="Q879"/>
      <c r="R879"/>
      <c r="S879" s="2" t="s">
        <v>2</v>
      </c>
      <c r="T879" s="5">
        <v>107550</v>
      </c>
      <c r="U879" s="15"/>
    </row>
    <row r="880" spans="1:21">
      <c r="A880" s="8"/>
      <c r="B880" s="3" t="s">
        <v>23</v>
      </c>
      <c r="C880" s="3"/>
      <c r="D880" s="3"/>
      <c r="E880" s="4" t="s">
        <v>2</v>
      </c>
      <c r="F880" s="6">
        <v>35745</v>
      </c>
      <c r="G880" s="15"/>
      <c r="H880" s="8"/>
      <c r="I880" s="3" t="s">
        <v>23</v>
      </c>
      <c r="J880" s="3"/>
      <c r="K880" s="3"/>
      <c r="L880" s="4" t="s">
        <v>2</v>
      </c>
      <c r="M880" s="6">
        <v>35745</v>
      </c>
      <c r="N880" s="15"/>
      <c r="O880" s="8"/>
      <c r="P880" s="3" t="s">
        <v>23</v>
      </c>
      <c r="Q880" s="3"/>
      <c r="R880" s="3"/>
      <c r="S880" s="4" t="s">
        <v>2</v>
      </c>
      <c r="T880" s="6">
        <v>35745</v>
      </c>
      <c r="U880" s="15"/>
    </row>
    <row r="881" spans="1:21">
      <c r="A881" s="8"/>
      <c r="B881" t="s">
        <v>24</v>
      </c>
      <c r="C881"/>
      <c r="D881"/>
      <c r="E881" s="2" t="s">
        <v>2</v>
      </c>
      <c r="F881" s="5" t="str">
        <f>sum(f878:f880)</f>
        <v>0</v>
      </c>
      <c r="G881" s="15"/>
      <c r="H881" s="8"/>
      <c r="I881" t="s">
        <v>24</v>
      </c>
      <c r="J881"/>
      <c r="K881"/>
      <c r="L881" s="2" t="s">
        <v>2</v>
      </c>
      <c r="M881" s="5" t="str">
        <f>sum(m878:m880)</f>
        <v>0</v>
      </c>
      <c r="N881" s="15"/>
      <c r="O881" s="8"/>
      <c r="P881" t="s">
        <v>24</v>
      </c>
      <c r="Q881"/>
      <c r="R881"/>
      <c r="S881" s="2" t="s">
        <v>2</v>
      </c>
      <c r="T881" s="5" t="str">
        <f>sum(t878:t880)</f>
        <v>0</v>
      </c>
      <c r="U881" s="15"/>
    </row>
    <row r="882" spans="1:21">
      <c r="A882" s="9"/>
      <c r="B882" s="11" t="s">
        <v>25</v>
      </c>
      <c r="C882" s="11"/>
      <c r="D882" s="11"/>
      <c r="E882" s="12" t="s">
        <v>2</v>
      </c>
      <c r="F882" s="13" t="str">
        <f>sum(f872:f875)-f881</f>
        <v>0</v>
      </c>
      <c r="G882" s="16"/>
      <c r="H882" s="9"/>
      <c r="I882" s="11" t="s">
        <v>25</v>
      </c>
      <c r="J882" s="11"/>
      <c r="K882" s="11"/>
      <c r="L882" s="12" t="s">
        <v>2</v>
      </c>
      <c r="M882" s="13" t="str">
        <f>sum(m872:m875)-m881</f>
        <v>0</v>
      </c>
      <c r="N882" s="16"/>
      <c r="O882" s="9"/>
      <c r="P882" s="11" t="s">
        <v>25</v>
      </c>
      <c r="Q882" s="11"/>
      <c r="R882" s="11"/>
      <c r="S882" s="12" t="s">
        <v>2</v>
      </c>
      <c r="T882" s="13" t="str">
        <f>sum(t872:t875)-t881</f>
        <v>0</v>
      </c>
      <c r="U882" s="16"/>
    </row>
    <row r="883" spans="1:21">
      <c r="A883" s="7"/>
      <c r="B883" s="10"/>
      <c r="C883" s="10"/>
      <c r="D883" s="10"/>
      <c r="E883" s="10"/>
      <c r="F883" s="10"/>
      <c r="G883" s="14"/>
      <c r="H883" s="7"/>
      <c r="I883" s="10"/>
      <c r="J883" s="10"/>
      <c r="K883" s="10"/>
      <c r="L883" s="10"/>
      <c r="M883" s="10"/>
      <c r="N883" s="14"/>
      <c r="O883" s="7"/>
      <c r="P883" s="10"/>
      <c r="Q883" s="10"/>
      <c r="R883" s="10"/>
      <c r="S883" s="10"/>
      <c r="T883" s="10"/>
      <c r="U883" s="14"/>
    </row>
    <row r="884" spans="1:21">
      <c r="A884" s="8"/>
      <c r="B884" s="1" t="s">
        <v>0</v>
      </c>
      <c r="C884"/>
      <c r="D884"/>
      <c r="E884"/>
      <c r="F884"/>
      <c r="G884" s="15"/>
      <c r="H884" s="8"/>
      <c r="I884" s="1" t="s">
        <v>0</v>
      </c>
      <c r="J884"/>
      <c r="K884"/>
      <c r="L884"/>
      <c r="M884"/>
      <c r="N884" s="15"/>
      <c r="O884" s="8"/>
      <c r="P884" s="1" t="s">
        <v>0</v>
      </c>
      <c r="Q884"/>
      <c r="R884"/>
      <c r="S884"/>
      <c r="T884"/>
      <c r="U884" s="15"/>
    </row>
    <row r="885" spans="1:21">
      <c r="A885" s="8"/>
      <c r="B885" t="s">
        <v>1</v>
      </c>
      <c r="C885" s="2" t="s">
        <v>2</v>
      </c>
      <c r="D885" t="s">
        <v>315</v>
      </c>
      <c r="E885"/>
      <c r="F885"/>
      <c r="G885" s="15"/>
      <c r="H885" s="8"/>
      <c r="I885" t="s">
        <v>1</v>
      </c>
      <c r="J885" s="2" t="s">
        <v>2</v>
      </c>
      <c r="K885" t="s">
        <v>316</v>
      </c>
      <c r="L885"/>
      <c r="M885"/>
      <c r="N885" s="15"/>
      <c r="O885" s="8"/>
      <c r="P885" t="s">
        <v>1</v>
      </c>
      <c r="Q885" s="2" t="s">
        <v>2</v>
      </c>
      <c r="R885" t="s">
        <v>317</v>
      </c>
      <c r="S885"/>
      <c r="T885"/>
      <c r="U885" s="15"/>
    </row>
    <row r="886" spans="1:21">
      <c r="A886" s="8"/>
      <c r="B886" t="s">
        <v>6</v>
      </c>
      <c r="C886" s="2" t="s">
        <v>2</v>
      </c>
      <c r="D886" t="s">
        <v>318</v>
      </c>
      <c r="E886"/>
      <c r="F886"/>
      <c r="G886" s="15"/>
      <c r="H886" s="8"/>
      <c r="I886" t="s">
        <v>6</v>
      </c>
      <c r="J886" s="2" t="s">
        <v>2</v>
      </c>
      <c r="K886" t="s">
        <v>319</v>
      </c>
      <c r="L886"/>
      <c r="M886"/>
      <c r="N886" s="15"/>
      <c r="O886" s="8"/>
      <c r="P886" t="s">
        <v>6</v>
      </c>
      <c r="Q886" s="2" t="s">
        <v>2</v>
      </c>
      <c r="R886" t="s">
        <v>320</v>
      </c>
      <c r="S886"/>
      <c r="T886"/>
      <c r="U886" s="15"/>
    </row>
    <row r="887" spans="1:21">
      <c r="A887" s="8"/>
      <c r="B887" t="s">
        <v>10</v>
      </c>
      <c r="C887" s="2" t="s">
        <v>2</v>
      </c>
      <c r="D887" t="s">
        <v>321</v>
      </c>
      <c r="E887"/>
      <c r="F887"/>
      <c r="G887" s="15"/>
      <c r="H887" s="8"/>
      <c r="I887" t="s">
        <v>10</v>
      </c>
      <c r="J887" s="2" t="s">
        <v>2</v>
      </c>
      <c r="K887" t="s">
        <v>321</v>
      </c>
      <c r="L887"/>
      <c r="M887"/>
      <c r="N887" s="15"/>
      <c r="O887" s="8"/>
      <c r="P887" t="s">
        <v>10</v>
      </c>
      <c r="Q887" s="2" t="s">
        <v>2</v>
      </c>
      <c r="R887" t="s">
        <v>321</v>
      </c>
      <c r="S887"/>
      <c r="T887"/>
      <c r="U887" s="15"/>
    </row>
    <row r="888" spans="1:21">
      <c r="A888" s="8"/>
      <c r="B888" t="s">
        <v>12</v>
      </c>
      <c r="C888" s="2" t="s">
        <v>2</v>
      </c>
      <c r="D888" t="s">
        <v>13</v>
      </c>
      <c r="E888"/>
      <c r="F888"/>
      <c r="G888" s="15"/>
      <c r="H888" s="8"/>
      <c r="I888" t="s">
        <v>12</v>
      </c>
      <c r="J888" s="2" t="s">
        <v>2</v>
      </c>
      <c r="K888" t="s">
        <v>13</v>
      </c>
      <c r="L888"/>
      <c r="M888"/>
      <c r="N888" s="15"/>
      <c r="O888" s="8"/>
      <c r="P888" t="s">
        <v>12</v>
      </c>
      <c r="Q888" s="2" t="s">
        <v>2</v>
      </c>
      <c r="R888" t="s">
        <v>13</v>
      </c>
      <c r="S888"/>
      <c r="T888"/>
      <c r="U888" s="15"/>
    </row>
    <row r="889" spans="1:21">
      <c r="A889" s="8"/>
      <c r="B889" s="3" t="s">
        <v>14</v>
      </c>
      <c r="C889" s="4" t="s">
        <v>2</v>
      </c>
      <c r="D889" s="3" t="s">
        <v>15</v>
      </c>
      <c r="E889" s="3"/>
      <c r="F889" s="3"/>
      <c r="G889" s="15"/>
      <c r="H889" s="8"/>
      <c r="I889" s="3" t="s">
        <v>14</v>
      </c>
      <c r="J889" s="4" t="s">
        <v>2</v>
      </c>
      <c r="K889" s="3" t="s">
        <v>15</v>
      </c>
      <c r="L889" s="3"/>
      <c r="M889" s="3"/>
      <c r="N889" s="15"/>
      <c r="O889" s="8"/>
      <c r="P889" s="3" t="s">
        <v>14</v>
      </c>
      <c r="Q889" s="4" t="s">
        <v>2</v>
      </c>
      <c r="R889" s="3" t="s">
        <v>15</v>
      </c>
      <c r="S889" s="3"/>
      <c r="T889" s="3"/>
      <c r="U889" s="15"/>
    </row>
    <row r="890" spans="1:21">
      <c r="A890" s="8"/>
      <c r="B890" t="s">
        <v>16</v>
      </c>
      <c r="C890"/>
      <c r="D890"/>
      <c r="E890" s="2" t="s">
        <v>2</v>
      </c>
      <c r="F890" s="5">
        <v>3595000</v>
      </c>
      <c r="G890" s="15"/>
      <c r="H890" s="8"/>
      <c r="I890" t="s">
        <v>16</v>
      </c>
      <c r="J890"/>
      <c r="K890"/>
      <c r="L890" s="2" t="s">
        <v>2</v>
      </c>
      <c r="M890" s="5">
        <v>3595000</v>
      </c>
      <c r="N890" s="15"/>
      <c r="O890" s="8"/>
      <c r="P890" t="s">
        <v>16</v>
      </c>
      <c r="Q890"/>
      <c r="R890"/>
      <c r="S890" s="2" t="s">
        <v>2</v>
      </c>
      <c r="T890" s="5">
        <v>3597000</v>
      </c>
      <c r="U890" s="15"/>
    </row>
    <row r="891" spans="1:21">
      <c r="A891" s="8"/>
      <c r="B891" t="s">
        <v>17</v>
      </c>
      <c r="C891"/>
      <c r="D891"/>
      <c r="E891" s="2" t="s">
        <v>2</v>
      </c>
      <c r="F891" s="5">
        <v>80000</v>
      </c>
      <c r="G891" s="15"/>
      <c r="H891" s="8"/>
      <c r="I891" t="s">
        <v>17</v>
      </c>
      <c r="J891"/>
      <c r="K891"/>
      <c r="L891" s="2" t="s">
        <v>2</v>
      </c>
      <c r="M891" s="5">
        <v>80000</v>
      </c>
      <c r="N891" s="15"/>
      <c r="O891" s="8"/>
      <c r="P891" t="s">
        <v>17</v>
      </c>
      <c r="Q891"/>
      <c r="R891"/>
      <c r="S891" s="2" t="s">
        <v>2</v>
      </c>
      <c r="T891" s="5">
        <v>80000</v>
      </c>
      <c r="U891" s="15"/>
    </row>
    <row r="892" spans="1:21">
      <c r="A892" s="8"/>
      <c r="B892" t="s">
        <v>18</v>
      </c>
      <c r="C892"/>
      <c r="D892"/>
      <c r="E892" s="2" t="s">
        <v>2</v>
      </c>
      <c r="F892" s="5">
        <v>0</v>
      </c>
      <c r="G892" s="15"/>
      <c r="H892" s="8"/>
      <c r="I892" t="s">
        <v>18</v>
      </c>
      <c r="J892"/>
      <c r="K892"/>
      <c r="L892" s="2" t="s">
        <v>2</v>
      </c>
      <c r="M892" s="5">
        <v>25000</v>
      </c>
      <c r="N892" s="15"/>
      <c r="O892" s="8"/>
      <c r="P892" t="s">
        <v>18</v>
      </c>
      <c r="Q892"/>
      <c r="R892"/>
      <c r="S892" s="2" t="s">
        <v>2</v>
      </c>
      <c r="T892" s="5">
        <v>25000</v>
      </c>
      <c r="U892" s="15"/>
    </row>
    <row r="893" spans="1:21">
      <c r="A893" s="8"/>
      <c r="B893" t="s">
        <v>19</v>
      </c>
      <c r="C893"/>
      <c r="D893"/>
      <c r="E893" s="2" t="s">
        <v>2</v>
      </c>
      <c r="F893" s="5">
        <v>6000</v>
      </c>
      <c r="G893" s="15"/>
      <c r="H893" s="8"/>
      <c r="I893" t="s">
        <v>19</v>
      </c>
      <c r="J893"/>
      <c r="K893"/>
      <c r="L893" s="2" t="s">
        <v>2</v>
      </c>
      <c r="M893" s="5">
        <v>10000</v>
      </c>
      <c r="N893" s="15"/>
      <c r="O893" s="8"/>
      <c r="P893" t="s">
        <v>19</v>
      </c>
      <c r="Q893"/>
      <c r="R893"/>
      <c r="S893" s="2" t="s">
        <v>2</v>
      </c>
      <c r="T893" s="5">
        <v>20000</v>
      </c>
      <c r="U893" s="15"/>
    </row>
    <row r="894" spans="1:21">
      <c r="A894" s="8"/>
      <c r="B894"/>
      <c r="C894"/>
      <c r="D894"/>
      <c r="E894"/>
      <c r="F894"/>
      <c r="G894" s="15"/>
      <c r="H894" s="8"/>
      <c r="I894"/>
      <c r="J894"/>
      <c r="K894"/>
      <c r="L894"/>
      <c r="M894"/>
      <c r="N894" s="15"/>
      <c r="O894" s="8"/>
      <c r="P894"/>
      <c r="Q894"/>
      <c r="R894"/>
      <c r="S894"/>
      <c r="T894"/>
      <c r="U894" s="15"/>
    </row>
    <row r="895" spans="1:21">
      <c r="A895" s="8"/>
      <c r="B895" s="2" t="s">
        <v>20</v>
      </c>
      <c r="C895"/>
      <c r="D895"/>
      <c r="E895"/>
      <c r="F895"/>
      <c r="G895" s="15"/>
      <c r="H895" s="8"/>
      <c r="I895" s="2" t="s">
        <v>20</v>
      </c>
      <c r="J895"/>
      <c r="K895"/>
      <c r="L895"/>
      <c r="M895"/>
      <c r="N895" s="15"/>
      <c r="O895" s="8"/>
      <c r="P895" s="2" t="s">
        <v>20</v>
      </c>
      <c r="Q895"/>
      <c r="R895"/>
      <c r="S895"/>
      <c r="T895"/>
      <c r="U895" s="15"/>
    </row>
    <row r="896" spans="1:21">
      <c r="A896" s="8"/>
      <c r="B896" t="s">
        <v>21</v>
      </c>
      <c r="C896"/>
      <c r="D896"/>
      <c r="E896" s="2" t="s">
        <v>2</v>
      </c>
      <c r="F896" s="5">
        <v>2157000</v>
      </c>
      <c r="G896" s="15"/>
      <c r="H896" s="8"/>
      <c r="I896" t="s">
        <v>21</v>
      </c>
      <c r="J896"/>
      <c r="K896"/>
      <c r="L896" s="2" t="s">
        <v>2</v>
      </c>
      <c r="M896" s="5">
        <v>0</v>
      </c>
      <c r="N896" s="15"/>
      <c r="O896" s="8"/>
      <c r="P896" t="s">
        <v>21</v>
      </c>
      <c r="Q896"/>
      <c r="R896"/>
      <c r="S896" s="2" t="s">
        <v>2</v>
      </c>
      <c r="T896" s="5">
        <v>0</v>
      </c>
      <c r="U896" s="15"/>
    </row>
    <row r="897" spans="1:21">
      <c r="A897" s="8"/>
      <c r="B897" t="s">
        <v>22</v>
      </c>
      <c r="C897"/>
      <c r="D897"/>
      <c r="E897" s="2" t="s">
        <v>2</v>
      </c>
      <c r="F897" s="5">
        <v>107850</v>
      </c>
      <c r="G897" s="15"/>
      <c r="H897" s="8"/>
      <c r="I897" t="s">
        <v>22</v>
      </c>
      <c r="J897"/>
      <c r="K897"/>
      <c r="L897" s="2" t="s">
        <v>2</v>
      </c>
      <c r="M897" s="5">
        <v>107850</v>
      </c>
      <c r="N897" s="15"/>
      <c r="O897" s="8"/>
      <c r="P897" t="s">
        <v>22</v>
      </c>
      <c r="Q897"/>
      <c r="R897"/>
      <c r="S897" s="2" t="s">
        <v>2</v>
      </c>
      <c r="T897" s="5">
        <v>107910</v>
      </c>
      <c r="U897" s="15"/>
    </row>
    <row r="898" spans="1:21">
      <c r="A898" s="8"/>
      <c r="B898" s="3" t="s">
        <v>23</v>
      </c>
      <c r="C898" s="3"/>
      <c r="D898" s="3"/>
      <c r="E898" s="4" t="s">
        <v>2</v>
      </c>
      <c r="F898" s="6">
        <v>35745</v>
      </c>
      <c r="G898" s="15"/>
      <c r="H898" s="8"/>
      <c r="I898" s="3" t="s">
        <v>23</v>
      </c>
      <c r="J898" s="3"/>
      <c r="K898" s="3"/>
      <c r="L898" s="4" t="s">
        <v>2</v>
      </c>
      <c r="M898" s="6">
        <v>35745</v>
      </c>
      <c r="N898" s="15"/>
      <c r="O898" s="8"/>
      <c r="P898" s="3" t="s">
        <v>23</v>
      </c>
      <c r="Q898" s="3"/>
      <c r="R898" s="3"/>
      <c r="S898" s="4" t="s">
        <v>2</v>
      </c>
      <c r="T898" s="6">
        <v>35745</v>
      </c>
      <c r="U898" s="15"/>
    </row>
    <row r="899" spans="1:21">
      <c r="A899" s="8"/>
      <c r="B899" t="s">
        <v>24</v>
      </c>
      <c r="C899"/>
      <c r="D899"/>
      <c r="E899" s="2" t="s">
        <v>2</v>
      </c>
      <c r="F899" s="5" t="str">
        <f>sum(f896:f898)</f>
        <v>0</v>
      </c>
      <c r="G899" s="15"/>
      <c r="H899" s="8"/>
      <c r="I899" t="s">
        <v>24</v>
      </c>
      <c r="J899"/>
      <c r="K899"/>
      <c r="L899" s="2" t="s">
        <v>2</v>
      </c>
      <c r="M899" s="5" t="str">
        <f>sum(m896:m898)</f>
        <v>0</v>
      </c>
      <c r="N899" s="15"/>
      <c r="O899" s="8"/>
      <c r="P899" t="s">
        <v>24</v>
      </c>
      <c r="Q899"/>
      <c r="R899"/>
      <c r="S899" s="2" t="s">
        <v>2</v>
      </c>
      <c r="T899" s="5" t="str">
        <f>sum(t896:t898)</f>
        <v>0</v>
      </c>
      <c r="U899" s="15"/>
    </row>
    <row r="900" spans="1:21">
      <c r="A900" s="9"/>
      <c r="B900" s="11" t="s">
        <v>25</v>
      </c>
      <c r="C900" s="11"/>
      <c r="D900" s="11"/>
      <c r="E900" s="12" t="s">
        <v>2</v>
      </c>
      <c r="F900" s="13" t="str">
        <f>sum(f890:f893)-f899</f>
        <v>0</v>
      </c>
      <c r="G900" s="16"/>
      <c r="H900" s="9"/>
      <c r="I900" s="11" t="s">
        <v>25</v>
      </c>
      <c r="J900" s="11"/>
      <c r="K900" s="11"/>
      <c r="L900" s="12" t="s">
        <v>2</v>
      </c>
      <c r="M900" s="13" t="str">
        <f>sum(m890:m893)-m899</f>
        <v>0</v>
      </c>
      <c r="N900" s="16"/>
      <c r="O900" s="9"/>
      <c r="P900" s="11" t="s">
        <v>25</v>
      </c>
      <c r="Q900" s="11"/>
      <c r="R900" s="11"/>
      <c r="S900" s="12" t="s">
        <v>2</v>
      </c>
      <c r="T900" s="13" t="str">
        <f>sum(t890:t893)-t899</f>
        <v>0</v>
      </c>
      <c r="U900" s="16"/>
    </row>
    <row r="901" spans="1:21">
      <c r="A901" s="7"/>
      <c r="B901" s="10"/>
      <c r="C901" s="10"/>
      <c r="D901" s="10"/>
      <c r="E901" s="10"/>
      <c r="F901" s="10"/>
      <c r="G901" s="14"/>
      <c r="H901" s="7"/>
      <c r="I901" s="10"/>
      <c r="J901" s="10"/>
      <c r="K901" s="10"/>
      <c r="L901" s="10"/>
      <c r="M901" s="10"/>
      <c r="N901" s="14"/>
      <c r="O901" s="7"/>
      <c r="P901" s="10"/>
      <c r="Q901" s="10"/>
      <c r="R901" s="10"/>
      <c r="S901" s="10"/>
      <c r="T901" s="10"/>
      <c r="U901" s="14"/>
    </row>
    <row r="902" spans="1:21">
      <c r="A902" s="8"/>
      <c r="B902" s="1" t="s">
        <v>0</v>
      </c>
      <c r="C902"/>
      <c r="D902"/>
      <c r="E902"/>
      <c r="F902"/>
      <c r="G902" s="15"/>
      <c r="H902" s="8"/>
      <c r="I902" s="1" t="s">
        <v>0</v>
      </c>
      <c r="J902"/>
      <c r="K902"/>
      <c r="L902"/>
      <c r="M902"/>
      <c r="N902" s="15"/>
      <c r="O902" s="8"/>
      <c r="P902" s="1" t="s">
        <v>0</v>
      </c>
      <c r="Q902"/>
      <c r="R902"/>
      <c r="S902"/>
      <c r="T902"/>
      <c r="U902" s="15"/>
    </row>
    <row r="903" spans="1:21">
      <c r="A903" s="8"/>
      <c r="B903" t="s">
        <v>1</v>
      </c>
      <c r="C903" s="2" t="s">
        <v>2</v>
      </c>
      <c r="D903" t="s">
        <v>322</v>
      </c>
      <c r="E903"/>
      <c r="F903"/>
      <c r="G903" s="15"/>
      <c r="H903" s="8"/>
      <c r="I903" t="s">
        <v>1</v>
      </c>
      <c r="J903" s="2" t="s">
        <v>2</v>
      </c>
      <c r="K903" t="s">
        <v>323</v>
      </c>
      <c r="L903"/>
      <c r="M903"/>
      <c r="N903" s="15"/>
      <c r="O903" s="8"/>
      <c r="P903" t="s">
        <v>1</v>
      </c>
      <c r="Q903" s="2" t="s">
        <v>2</v>
      </c>
      <c r="R903" t="s">
        <v>324</v>
      </c>
      <c r="S903"/>
      <c r="T903"/>
      <c r="U903" s="15"/>
    </row>
    <row r="904" spans="1:21">
      <c r="A904" s="8"/>
      <c r="B904" t="s">
        <v>6</v>
      </c>
      <c r="C904" s="2" t="s">
        <v>2</v>
      </c>
      <c r="D904" t="s">
        <v>325</v>
      </c>
      <c r="E904"/>
      <c r="F904"/>
      <c r="G904" s="15"/>
      <c r="H904" s="8"/>
      <c r="I904" t="s">
        <v>6</v>
      </c>
      <c r="J904" s="2" t="s">
        <v>2</v>
      </c>
      <c r="K904" t="s">
        <v>326</v>
      </c>
      <c r="L904"/>
      <c r="M904"/>
      <c r="N904" s="15"/>
      <c r="O904" s="8"/>
      <c r="P904" t="s">
        <v>6</v>
      </c>
      <c r="Q904" s="2" t="s">
        <v>2</v>
      </c>
      <c r="R904" t="s">
        <v>327</v>
      </c>
      <c r="S904"/>
      <c r="T904"/>
      <c r="U904" s="15"/>
    </row>
    <row r="905" spans="1:21">
      <c r="A905" s="8"/>
      <c r="B905" t="s">
        <v>10</v>
      </c>
      <c r="C905" s="2" t="s">
        <v>2</v>
      </c>
      <c r="D905" t="s">
        <v>328</v>
      </c>
      <c r="E905"/>
      <c r="F905"/>
      <c r="G905" s="15"/>
      <c r="H905" s="8"/>
      <c r="I905" t="s">
        <v>10</v>
      </c>
      <c r="J905" s="2" t="s">
        <v>2</v>
      </c>
      <c r="K905" t="s">
        <v>328</v>
      </c>
      <c r="L905"/>
      <c r="M905"/>
      <c r="N905" s="15"/>
      <c r="O905" s="8"/>
      <c r="P905" t="s">
        <v>10</v>
      </c>
      <c r="Q905" s="2" t="s">
        <v>2</v>
      </c>
      <c r="R905" t="s">
        <v>328</v>
      </c>
      <c r="S905"/>
      <c r="T905"/>
      <c r="U905" s="15"/>
    </row>
    <row r="906" spans="1:21">
      <c r="A906" s="8"/>
      <c r="B906" t="s">
        <v>12</v>
      </c>
      <c r="C906" s="2" t="s">
        <v>2</v>
      </c>
      <c r="D906" t="s">
        <v>13</v>
      </c>
      <c r="E906"/>
      <c r="F906"/>
      <c r="G906" s="15"/>
      <c r="H906" s="8"/>
      <c r="I906" t="s">
        <v>12</v>
      </c>
      <c r="J906" s="2" t="s">
        <v>2</v>
      </c>
      <c r="K906" t="s">
        <v>13</v>
      </c>
      <c r="L906"/>
      <c r="M906"/>
      <c r="N906" s="15"/>
      <c r="O906" s="8"/>
      <c r="P906" t="s">
        <v>12</v>
      </c>
      <c r="Q906" s="2" t="s">
        <v>2</v>
      </c>
      <c r="R906" t="s">
        <v>13</v>
      </c>
      <c r="S906"/>
      <c r="T906"/>
      <c r="U906" s="15"/>
    </row>
    <row r="907" spans="1:21">
      <c r="A907" s="8"/>
      <c r="B907" s="3" t="s">
        <v>14</v>
      </c>
      <c r="C907" s="4" t="s">
        <v>2</v>
      </c>
      <c r="D907" s="3" t="s">
        <v>15</v>
      </c>
      <c r="E907" s="3"/>
      <c r="F907" s="3"/>
      <c r="G907" s="15"/>
      <c r="H907" s="8"/>
      <c r="I907" s="3" t="s">
        <v>14</v>
      </c>
      <c r="J907" s="4" t="s">
        <v>2</v>
      </c>
      <c r="K907" s="3" t="s">
        <v>15</v>
      </c>
      <c r="L907" s="3"/>
      <c r="M907" s="3"/>
      <c r="N907" s="15"/>
      <c r="O907" s="8"/>
      <c r="P907" s="3" t="s">
        <v>14</v>
      </c>
      <c r="Q907" s="4" t="s">
        <v>2</v>
      </c>
      <c r="R907" s="3" t="s">
        <v>15</v>
      </c>
      <c r="S907" s="3"/>
      <c r="T907" s="3"/>
      <c r="U907" s="15"/>
    </row>
    <row r="908" spans="1:21">
      <c r="A908" s="8"/>
      <c r="B908" t="s">
        <v>16</v>
      </c>
      <c r="C908"/>
      <c r="D908"/>
      <c r="E908" s="2" t="s">
        <v>2</v>
      </c>
      <c r="F908" s="5">
        <v>3609000</v>
      </c>
      <c r="G908" s="15"/>
      <c r="H908" s="8"/>
      <c r="I908" t="s">
        <v>16</v>
      </c>
      <c r="J908"/>
      <c r="K908"/>
      <c r="L908" s="2" t="s">
        <v>2</v>
      </c>
      <c r="M908" s="5">
        <v>3599000</v>
      </c>
      <c r="N908" s="15"/>
      <c r="O908" s="8"/>
      <c r="P908" t="s">
        <v>16</v>
      </c>
      <c r="Q908"/>
      <c r="R908"/>
      <c r="S908" s="2" t="s">
        <v>2</v>
      </c>
      <c r="T908" s="5">
        <v>3597000</v>
      </c>
      <c r="U908" s="15"/>
    </row>
    <row r="909" spans="1:21">
      <c r="A909" s="8"/>
      <c r="B909" t="s">
        <v>17</v>
      </c>
      <c r="C909"/>
      <c r="D909"/>
      <c r="E909" s="2" t="s">
        <v>2</v>
      </c>
      <c r="F909" s="5">
        <v>80000</v>
      </c>
      <c r="G909" s="15"/>
      <c r="H909" s="8"/>
      <c r="I909" t="s">
        <v>17</v>
      </c>
      <c r="J909"/>
      <c r="K909"/>
      <c r="L909" s="2" t="s">
        <v>2</v>
      </c>
      <c r="M909" s="5">
        <v>80000</v>
      </c>
      <c r="N909" s="15"/>
      <c r="O909" s="8"/>
      <c r="P909" t="s">
        <v>17</v>
      </c>
      <c r="Q909"/>
      <c r="R909"/>
      <c r="S909" s="2" t="s">
        <v>2</v>
      </c>
      <c r="T909" s="5">
        <v>0</v>
      </c>
      <c r="U909" s="15"/>
    </row>
    <row r="910" spans="1:21">
      <c r="A910" s="8"/>
      <c r="B910" t="s">
        <v>18</v>
      </c>
      <c r="C910"/>
      <c r="D910"/>
      <c r="E910" s="2" t="s">
        <v>2</v>
      </c>
      <c r="F910" s="5">
        <v>0</v>
      </c>
      <c r="G910" s="15"/>
      <c r="H910" s="8"/>
      <c r="I910" t="s">
        <v>18</v>
      </c>
      <c r="J910"/>
      <c r="K910"/>
      <c r="L910" s="2" t="s">
        <v>2</v>
      </c>
      <c r="M910" s="5">
        <v>0</v>
      </c>
      <c r="N910" s="15"/>
      <c r="O910" s="8"/>
      <c r="P910" t="s">
        <v>18</v>
      </c>
      <c r="Q910"/>
      <c r="R910"/>
      <c r="S910" s="2" t="s">
        <v>2</v>
      </c>
      <c r="T910" s="5">
        <v>0</v>
      </c>
      <c r="U910" s="15"/>
    </row>
    <row r="911" spans="1:21">
      <c r="A911" s="8"/>
      <c r="B911" t="s">
        <v>19</v>
      </c>
      <c r="C911"/>
      <c r="D911"/>
      <c r="E911" s="2" t="s">
        <v>2</v>
      </c>
      <c r="F911" s="5">
        <v>2000</v>
      </c>
      <c r="G911" s="15"/>
      <c r="H911" s="8"/>
      <c r="I911" t="s">
        <v>19</v>
      </c>
      <c r="J911"/>
      <c r="K911"/>
      <c r="L911" s="2" t="s">
        <v>2</v>
      </c>
      <c r="M911" s="5">
        <v>4000</v>
      </c>
      <c r="N911" s="15"/>
      <c r="O911" s="8"/>
      <c r="P911" t="s">
        <v>19</v>
      </c>
      <c r="Q911"/>
      <c r="R911"/>
      <c r="S911" s="2" t="s">
        <v>2</v>
      </c>
      <c r="T911" s="5">
        <v>0</v>
      </c>
      <c r="U911" s="15"/>
    </row>
    <row r="912" spans="1:21">
      <c r="A912" s="8"/>
      <c r="B912"/>
      <c r="C912"/>
      <c r="D912"/>
      <c r="E912"/>
      <c r="F912"/>
      <c r="G912" s="15"/>
      <c r="H912" s="8"/>
      <c r="I912"/>
      <c r="J912"/>
      <c r="K912"/>
      <c r="L912"/>
      <c r="M912"/>
      <c r="N912" s="15"/>
      <c r="O912" s="8"/>
      <c r="P912"/>
      <c r="Q912"/>
      <c r="R912"/>
      <c r="S912"/>
      <c r="T912"/>
      <c r="U912" s="15"/>
    </row>
    <row r="913" spans="1:21">
      <c r="A913" s="8"/>
      <c r="B913" s="2" t="s">
        <v>20</v>
      </c>
      <c r="C913"/>
      <c r="D913"/>
      <c r="E913"/>
      <c r="F913"/>
      <c r="G913" s="15"/>
      <c r="H913" s="8"/>
      <c r="I913" s="2" t="s">
        <v>20</v>
      </c>
      <c r="J913"/>
      <c r="K913"/>
      <c r="L913"/>
      <c r="M913"/>
      <c r="N913" s="15"/>
      <c r="O913" s="8"/>
      <c r="P913" s="2" t="s">
        <v>20</v>
      </c>
      <c r="Q913"/>
      <c r="R913"/>
      <c r="S913"/>
      <c r="T913"/>
      <c r="U913" s="15"/>
    </row>
    <row r="914" spans="1:21">
      <c r="A914" s="8"/>
      <c r="B914" t="s">
        <v>21</v>
      </c>
      <c r="C914"/>
      <c r="D914"/>
      <c r="E914" s="2" t="s">
        <v>2</v>
      </c>
      <c r="F914" s="5">
        <v>1684200</v>
      </c>
      <c r="G914" s="15"/>
      <c r="H914" s="8"/>
      <c r="I914" t="s">
        <v>21</v>
      </c>
      <c r="J914"/>
      <c r="K914"/>
      <c r="L914" s="2" t="s">
        <v>2</v>
      </c>
      <c r="M914" s="5">
        <v>1679533.38</v>
      </c>
      <c r="N914" s="15"/>
      <c r="O914" s="8"/>
      <c r="P914" t="s">
        <v>21</v>
      </c>
      <c r="Q914"/>
      <c r="R914"/>
      <c r="S914" s="2" t="s">
        <v>2</v>
      </c>
      <c r="T914" s="5">
        <v>1438800</v>
      </c>
      <c r="U914" s="15"/>
    </row>
    <row r="915" spans="1:21">
      <c r="A915" s="8"/>
      <c r="B915" t="s">
        <v>22</v>
      </c>
      <c r="C915"/>
      <c r="D915"/>
      <c r="E915" s="2" t="s">
        <v>2</v>
      </c>
      <c r="F915" s="5">
        <v>108270</v>
      </c>
      <c r="G915" s="15"/>
      <c r="H915" s="8"/>
      <c r="I915" t="s">
        <v>22</v>
      </c>
      <c r="J915"/>
      <c r="K915"/>
      <c r="L915" s="2" t="s">
        <v>2</v>
      </c>
      <c r="M915" s="5">
        <v>107970</v>
      </c>
      <c r="N915" s="15"/>
      <c r="O915" s="8"/>
      <c r="P915" t="s">
        <v>22</v>
      </c>
      <c r="Q915"/>
      <c r="R915"/>
      <c r="S915" s="2" t="s">
        <v>2</v>
      </c>
      <c r="T915" s="5">
        <v>107910</v>
      </c>
      <c r="U915" s="15"/>
    </row>
    <row r="916" spans="1:21">
      <c r="A916" s="8"/>
      <c r="B916" s="3" t="s">
        <v>23</v>
      </c>
      <c r="C916" s="3"/>
      <c r="D916" s="3"/>
      <c r="E916" s="4" t="s">
        <v>2</v>
      </c>
      <c r="F916" s="6">
        <v>35745</v>
      </c>
      <c r="G916" s="15"/>
      <c r="H916" s="8"/>
      <c r="I916" s="3" t="s">
        <v>23</v>
      </c>
      <c r="J916" s="3"/>
      <c r="K916" s="3"/>
      <c r="L916" s="4" t="s">
        <v>2</v>
      </c>
      <c r="M916" s="6">
        <v>35745</v>
      </c>
      <c r="N916" s="15"/>
      <c r="O916" s="8"/>
      <c r="P916" s="3" t="s">
        <v>23</v>
      </c>
      <c r="Q916" s="3"/>
      <c r="R916" s="3"/>
      <c r="S916" s="4" t="s">
        <v>2</v>
      </c>
      <c r="T916" s="6">
        <v>35745</v>
      </c>
      <c r="U916" s="15"/>
    </row>
    <row r="917" spans="1:21">
      <c r="A917" s="8"/>
      <c r="B917" t="s">
        <v>24</v>
      </c>
      <c r="C917"/>
      <c r="D917"/>
      <c r="E917" s="2" t="s">
        <v>2</v>
      </c>
      <c r="F917" s="5" t="str">
        <f>sum(f914:f916)</f>
        <v>0</v>
      </c>
      <c r="G917" s="15"/>
      <c r="H917" s="8"/>
      <c r="I917" t="s">
        <v>24</v>
      </c>
      <c r="J917"/>
      <c r="K917"/>
      <c r="L917" s="2" t="s">
        <v>2</v>
      </c>
      <c r="M917" s="5" t="str">
        <f>sum(m914:m916)</f>
        <v>0</v>
      </c>
      <c r="N917" s="15"/>
      <c r="O917" s="8"/>
      <c r="P917" t="s">
        <v>24</v>
      </c>
      <c r="Q917"/>
      <c r="R917"/>
      <c r="S917" s="2" t="s">
        <v>2</v>
      </c>
      <c r="T917" s="5" t="str">
        <f>sum(t914:t916)</f>
        <v>0</v>
      </c>
      <c r="U917" s="15"/>
    </row>
    <row r="918" spans="1:21">
      <c r="A918" s="9"/>
      <c r="B918" s="11" t="s">
        <v>25</v>
      </c>
      <c r="C918" s="11"/>
      <c r="D918" s="11"/>
      <c r="E918" s="12" t="s">
        <v>2</v>
      </c>
      <c r="F918" s="13" t="str">
        <f>sum(f908:f911)-f917</f>
        <v>0</v>
      </c>
      <c r="G918" s="16"/>
      <c r="H918" s="9"/>
      <c r="I918" s="11" t="s">
        <v>25</v>
      </c>
      <c r="J918" s="11"/>
      <c r="K918" s="11"/>
      <c r="L918" s="12" t="s">
        <v>2</v>
      </c>
      <c r="M918" s="13" t="str">
        <f>sum(m908:m911)-m917</f>
        <v>0</v>
      </c>
      <c r="N918" s="16"/>
      <c r="O918" s="9"/>
      <c r="P918" s="11" t="s">
        <v>25</v>
      </c>
      <c r="Q918" s="11"/>
      <c r="R918" s="11"/>
      <c r="S918" s="12" t="s">
        <v>2</v>
      </c>
      <c r="T918" s="13" t="str">
        <f>sum(t908:t911)-t917</f>
        <v>0</v>
      </c>
      <c r="U918" s="16"/>
    </row>
    <row r="919" spans="1:21">
      <c r="A919" s="7"/>
      <c r="B919" s="10"/>
      <c r="C919" s="10"/>
      <c r="D919" s="10"/>
      <c r="E919" s="10"/>
      <c r="F919" s="10"/>
      <c r="G919" s="14"/>
      <c r="H919" s="7"/>
      <c r="I919" s="10"/>
      <c r="J919" s="10"/>
      <c r="K919" s="10"/>
      <c r="L919" s="10"/>
      <c r="M919" s="10"/>
      <c r="N919" s="14"/>
      <c r="O919" s="7"/>
      <c r="P919" s="10"/>
      <c r="Q919" s="10"/>
      <c r="R919" s="10"/>
      <c r="S919" s="10"/>
      <c r="T919" s="10"/>
      <c r="U919" s="14"/>
    </row>
    <row r="920" spans="1:21">
      <c r="A920" s="8"/>
      <c r="B920" s="1" t="s">
        <v>0</v>
      </c>
      <c r="C920"/>
      <c r="D920"/>
      <c r="E920"/>
      <c r="F920"/>
      <c r="G920" s="15"/>
      <c r="H920" s="8"/>
      <c r="I920" s="1" t="s">
        <v>0</v>
      </c>
      <c r="J920"/>
      <c r="K920"/>
      <c r="L920"/>
      <c r="M920"/>
      <c r="N920" s="15"/>
      <c r="O920" s="8"/>
      <c r="P920" s="1" t="s">
        <v>0</v>
      </c>
      <c r="Q920"/>
      <c r="R920"/>
      <c r="S920"/>
      <c r="T920"/>
      <c r="U920" s="15"/>
    </row>
    <row r="921" spans="1:21">
      <c r="A921" s="8"/>
      <c r="B921" t="s">
        <v>1</v>
      </c>
      <c r="C921" s="2" t="s">
        <v>2</v>
      </c>
      <c r="D921" t="s">
        <v>329</v>
      </c>
      <c r="E921"/>
      <c r="F921"/>
      <c r="G921" s="15"/>
      <c r="H921" s="8"/>
      <c r="I921" t="s">
        <v>1</v>
      </c>
      <c r="J921" s="2" t="s">
        <v>2</v>
      </c>
      <c r="K921" t="s">
        <v>330</v>
      </c>
      <c r="L921"/>
      <c r="M921"/>
      <c r="N921" s="15"/>
      <c r="O921" s="8"/>
      <c r="P921" t="s">
        <v>1</v>
      </c>
      <c r="Q921" s="2" t="s">
        <v>2</v>
      </c>
      <c r="R921" t="s">
        <v>331</v>
      </c>
      <c r="S921"/>
      <c r="T921"/>
      <c r="U921" s="15"/>
    </row>
    <row r="922" spans="1:21">
      <c r="A922" s="8"/>
      <c r="B922" t="s">
        <v>6</v>
      </c>
      <c r="C922" s="2" t="s">
        <v>2</v>
      </c>
      <c r="D922" t="s">
        <v>332</v>
      </c>
      <c r="E922"/>
      <c r="F922"/>
      <c r="G922" s="15"/>
      <c r="H922" s="8"/>
      <c r="I922" t="s">
        <v>6</v>
      </c>
      <c r="J922" s="2" t="s">
        <v>2</v>
      </c>
      <c r="K922" t="s">
        <v>333</v>
      </c>
      <c r="L922"/>
      <c r="M922"/>
      <c r="N922" s="15"/>
      <c r="O922" s="8"/>
      <c r="P922" t="s">
        <v>6</v>
      </c>
      <c r="Q922" s="2" t="s">
        <v>2</v>
      </c>
      <c r="R922" t="s">
        <v>334</v>
      </c>
      <c r="S922"/>
      <c r="T922"/>
      <c r="U922" s="15"/>
    </row>
    <row r="923" spans="1:21">
      <c r="A923" s="8"/>
      <c r="B923" t="s">
        <v>10</v>
      </c>
      <c r="C923" s="2" t="s">
        <v>2</v>
      </c>
      <c r="D923" t="s">
        <v>328</v>
      </c>
      <c r="E923"/>
      <c r="F923"/>
      <c r="G923" s="15"/>
      <c r="H923" s="8"/>
      <c r="I923" t="s">
        <v>10</v>
      </c>
      <c r="J923" s="2" t="s">
        <v>2</v>
      </c>
      <c r="K923" t="s">
        <v>328</v>
      </c>
      <c r="L923"/>
      <c r="M923"/>
      <c r="N923" s="15"/>
      <c r="O923" s="8"/>
      <c r="P923" t="s">
        <v>10</v>
      </c>
      <c r="Q923" s="2" t="s">
        <v>2</v>
      </c>
      <c r="R923" t="s">
        <v>328</v>
      </c>
      <c r="S923"/>
      <c r="T923"/>
      <c r="U923" s="15"/>
    </row>
    <row r="924" spans="1:21">
      <c r="A924" s="8"/>
      <c r="B924" t="s">
        <v>12</v>
      </c>
      <c r="C924" s="2" t="s">
        <v>2</v>
      </c>
      <c r="D924" t="s">
        <v>13</v>
      </c>
      <c r="E924"/>
      <c r="F924"/>
      <c r="G924" s="15"/>
      <c r="H924" s="8"/>
      <c r="I924" t="s">
        <v>12</v>
      </c>
      <c r="J924" s="2" t="s">
        <v>2</v>
      </c>
      <c r="K924" t="s">
        <v>13</v>
      </c>
      <c r="L924"/>
      <c r="M924"/>
      <c r="N924" s="15"/>
      <c r="O924" s="8"/>
      <c r="P924" t="s">
        <v>12</v>
      </c>
      <c r="Q924" s="2" t="s">
        <v>2</v>
      </c>
      <c r="R924" t="s">
        <v>13</v>
      </c>
      <c r="S924"/>
      <c r="T924"/>
      <c r="U924" s="15"/>
    </row>
    <row r="925" spans="1:21">
      <c r="A925" s="8"/>
      <c r="B925" s="3" t="s">
        <v>14</v>
      </c>
      <c r="C925" s="4" t="s">
        <v>2</v>
      </c>
      <c r="D925" s="3" t="s">
        <v>15</v>
      </c>
      <c r="E925" s="3"/>
      <c r="F925" s="3"/>
      <c r="G925" s="15"/>
      <c r="H925" s="8"/>
      <c r="I925" s="3" t="s">
        <v>14</v>
      </c>
      <c r="J925" s="4" t="s">
        <v>2</v>
      </c>
      <c r="K925" s="3" t="s">
        <v>15</v>
      </c>
      <c r="L925" s="3"/>
      <c r="M925" s="3"/>
      <c r="N925" s="15"/>
      <c r="O925" s="8"/>
      <c r="P925" s="3" t="s">
        <v>14</v>
      </c>
      <c r="Q925" s="4" t="s">
        <v>2</v>
      </c>
      <c r="R925" s="3" t="s">
        <v>15</v>
      </c>
      <c r="S925" s="3"/>
      <c r="T925" s="3"/>
      <c r="U925" s="15"/>
    </row>
    <row r="926" spans="1:21">
      <c r="A926" s="8"/>
      <c r="B926" t="s">
        <v>16</v>
      </c>
      <c r="C926"/>
      <c r="D926"/>
      <c r="E926" s="2" t="s">
        <v>2</v>
      </c>
      <c r="F926" s="5">
        <v>3597000</v>
      </c>
      <c r="G926" s="15"/>
      <c r="H926" s="8"/>
      <c r="I926" t="s">
        <v>16</v>
      </c>
      <c r="J926"/>
      <c r="K926"/>
      <c r="L926" s="2" t="s">
        <v>2</v>
      </c>
      <c r="M926" s="5">
        <v>3595000</v>
      </c>
      <c r="N926" s="15"/>
      <c r="O926" s="8"/>
      <c r="P926" t="s">
        <v>16</v>
      </c>
      <c r="Q926"/>
      <c r="R926"/>
      <c r="S926" s="2" t="s">
        <v>2</v>
      </c>
      <c r="T926" s="5">
        <v>3596000</v>
      </c>
      <c r="U926" s="15"/>
    </row>
    <row r="927" spans="1:21">
      <c r="A927" s="8"/>
      <c r="B927" t="s">
        <v>17</v>
      </c>
      <c r="C927"/>
      <c r="D927"/>
      <c r="E927" s="2" t="s">
        <v>2</v>
      </c>
      <c r="F927" s="5">
        <v>0</v>
      </c>
      <c r="G927" s="15"/>
      <c r="H927" s="8"/>
      <c r="I927" t="s">
        <v>17</v>
      </c>
      <c r="J927"/>
      <c r="K927"/>
      <c r="L927" s="2" t="s">
        <v>2</v>
      </c>
      <c r="M927" s="5">
        <v>0</v>
      </c>
      <c r="N927" s="15"/>
      <c r="O927" s="8"/>
      <c r="P927" t="s">
        <v>17</v>
      </c>
      <c r="Q927"/>
      <c r="R927"/>
      <c r="S927" s="2" t="s">
        <v>2</v>
      </c>
      <c r="T927" s="5">
        <v>80000</v>
      </c>
      <c r="U927" s="15"/>
    </row>
    <row r="928" spans="1:21">
      <c r="A928" s="8"/>
      <c r="B928" t="s">
        <v>18</v>
      </c>
      <c r="C928"/>
      <c r="D928"/>
      <c r="E928" s="2" t="s">
        <v>2</v>
      </c>
      <c r="F928" s="5">
        <v>0</v>
      </c>
      <c r="G928" s="15"/>
      <c r="H928" s="8"/>
      <c r="I928" t="s">
        <v>18</v>
      </c>
      <c r="J928"/>
      <c r="K928"/>
      <c r="L928" s="2" t="s">
        <v>2</v>
      </c>
      <c r="M928" s="5">
        <v>0</v>
      </c>
      <c r="N928" s="15"/>
      <c r="O928" s="8"/>
      <c r="P928" t="s">
        <v>18</v>
      </c>
      <c r="Q928"/>
      <c r="R928"/>
      <c r="S928" s="2" t="s">
        <v>2</v>
      </c>
      <c r="T928" s="5">
        <v>0</v>
      </c>
      <c r="U928" s="15"/>
    </row>
    <row r="929" spans="1:21">
      <c r="A929" s="8"/>
      <c r="B929" t="s">
        <v>19</v>
      </c>
      <c r="C929"/>
      <c r="D929"/>
      <c r="E929" s="2" t="s">
        <v>2</v>
      </c>
      <c r="F929" s="5">
        <v>4000</v>
      </c>
      <c r="G929" s="15"/>
      <c r="H929" s="8"/>
      <c r="I929" t="s">
        <v>19</v>
      </c>
      <c r="J929"/>
      <c r="K929"/>
      <c r="L929" s="2" t="s">
        <v>2</v>
      </c>
      <c r="M929" s="5">
        <v>14000</v>
      </c>
      <c r="N929" s="15"/>
      <c r="O929" s="8"/>
      <c r="P929" t="s">
        <v>19</v>
      </c>
      <c r="Q929"/>
      <c r="R929"/>
      <c r="S929" s="2" t="s">
        <v>2</v>
      </c>
      <c r="T929" s="5">
        <v>10000</v>
      </c>
      <c r="U929" s="15"/>
    </row>
    <row r="930" spans="1:21">
      <c r="A930" s="8"/>
      <c r="B930"/>
      <c r="C930"/>
      <c r="D930"/>
      <c r="E930"/>
      <c r="F930"/>
      <c r="G930" s="15"/>
      <c r="H930" s="8"/>
      <c r="I930"/>
      <c r="J930"/>
      <c r="K930"/>
      <c r="L930"/>
      <c r="M930"/>
      <c r="N930" s="15"/>
      <c r="O930" s="8"/>
      <c r="P930"/>
      <c r="Q930"/>
      <c r="R930"/>
      <c r="S930"/>
      <c r="T930"/>
      <c r="U930" s="15"/>
    </row>
    <row r="931" spans="1:21">
      <c r="A931" s="8"/>
      <c r="B931" s="2" t="s">
        <v>20</v>
      </c>
      <c r="C931"/>
      <c r="D931"/>
      <c r="E931"/>
      <c r="F931"/>
      <c r="G931" s="15"/>
      <c r="H931" s="8"/>
      <c r="I931" s="2" t="s">
        <v>20</v>
      </c>
      <c r="J931"/>
      <c r="K931"/>
      <c r="L931"/>
      <c r="M931"/>
      <c r="N931" s="15"/>
      <c r="O931" s="8"/>
      <c r="P931" s="2" t="s">
        <v>20</v>
      </c>
      <c r="Q931"/>
      <c r="R931"/>
      <c r="S931"/>
      <c r="T931"/>
      <c r="U931" s="15"/>
    </row>
    <row r="932" spans="1:21">
      <c r="A932" s="8"/>
      <c r="B932" t="s">
        <v>21</v>
      </c>
      <c r="C932"/>
      <c r="D932"/>
      <c r="E932" s="2" t="s">
        <v>2</v>
      </c>
      <c r="F932" s="5">
        <v>1438800</v>
      </c>
      <c r="G932" s="15"/>
      <c r="H932" s="8"/>
      <c r="I932" t="s">
        <v>21</v>
      </c>
      <c r="J932"/>
      <c r="K932"/>
      <c r="L932" s="2" t="s">
        <v>2</v>
      </c>
      <c r="M932" s="5">
        <v>1797500</v>
      </c>
      <c r="N932" s="15"/>
      <c r="O932" s="8"/>
      <c r="P932" t="s">
        <v>21</v>
      </c>
      <c r="Q932"/>
      <c r="R932"/>
      <c r="S932" s="2" t="s">
        <v>2</v>
      </c>
      <c r="T932" s="5">
        <v>1678133.38</v>
      </c>
      <c r="U932" s="15"/>
    </row>
    <row r="933" spans="1:21">
      <c r="A933" s="8"/>
      <c r="B933" t="s">
        <v>22</v>
      </c>
      <c r="C933"/>
      <c r="D933"/>
      <c r="E933" s="2" t="s">
        <v>2</v>
      </c>
      <c r="F933" s="5">
        <v>107910</v>
      </c>
      <c r="G933" s="15"/>
      <c r="H933" s="8"/>
      <c r="I933" t="s">
        <v>22</v>
      </c>
      <c r="J933"/>
      <c r="K933"/>
      <c r="L933" s="2" t="s">
        <v>2</v>
      </c>
      <c r="M933" s="5">
        <v>107850</v>
      </c>
      <c r="N933" s="15"/>
      <c r="O933" s="8"/>
      <c r="P933" t="s">
        <v>22</v>
      </c>
      <c r="Q933"/>
      <c r="R933"/>
      <c r="S933" s="2" t="s">
        <v>2</v>
      </c>
      <c r="T933" s="5">
        <v>107880</v>
      </c>
      <c r="U933" s="15"/>
    </row>
    <row r="934" spans="1:21">
      <c r="A934" s="8"/>
      <c r="B934" s="3" t="s">
        <v>23</v>
      </c>
      <c r="C934" s="3"/>
      <c r="D934" s="3"/>
      <c r="E934" s="4" t="s">
        <v>2</v>
      </c>
      <c r="F934" s="6">
        <v>35745</v>
      </c>
      <c r="G934" s="15"/>
      <c r="H934" s="8"/>
      <c r="I934" s="3" t="s">
        <v>23</v>
      </c>
      <c r="J934" s="3"/>
      <c r="K934" s="3"/>
      <c r="L934" s="4" t="s">
        <v>2</v>
      </c>
      <c r="M934" s="6">
        <v>35745</v>
      </c>
      <c r="N934" s="15"/>
      <c r="O934" s="8"/>
      <c r="P934" s="3" t="s">
        <v>23</v>
      </c>
      <c r="Q934" s="3"/>
      <c r="R934" s="3"/>
      <c r="S934" s="4" t="s">
        <v>2</v>
      </c>
      <c r="T934" s="6">
        <v>35745</v>
      </c>
      <c r="U934" s="15"/>
    </row>
    <row r="935" spans="1:21">
      <c r="A935" s="8"/>
      <c r="B935" t="s">
        <v>24</v>
      </c>
      <c r="C935"/>
      <c r="D935"/>
      <c r="E935" s="2" t="s">
        <v>2</v>
      </c>
      <c r="F935" s="5" t="str">
        <f>sum(f932:f934)</f>
        <v>0</v>
      </c>
      <c r="G935" s="15"/>
      <c r="H935" s="8"/>
      <c r="I935" t="s">
        <v>24</v>
      </c>
      <c r="J935"/>
      <c r="K935"/>
      <c r="L935" s="2" t="s">
        <v>2</v>
      </c>
      <c r="M935" s="5" t="str">
        <f>sum(m932:m934)</f>
        <v>0</v>
      </c>
      <c r="N935" s="15"/>
      <c r="O935" s="8"/>
      <c r="P935" t="s">
        <v>24</v>
      </c>
      <c r="Q935"/>
      <c r="R935"/>
      <c r="S935" s="2" t="s">
        <v>2</v>
      </c>
      <c r="T935" s="5" t="str">
        <f>sum(t932:t934)</f>
        <v>0</v>
      </c>
      <c r="U935" s="15"/>
    </row>
    <row r="936" spans="1:21">
      <c r="A936" s="9"/>
      <c r="B936" s="11" t="s">
        <v>25</v>
      </c>
      <c r="C936" s="11"/>
      <c r="D936" s="11"/>
      <c r="E936" s="12" t="s">
        <v>2</v>
      </c>
      <c r="F936" s="13" t="str">
        <f>sum(f926:f929)-f935</f>
        <v>0</v>
      </c>
      <c r="G936" s="16"/>
      <c r="H936" s="9"/>
      <c r="I936" s="11" t="s">
        <v>25</v>
      </c>
      <c r="J936" s="11"/>
      <c r="K936" s="11"/>
      <c r="L936" s="12" t="s">
        <v>2</v>
      </c>
      <c r="M936" s="13" t="str">
        <f>sum(m926:m929)-m935</f>
        <v>0</v>
      </c>
      <c r="N936" s="16"/>
      <c r="O936" s="9"/>
      <c r="P936" s="11" t="s">
        <v>25</v>
      </c>
      <c r="Q936" s="11"/>
      <c r="R936" s="11"/>
      <c r="S936" s="12" t="s">
        <v>2</v>
      </c>
      <c r="T936" s="13" t="str">
        <f>sum(t926:t929)-t935</f>
        <v>0</v>
      </c>
      <c r="U936" s="16"/>
    </row>
    <row r="937" spans="1:21">
      <c r="A937" s="7"/>
      <c r="B937" s="10"/>
      <c r="C937" s="10"/>
      <c r="D937" s="10"/>
      <c r="E937" s="10"/>
      <c r="F937" s="10"/>
      <c r="G937" s="14"/>
      <c r="H937" s="7"/>
      <c r="I937" s="10"/>
      <c r="J937" s="10"/>
      <c r="K937" s="10"/>
      <c r="L937" s="10"/>
      <c r="M937" s="10"/>
      <c r="N937" s="14"/>
      <c r="O937" s="7"/>
      <c r="P937" s="10"/>
      <c r="Q937" s="10"/>
      <c r="R937" s="10"/>
      <c r="S937" s="10"/>
      <c r="T937" s="10"/>
      <c r="U937" s="14"/>
    </row>
    <row r="938" spans="1:21">
      <c r="A938" s="8"/>
      <c r="B938" s="1" t="s">
        <v>0</v>
      </c>
      <c r="C938"/>
      <c r="D938"/>
      <c r="E938"/>
      <c r="F938"/>
      <c r="G938" s="15"/>
      <c r="H938" s="8"/>
      <c r="I938" s="1" t="s">
        <v>0</v>
      </c>
      <c r="J938"/>
      <c r="K938"/>
      <c r="L938"/>
      <c r="M938"/>
      <c r="N938" s="15"/>
      <c r="O938" s="8"/>
      <c r="P938" s="1" t="s">
        <v>0</v>
      </c>
      <c r="Q938"/>
      <c r="R938"/>
      <c r="S938"/>
      <c r="T938"/>
      <c r="U938" s="15"/>
    </row>
    <row r="939" spans="1:21">
      <c r="A939" s="8"/>
      <c r="B939" t="s">
        <v>1</v>
      </c>
      <c r="C939" s="2" t="s">
        <v>2</v>
      </c>
      <c r="D939" t="s">
        <v>335</v>
      </c>
      <c r="E939"/>
      <c r="F939"/>
      <c r="G939" s="15"/>
      <c r="H939" s="8"/>
      <c r="I939" t="s">
        <v>1</v>
      </c>
      <c r="J939" s="2" t="s">
        <v>2</v>
      </c>
      <c r="K939" t="s">
        <v>336</v>
      </c>
      <c r="L939"/>
      <c r="M939"/>
      <c r="N939" s="15"/>
      <c r="O939" s="8"/>
      <c r="P939" t="s">
        <v>1</v>
      </c>
      <c r="Q939" s="2" t="s">
        <v>2</v>
      </c>
      <c r="R939" t="s">
        <v>337</v>
      </c>
      <c r="S939"/>
      <c r="T939"/>
      <c r="U939" s="15"/>
    </row>
    <row r="940" spans="1:21">
      <c r="A940" s="8"/>
      <c r="B940" t="s">
        <v>6</v>
      </c>
      <c r="C940" s="2" t="s">
        <v>2</v>
      </c>
      <c r="D940" t="s">
        <v>338</v>
      </c>
      <c r="E940"/>
      <c r="F940"/>
      <c r="G940" s="15"/>
      <c r="H940" s="8"/>
      <c r="I940" t="s">
        <v>6</v>
      </c>
      <c r="J940" s="2" t="s">
        <v>2</v>
      </c>
      <c r="K940" t="s">
        <v>339</v>
      </c>
      <c r="L940"/>
      <c r="M940"/>
      <c r="N940" s="15"/>
      <c r="O940" s="8"/>
      <c r="P940" t="s">
        <v>6</v>
      </c>
      <c r="Q940" s="2" t="s">
        <v>2</v>
      </c>
      <c r="R940" t="s">
        <v>340</v>
      </c>
      <c r="S940"/>
      <c r="T940"/>
      <c r="U940" s="15"/>
    </row>
    <row r="941" spans="1:21">
      <c r="A941" s="8"/>
      <c r="B941" t="s">
        <v>10</v>
      </c>
      <c r="C941" s="2" t="s">
        <v>2</v>
      </c>
      <c r="D941" t="s">
        <v>328</v>
      </c>
      <c r="E941"/>
      <c r="F941"/>
      <c r="G941" s="15"/>
      <c r="H941" s="8"/>
      <c r="I941" t="s">
        <v>10</v>
      </c>
      <c r="J941" s="2" t="s">
        <v>2</v>
      </c>
      <c r="K941" t="s">
        <v>328</v>
      </c>
      <c r="L941"/>
      <c r="M941"/>
      <c r="N941" s="15"/>
      <c r="O941" s="8"/>
      <c r="P941" t="s">
        <v>10</v>
      </c>
      <c r="Q941" s="2" t="s">
        <v>2</v>
      </c>
      <c r="R941" t="s">
        <v>328</v>
      </c>
      <c r="S941"/>
      <c r="T941"/>
      <c r="U941" s="15"/>
    </row>
    <row r="942" spans="1:21">
      <c r="A942" s="8"/>
      <c r="B942" t="s">
        <v>12</v>
      </c>
      <c r="C942" s="2" t="s">
        <v>2</v>
      </c>
      <c r="D942" t="s">
        <v>13</v>
      </c>
      <c r="E942"/>
      <c r="F942"/>
      <c r="G942" s="15"/>
      <c r="H942" s="8"/>
      <c r="I942" t="s">
        <v>12</v>
      </c>
      <c r="J942" s="2" t="s">
        <v>2</v>
      </c>
      <c r="K942" t="s">
        <v>13</v>
      </c>
      <c r="L942"/>
      <c r="M942"/>
      <c r="N942" s="15"/>
      <c r="O942" s="8"/>
      <c r="P942" t="s">
        <v>12</v>
      </c>
      <c r="Q942" s="2" t="s">
        <v>2</v>
      </c>
      <c r="R942" t="s">
        <v>13</v>
      </c>
      <c r="S942"/>
      <c r="T942"/>
      <c r="U942" s="15"/>
    </row>
    <row r="943" spans="1:21">
      <c r="A943" s="8"/>
      <c r="B943" s="3" t="s">
        <v>14</v>
      </c>
      <c r="C943" s="4" t="s">
        <v>2</v>
      </c>
      <c r="D943" s="3" t="s">
        <v>15</v>
      </c>
      <c r="E943" s="3"/>
      <c r="F943" s="3"/>
      <c r="G943" s="15"/>
      <c r="H943" s="8"/>
      <c r="I943" s="3" t="s">
        <v>14</v>
      </c>
      <c r="J943" s="4" t="s">
        <v>2</v>
      </c>
      <c r="K943" s="3" t="s">
        <v>15</v>
      </c>
      <c r="L943" s="3"/>
      <c r="M943" s="3"/>
      <c r="N943" s="15"/>
      <c r="O943" s="8"/>
      <c r="P943" s="3" t="s">
        <v>14</v>
      </c>
      <c r="Q943" s="4" t="s">
        <v>2</v>
      </c>
      <c r="R943" s="3" t="s">
        <v>15</v>
      </c>
      <c r="S943" s="3"/>
      <c r="T943" s="3"/>
      <c r="U943" s="15"/>
    </row>
    <row r="944" spans="1:21">
      <c r="A944" s="8"/>
      <c r="B944" t="s">
        <v>16</v>
      </c>
      <c r="C944"/>
      <c r="D944"/>
      <c r="E944" s="2" t="s">
        <v>2</v>
      </c>
      <c r="F944" s="5">
        <v>4003000</v>
      </c>
      <c r="G944" s="15"/>
      <c r="H944" s="8"/>
      <c r="I944" t="s">
        <v>16</v>
      </c>
      <c r="J944"/>
      <c r="K944"/>
      <c r="L944" s="2" t="s">
        <v>2</v>
      </c>
      <c r="M944" s="5">
        <v>3595000</v>
      </c>
      <c r="N944" s="15"/>
      <c r="O944" s="8"/>
      <c r="P944" t="s">
        <v>16</v>
      </c>
      <c r="Q944"/>
      <c r="R944"/>
      <c r="S944" s="2" t="s">
        <v>2</v>
      </c>
      <c r="T944" s="5">
        <v>3596000</v>
      </c>
      <c r="U944" s="15"/>
    </row>
    <row r="945" spans="1:21">
      <c r="A945" s="8"/>
      <c r="B945" t="s">
        <v>17</v>
      </c>
      <c r="C945"/>
      <c r="D945"/>
      <c r="E945" s="2" t="s">
        <v>2</v>
      </c>
      <c r="F945" s="5">
        <v>150000</v>
      </c>
      <c r="G945" s="15"/>
      <c r="H945" s="8"/>
      <c r="I945" t="s">
        <v>17</v>
      </c>
      <c r="J945"/>
      <c r="K945"/>
      <c r="L945" s="2" t="s">
        <v>2</v>
      </c>
      <c r="M945" s="5">
        <v>0</v>
      </c>
      <c r="N945" s="15"/>
      <c r="O945" s="8"/>
      <c r="P945" t="s">
        <v>17</v>
      </c>
      <c r="Q945"/>
      <c r="R945"/>
      <c r="S945" s="2" t="s">
        <v>2</v>
      </c>
      <c r="T945" s="5">
        <v>0</v>
      </c>
      <c r="U945" s="15"/>
    </row>
    <row r="946" spans="1:21">
      <c r="A946" s="8"/>
      <c r="B946" t="s">
        <v>18</v>
      </c>
      <c r="C946"/>
      <c r="D946"/>
      <c r="E946" s="2" t="s">
        <v>2</v>
      </c>
      <c r="F946" s="5">
        <v>25000</v>
      </c>
      <c r="G946" s="15"/>
      <c r="H946" s="8"/>
      <c r="I946" t="s">
        <v>18</v>
      </c>
      <c r="J946"/>
      <c r="K946"/>
      <c r="L946" s="2" t="s">
        <v>2</v>
      </c>
      <c r="M946" s="5">
        <v>0</v>
      </c>
      <c r="N946" s="15"/>
      <c r="O946" s="8"/>
      <c r="P946" t="s">
        <v>18</v>
      </c>
      <c r="Q946"/>
      <c r="R946"/>
      <c r="S946" s="2" t="s">
        <v>2</v>
      </c>
      <c r="T946" s="5">
        <v>0</v>
      </c>
      <c r="U946" s="15"/>
    </row>
    <row r="947" spans="1:21">
      <c r="A947" s="8"/>
      <c r="B947" t="s">
        <v>19</v>
      </c>
      <c r="C947"/>
      <c r="D947"/>
      <c r="E947" s="2" t="s">
        <v>2</v>
      </c>
      <c r="F947" s="5">
        <v>0</v>
      </c>
      <c r="G947" s="15"/>
      <c r="H947" s="8"/>
      <c r="I947" t="s">
        <v>19</v>
      </c>
      <c r="J947"/>
      <c r="K947"/>
      <c r="L947" s="2" t="s">
        <v>2</v>
      </c>
      <c r="M947" s="5">
        <v>4000</v>
      </c>
      <c r="N947" s="15"/>
      <c r="O947" s="8"/>
      <c r="P947" t="s">
        <v>19</v>
      </c>
      <c r="Q947"/>
      <c r="R947"/>
      <c r="S947" s="2" t="s">
        <v>2</v>
      </c>
      <c r="T947" s="5">
        <v>4000</v>
      </c>
      <c r="U947" s="15"/>
    </row>
    <row r="948" spans="1:21">
      <c r="A948" s="8"/>
      <c r="B948"/>
      <c r="C948"/>
      <c r="D948"/>
      <c r="E948"/>
      <c r="F948"/>
      <c r="G948" s="15"/>
      <c r="H948" s="8"/>
      <c r="I948"/>
      <c r="J948"/>
      <c r="K948"/>
      <c r="L948"/>
      <c r="M948"/>
      <c r="N948" s="15"/>
      <c r="O948" s="8"/>
      <c r="P948"/>
      <c r="Q948"/>
      <c r="R948"/>
      <c r="S948"/>
      <c r="T948"/>
      <c r="U948" s="15"/>
    </row>
    <row r="949" spans="1:21">
      <c r="A949" s="8"/>
      <c r="B949" s="2" t="s">
        <v>20</v>
      </c>
      <c r="C949"/>
      <c r="D949"/>
      <c r="E949"/>
      <c r="F949"/>
      <c r="G949" s="15"/>
      <c r="H949" s="8"/>
      <c r="I949" s="2" t="s">
        <v>20</v>
      </c>
      <c r="J949"/>
      <c r="K949"/>
      <c r="L949"/>
      <c r="M949"/>
      <c r="N949" s="15"/>
      <c r="O949" s="8"/>
      <c r="P949" s="2" t="s">
        <v>20</v>
      </c>
      <c r="Q949"/>
      <c r="R949"/>
      <c r="S949"/>
      <c r="T949"/>
      <c r="U949" s="15"/>
    </row>
    <row r="950" spans="1:21">
      <c r="A950" s="8"/>
      <c r="B950" t="s">
        <v>21</v>
      </c>
      <c r="C950"/>
      <c r="D950"/>
      <c r="E950" s="2" t="s">
        <v>2</v>
      </c>
      <c r="F950" s="5">
        <v>0</v>
      </c>
      <c r="G950" s="15"/>
      <c r="H950" s="8"/>
      <c r="I950" t="s">
        <v>21</v>
      </c>
      <c r="J950"/>
      <c r="K950"/>
      <c r="L950" s="2" t="s">
        <v>2</v>
      </c>
      <c r="M950" s="5">
        <v>1677666.62</v>
      </c>
      <c r="N950" s="15"/>
      <c r="O950" s="8"/>
      <c r="P950" t="s">
        <v>21</v>
      </c>
      <c r="Q950"/>
      <c r="R950"/>
      <c r="S950" s="2" t="s">
        <v>2</v>
      </c>
      <c r="T950" s="5">
        <v>1678133.38</v>
      </c>
      <c r="U950" s="15"/>
    </row>
    <row r="951" spans="1:21">
      <c r="A951" s="8"/>
      <c r="B951" t="s">
        <v>22</v>
      </c>
      <c r="C951"/>
      <c r="D951"/>
      <c r="E951" s="2" t="s">
        <v>2</v>
      </c>
      <c r="F951" s="5">
        <v>120090</v>
      </c>
      <c r="G951" s="15"/>
      <c r="H951" s="8"/>
      <c r="I951" t="s">
        <v>22</v>
      </c>
      <c r="J951"/>
      <c r="K951"/>
      <c r="L951" s="2" t="s">
        <v>2</v>
      </c>
      <c r="M951" s="5">
        <v>107850</v>
      </c>
      <c r="N951" s="15"/>
      <c r="O951" s="8"/>
      <c r="P951" t="s">
        <v>22</v>
      </c>
      <c r="Q951"/>
      <c r="R951"/>
      <c r="S951" s="2" t="s">
        <v>2</v>
      </c>
      <c r="T951" s="5">
        <v>107880</v>
      </c>
      <c r="U951" s="15"/>
    </row>
    <row r="952" spans="1:21">
      <c r="A952" s="8"/>
      <c r="B952" s="3" t="s">
        <v>23</v>
      </c>
      <c r="C952" s="3"/>
      <c r="D952" s="3"/>
      <c r="E952" s="4" t="s">
        <v>2</v>
      </c>
      <c r="F952" s="6">
        <v>40030</v>
      </c>
      <c r="G952" s="15"/>
      <c r="H952" s="8"/>
      <c r="I952" s="3" t="s">
        <v>23</v>
      </c>
      <c r="J952" s="3"/>
      <c r="K952" s="3"/>
      <c r="L952" s="4" t="s">
        <v>2</v>
      </c>
      <c r="M952" s="6">
        <v>35745</v>
      </c>
      <c r="N952" s="15"/>
      <c r="O952" s="8"/>
      <c r="P952" s="3" t="s">
        <v>23</v>
      </c>
      <c r="Q952" s="3"/>
      <c r="R952" s="3"/>
      <c r="S952" s="4" t="s">
        <v>2</v>
      </c>
      <c r="T952" s="6">
        <v>35745</v>
      </c>
      <c r="U952" s="15"/>
    </row>
    <row r="953" spans="1:21">
      <c r="A953" s="8"/>
      <c r="B953" t="s">
        <v>24</v>
      </c>
      <c r="C953"/>
      <c r="D953"/>
      <c r="E953" s="2" t="s">
        <v>2</v>
      </c>
      <c r="F953" s="5" t="str">
        <f>sum(f950:f952)</f>
        <v>0</v>
      </c>
      <c r="G953" s="15"/>
      <c r="H953" s="8"/>
      <c r="I953" t="s">
        <v>24</v>
      </c>
      <c r="J953"/>
      <c r="K953"/>
      <c r="L953" s="2" t="s">
        <v>2</v>
      </c>
      <c r="M953" s="5" t="str">
        <f>sum(m950:m952)</f>
        <v>0</v>
      </c>
      <c r="N953" s="15"/>
      <c r="O953" s="8"/>
      <c r="P953" t="s">
        <v>24</v>
      </c>
      <c r="Q953"/>
      <c r="R953"/>
      <c r="S953" s="2" t="s">
        <v>2</v>
      </c>
      <c r="T953" s="5" t="str">
        <f>sum(t950:t952)</f>
        <v>0</v>
      </c>
      <c r="U953" s="15"/>
    </row>
    <row r="954" spans="1:21">
      <c r="A954" s="9"/>
      <c r="B954" s="11" t="s">
        <v>25</v>
      </c>
      <c r="C954" s="11"/>
      <c r="D954" s="11"/>
      <c r="E954" s="12" t="s">
        <v>2</v>
      </c>
      <c r="F954" s="13" t="str">
        <f>sum(f944:f947)-f953</f>
        <v>0</v>
      </c>
      <c r="G954" s="16"/>
      <c r="H954" s="9"/>
      <c r="I954" s="11" t="s">
        <v>25</v>
      </c>
      <c r="J954" s="11"/>
      <c r="K954" s="11"/>
      <c r="L954" s="12" t="s">
        <v>2</v>
      </c>
      <c r="M954" s="13" t="str">
        <f>sum(m944:m947)-m953</f>
        <v>0</v>
      </c>
      <c r="N954" s="16"/>
      <c r="O954" s="9"/>
      <c r="P954" s="11" t="s">
        <v>25</v>
      </c>
      <c r="Q954" s="11"/>
      <c r="R954" s="11"/>
      <c r="S954" s="12" t="s">
        <v>2</v>
      </c>
      <c r="T954" s="13" t="str">
        <f>sum(t944:t947)-t953</f>
        <v>0</v>
      </c>
      <c r="U954" s="16"/>
    </row>
    <row r="955" spans="1:21">
      <c r="A955" s="7"/>
      <c r="B955" s="10"/>
      <c r="C955" s="10"/>
      <c r="D955" s="10"/>
      <c r="E955" s="10"/>
      <c r="F955" s="10"/>
      <c r="G955" s="14"/>
      <c r="H955" s="7"/>
      <c r="I955" s="10"/>
      <c r="J955" s="10"/>
      <c r="K955" s="10"/>
      <c r="L955" s="10"/>
      <c r="M955" s="10"/>
      <c r="N955" s="14"/>
      <c r="O955" s="7"/>
      <c r="P955" s="10"/>
      <c r="Q955" s="10"/>
      <c r="R955" s="10"/>
      <c r="S955" s="10"/>
      <c r="T955" s="10"/>
      <c r="U955" s="14"/>
    </row>
    <row r="956" spans="1:21">
      <c r="A956" s="8"/>
      <c r="B956" s="1" t="s">
        <v>0</v>
      </c>
      <c r="C956"/>
      <c r="D956"/>
      <c r="E956"/>
      <c r="F956"/>
      <c r="G956" s="15"/>
      <c r="H956" s="8"/>
      <c r="I956" s="1" t="s">
        <v>0</v>
      </c>
      <c r="J956"/>
      <c r="K956"/>
      <c r="L956"/>
      <c r="M956"/>
      <c r="N956" s="15"/>
      <c r="O956" s="8"/>
      <c r="P956" s="1" t="s">
        <v>0</v>
      </c>
      <c r="Q956"/>
      <c r="R956"/>
      <c r="S956"/>
      <c r="T956"/>
      <c r="U956" s="15"/>
    </row>
    <row r="957" spans="1:21">
      <c r="A957" s="8"/>
      <c r="B957" t="s">
        <v>1</v>
      </c>
      <c r="C957" s="2" t="s">
        <v>2</v>
      </c>
      <c r="D957" t="s">
        <v>341</v>
      </c>
      <c r="E957"/>
      <c r="F957"/>
      <c r="G957" s="15"/>
      <c r="H957" s="8"/>
      <c r="I957" t="s">
        <v>1</v>
      </c>
      <c r="J957" s="2" t="s">
        <v>2</v>
      </c>
      <c r="K957" t="s">
        <v>342</v>
      </c>
      <c r="L957"/>
      <c r="M957"/>
      <c r="N957" s="15"/>
      <c r="O957" s="8"/>
      <c r="P957" t="s">
        <v>1</v>
      </c>
      <c r="Q957" s="2" t="s">
        <v>2</v>
      </c>
      <c r="R957" t="s">
        <v>343</v>
      </c>
      <c r="S957"/>
      <c r="T957"/>
      <c r="U957" s="15"/>
    </row>
    <row r="958" spans="1:21">
      <c r="A958" s="8"/>
      <c r="B958" t="s">
        <v>6</v>
      </c>
      <c r="C958" s="2" t="s">
        <v>2</v>
      </c>
      <c r="D958" t="s">
        <v>344</v>
      </c>
      <c r="E958"/>
      <c r="F958"/>
      <c r="G958" s="15"/>
      <c r="H958" s="8"/>
      <c r="I958" t="s">
        <v>6</v>
      </c>
      <c r="J958" s="2" t="s">
        <v>2</v>
      </c>
      <c r="K958" t="s">
        <v>345</v>
      </c>
      <c r="L958"/>
      <c r="M958"/>
      <c r="N958" s="15"/>
      <c r="O958" s="8"/>
      <c r="P958" t="s">
        <v>6</v>
      </c>
      <c r="Q958" s="2" t="s">
        <v>2</v>
      </c>
      <c r="R958" t="s">
        <v>346</v>
      </c>
      <c r="S958"/>
      <c r="T958"/>
      <c r="U958" s="15"/>
    </row>
    <row r="959" spans="1:21">
      <c r="A959" s="8"/>
      <c r="B959" t="s">
        <v>10</v>
      </c>
      <c r="C959" s="2" t="s">
        <v>2</v>
      </c>
      <c r="D959" t="s">
        <v>347</v>
      </c>
      <c r="E959"/>
      <c r="F959"/>
      <c r="G959" s="15"/>
      <c r="H959" s="8"/>
      <c r="I959" t="s">
        <v>10</v>
      </c>
      <c r="J959" s="2" t="s">
        <v>2</v>
      </c>
      <c r="K959" t="s">
        <v>347</v>
      </c>
      <c r="L959"/>
      <c r="M959"/>
      <c r="N959" s="15"/>
      <c r="O959" s="8"/>
      <c r="P959" t="s">
        <v>10</v>
      </c>
      <c r="Q959" s="2" t="s">
        <v>2</v>
      </c>
      <c r="R959" t="s">
        <v>347</v>
      </c>
      <c r="S959"/>
      <c r="T959"/>
      <c r="U959" s="15"/>
    </row>
    <row r="960" spans="1:21">
      <c r="A960" s="8"/>
      <c r="B960" t="s">
        <v>12</v>
      </c>
      <c r="C960" s="2" t="s">
        <v>2</v>
      </c>
      <c r="D960" t="s">
        <v>13</v>
      </c>
      <c r="E960"/>
      <c r="F960"/>
      <c r="G960" s="15"/>
      <c r="H960" s="8"/>
      <c r="I960" t="s">
        <v>12</v>
      </c>
      <c r="J960" s="2" t="s">
        <v>2</v>
      </c>
      <c r="K960" t="s">
        <v>13</v>
      </c>
      <c r="L960"/>
      <c r="M960"/>
      <c r="N960" s="15"/>
      <c r="O960" s="8"/>
      <c r="P960" t="s">
        <v>12</v>
      </c>
      <c r="Q960" s="2" t="s">
        <v>2</v>
      </c>
      <c r="R960" t="s">
        <v>13</v>
      </c>
      <c r="S960"/>
      <c r="T960"/>
      <c r="U960" s="15"/>
    </row>
    <row r="961" spans="1:21">
      <c r="A961" s="8"/>
      <c r="B961" s="3" t="s">
        <v>14</v>
      </c>
      <c r="C961" s="4" t="s">
        <v>2</v>
      </c>
      <c r="D961" s="3" t="s">
        <v>15</v>
      </c>
      <c r="E961" s="3"/>
      <c r="F961" s="3"/>
      <c r="G961" s="15"/>
      <c r="H961" s="8"/>
      <c r="I961" s="3" t="s">
        <v>14</v>
      </c>
      <c r="J961" s="4" t="s">
        <v>2</v>
      </c>
      <c r="K961" s="3" t="s">
        <v>15</v>
      </c>
      <c r="L961" s="3"/>
      <c r="M961" s="3"/>
      <c r="N961" s="15"/>
      <c r="O961" s="8"/>
      <c r="P961" s="3" t="s">
        <v>14</v>
      </c>
      <c r="Q961" s="4" t="s">
        <v>2</v>
      </c>
      <c r="R961" s="3" t="s">
        <v>15</v>
      </c>
      <c r="S961" s="3"/>
      <c r="T961" s="3"/>
      <c r="U961" s="15"/>
    </row>
    <row r="962" spans="1:21">
      <c r="A962" s="8"/>
      <c r="B962" t="s">
        <v>16</v>
      </c>
      <c r="C962"/>
      <c r="D962"/>
      <c r="E962" s="2" t="s">
        <v>2</v>
      </c>
      <c r="F962" s="5">
        <v>3596000</v>
      </c>
      <c r="G962" s="15"/>
      <c r="H962" s="8"/>
      <c r="I962" t="s">
        <v>16</v>
      </c>
      <c r="J962"/>
      <c r="K962"/>
      <c r="L962" s="2" t="s">
        <v>2</v>
      </c>
      <c r="M962" s="5">
        <v>3595000</v>
      </c>
      <c r="N962" s="15"/>
      <c r="O962" s="8"/>
      <c r="P962" t="s">
        <v>16</v>
      </c>
      <c r="Q962"/>
      <c r="R962"/>
      <c r="S962" s="2" t="s">
        <v>2</v>
      </c>
      <c r="T962" s="5">
        <v>3595000</v>
      </c>
      <c r="U962" s="15"/>
    </row>
    <row r="963" spans="1:21">
      <c r="A963" s="8"/>
      <c r="B963" t="s">
        <v>17</v>
      </c>
      <c r="C963"/>
      <c r="D963"/>
      <c r="E963" s="2" t="s">
        <v>2</v>
      </c>
      <c r="F963" s="5">
        <v>80000</v>
      </c>
      <c r="G963" s="15"/>
      <c r="H963" s="8"/>
      <c r="I963" t="s">
        <v>17</v>
      </c>
      <c r="J963"/>
      <c r="K963"/>
      <c r="L963" s="2" t="s">
        <v>2</v>
      </c>
      <c r="M963" s="5">
        <v>80000</v>
      </c>
      <c r="N963" s="15"/>
      <c r="O963" s="8"/>
      <c r="P963" t="s">
        <v>17</v>
      </c>
      <c r="Q963"/>
      <c r="R963"/>
      <c r="S963" s="2" t="s">
        <v>2</v>
      </c>
      <c r="T963" s="5">
        <v>80000</v>
      </c>
      <c r="U963" s="15"/>
    </row>
    <row r="964" spans="1:21">
      <c r="A964" s="8"/>
      <c r="B964" t="s">
        <v>18</v>
      </c>
      <c r="C964"/>
      <c r="D964"/>
      <c r="E964" s="2" t="s">
        <v>2</v>
      </c>
      <c r="F964" s="5">
        <v>0</v>
      </c>
      <c r="G964" s="15"/>
      <c r="H964" s="8"/>
      <c r="I964" t="s">
        <v>18</v>
      </c>
      <c r="J964"/>
      <c r="K964"/>
      <c r="L964" s="2" t="s">
        <v>2</v>
      </c>
      <c r="M964" s="5">
        <v>0</v>
      </c>
      <c r="N964" s="15"/>
      <c r="O964" s="8"/>
      <c r="P964" t="s">
        <v>18</v>
      </c>
      <c r="Q964"/>
      <c r="R964"/>
      <c r="S964" s="2" t="s">
        <v>2</v>
      </c>
      <c r="T964" s="5">
        <v>0</v>
      </c>
      <c r="U964" s="15"/>
    </row>
    <row r="965" spans="1:21">
      <c r="A965" s="8"/>
      <c r="B965" t="s">
        <v>19</v>
      </c>
      <c r="C965"/>
      <c r="D965"/>
      <c r="E965" s="2" t="s">
        <v>2</v>
      </c>
      <c r="F965" s="5">
        <v>2000</v>
      </c>
      <c r="G965" s="15"/>
      <c r="H965" s="8"/>
      <c r="I965" t="s">
        <v>19</v>
      </c>
      <c r="J965"/>
      <c r="K965"/>
      <c r="L965" s="2" t="s">
        <v>2</v>
      </c>
      <c r="M965" s="5">
        <v>6000</v>
      </c>
      <c r="N965" s="15"/>
      <c r="O965" s="8"/>
      <c r="P965" t="s">
        <v>19</v>
      </c>
      <c r="Q965"/>
      <c r="R965"/>
      <c r="S965" s="2" t="s">
        <v>2</v>
      </c>
      <c r="T965" s="5">
        <v>6000</v>
      </c>
      <c r="U965" s="15"/>
    </row>
    <row r="966" spans="1:21">
      <c r="A966" s="8"/>
      <c r="B966"/>
      <c r="C966"/>
      <c r="D966"/>
      <c r="E966"/>
      <c r="F966"/>
      <c r="G966" s="15"/>
      <c r="H966" s="8"/>
      <c r="I966"/>
      <c r="J966"/>
      <c r="K966"/>
      <c r="L966"/>
      <c r="M966"/>
      <c r="N966" s="15"/>
      <c r="O966" s="8"/>
      <c r="P966"/>
      <c r="Q966"/>
      <c r="R966"/>
      <c r="S966"/>
      <c r="T966"/>
      <c r="U966" s="15"/>
    </row>
    <row r="967" spans="1:21">
      <c r="A967" s="8"/>
      <c r="B967" s="2" t="s">
        <v>20</v>
      </c>
      <c r="C967"/>
      <c r="D967"/>
      <c r="E967"/>
      <c r="F967"/>
      <c r="G967" s="15"/>
      <c r="H967" s="8"/>
      <c r="I967" s="2" t="s">
        <v>20</v>
      </c>
      <c r="J967"/>
      <c r="K967"/>
      <c r="L967"/>
      <c r="M967"/>
      <c r="N967" s="15"/>
      <c r="O967" s="8"/>
      <c r="P967" s="2" t="s">
        <v>20</v>
      </c>
      <c r="Q967"/>
      <c r="R967"/>
      <c r="S967"/>
      <c r="T967"/>
      <c r="U967" s="15"/>
    </row>
    <row r="968" spans="1:21">
      <c r="A968" s="8"/>
      <c r="B968" t="s">
        <v>21</v>
      </c>
      <c r="C968"/>
      <c r="D968"/>
      <c r="E968" s="2" t="s">
        <v>2</v>
      </c>
      <c r="F968" s="5">
        <v>2277466.75</v>
      </c>
      <c r="G968" s="15"/>
      <c r="H968" s="8"/>
      <c r="I968" t="s">
        <v>21</v>
      </c>
      <c r="J968"/>
      <c r="K968"/>
      <c r="L968" s="2" t="s">
        <v>2</v>
      </c>
      <c r="M968" s="5">
        <v>1917333.38</v>
      </c>
      <c r="N968" s="15"/>
      <c r="O968" s="8"/>
      <c r="P968" t="s">
        <v>21</v>
      </c>
      <c r="Q968"/>
      <c r="R968"/>
      <c r="S968" s="2" t="s">
        <v>2</v>
      </c>
      <c r="T968" s="5">
        <v>2157000</v>
      </c>
      <c r="U968" s="15"/>
    </row>
    <row r="969" spans="1:21">
      <c r="A969" s="8"/>
      <c r="B969" t="s">
        <v>22</v>
      </c>
      <c r="C969"/>
      <c r="D969"/>
      <c r="E969" s="2" t="s">
        <v>2</v>
      </c>
      <c r="F969" s="5">
        <v>107880</v>
      </c>
      <c r="G969" s="15"/>
      <c r="H969" s="8"/>
      <c r="I969" t="s">
        <v>22</v>
      </c>
      <c r="J969"/>
      <c r="K969"/>
      <c r="L969" s="2" t="s">
        <v>2</v>
      </c>
      <c r="M969" s="5">
        <v>107850</v>
      </c>
      <c r="N969" s="15"/>
      <c r="O969" s="8"/>
      <c r="P969" t="s">
        <v>22</v>
      </c>
      <c r="Q969"/>
      <c r="R969"/>
      <c r="S969" s="2" t="s">
        <v>2</v>
      </c>
      <c r="T969" s="5">
        <v>107850</v>
      </c>
      <c r="U969" s="15"/>
    </row>
    <row r="970" spans="1:21">
      <c r="A970" s="8"/>
      <c r="B970" s="3" t="s">
        <v>23</v>
      </c>
      <c r="C970" s="3"/>
      <c r="D970" s="3"/>
      <c r="E970" s="4" t="s">
        <v>2</v>
      </c>
      <c r="F970" s="6">
        <v>35745</v>
      </c>
      <c r="G970" s="15"/>
      <c r="H970" s="8"/>
      <c r="I970" s="3" t="s">
        <v>23</v>
      </c>
      <c r="J970" s="3"/>
      <c r="K970" s="3"/>
      <c r="L970" s="4" t="s">
        <v>2</v>
      </c>
      <c r="M970" s="6">
        <v>35745</v>
      </c>
      <c r="N970" s="15"/>
      <c r="O970" s="8"/>
      <c r="P970" s="3" t="s">
        <v>23</v>
      </c>
      <c r="Q970" s="3"/>
      <c r="R970" s="3"/>
      <c r="S970" s="4" t="s">
        <v>2</v>
      </c>
      <c r="T970" s="6">
        <v>35745</v>
      </c>
      <c r="U970" s="15"/>
    </row>
    <row r="971" spans="1:21">
      <c r="A971" s="8"/>
      <c r="B971" t="s">
        <v>24</v>
      </c>
      <c r="C971"/>
      <c r="D971"/>
      <c r="E971" s="2" t="s">
        <v>2</v>
      </c>
      <c r="F971" s="5" t="str">
        <f>sum(f968:f970)</f>
        <v>0</v>
      </c>
      <c r="G971" s="15"/>
      <c r="H971" s="8"/>
      <c r="I971" t="s">
        <v>24</v>
      </c>
      <c r="J971"/>
      <c r="K971"/>
      <c r="L971" s="2" t="s">
        <v>2</v>
      </c>
      <c r="M971" s="5" t="str">
        <f>sum(m968:m970)</f>
        <v>0</v>
      </c>
      <c r="N971" s="15"/>
      <c r="O971" s="8"/>
      <c r="P971" t="s">
        <v>24</v>
      </c>
      <c r="Q971"/>
      <c r="R971"/>
      <c r="S971" s="2" t="s">
        <v>2</v>
      </c>
      <c r="T971" s="5" t="str">
        <f>sum(t968:t970)</f>
        <v>0</v>
      </c>
      <c r="U971" s="15"/>
    </row>
    <row r="972" spans="1:21">
      <c r="A972" s="9"/>
      <c r="B972" s="11" t="s">
        <v>25</v>
      </c>
      <c r="C972" s="11"/>
      <c r="D972" s="11"/>
      <c r="E972" s="12" t="s">
        <v>2</v>
      </c>
      <c r="F972" s="13" t="str">
        <f>sum(f962:f965)-f971</f>
        <v>0</v>
      </c>
      <c r="G972" s="16"/>
      <c r="H972" s="9"/>
      <c r="I972" s="11" t="s">
        <v>25</v>
      </c>
      <c r="J972" s="11"/>
      <c r="K972" s="11"/>
      <c r="L972" s="12" t="s">
        <v>2</v>
      </c>
      <c r="M972" s="13" t="str">
        <f>sum(m962:m965)-m971</f>
        <v>0</v>
      </c>
      <c r="N972" s="16"/>
      <c r="O972" s="9"/>
      <c r="P972" s="11" t="s">
        <v>25</v>
      </c>
      <c r="Q972" s="11"/>
      <c r="R972" s="11"/>
      <c r="S972" s="12" t="s">
        <v>2</v>
      </c>
      <c r="T972" s="13" t="str">
        <f>sum(t962:t965)-t971</f>
        <v>0</v>
      </c>
      <c r="U972" s="16"/>
    </row>
    <row r="973" spans="1:21">
      <c r="A973" s="7"/>
      <c r="B973" s="10"/>
      <c r="C973" s="10"/>
      <c r="D973" s="10"/>
      <c r="E973" s="10"/>
      <c r="F973" s="10"/>
      <c r="G973" s="14"/>
      <c r="H973" s="7"/>
      <c r="I973" s="10"/>
      <c r="J973" s="10"/>
      <c r="K973" s="10"/>
      <c r="L973" s="10"/>
      <c r="M973" s="10"/>
      <c r="N973" s="14"/>
      <c r="O973" s="7"/>
      <c r="P973" s="10"/>
      <c r="Q973" s="10"/>
      <c r="R973" s="10"/>
      <c r="S973" s="10"/>
      <c r="T973" s="10"/>
      <c r="U973" s="14"/>
    </row>
    <row r="974" spans="1:21">
      <c r="A974" s="8"/>
      <c r="B974" s="1" t="s">
        <v>0</v>
      </c>
      <c r="C974"/>
      <c r="D974"/>
      <c r="E974"/>
      <c r="F974"/>
      <c r="G974" s="15"/>
      <c r="H974" s="8"/>
      <c r="I974" s="1" t="s">
        <v>0</v>
      </c>
      <c r="J974"/>
      <c r="K974"/>
      <c r="L974"/>
      <c r="M974"/>
      <c r="N974" s="15"/>
      <c r="O974" s="8"/>
      <c r="P974" s="1" t="s">
        <v>0</v>
      </c>
      <c r="Q974"/>
      <c r="R974"/>
      <c r="S974"/>
      <c r="T974"/>
      <c r="U974" s="15"/>
    </row>
    <row r="975" spans="1:21">
      <c r="A975" s="8"/>
      <c r="B975" t="s">
        <v>1</v>
      </c>
      <c r="C975" s="2" t="s">
        <v>2</v>
      </c>
      <c r="D975" t="s">
        <v>348</v>
      </c>
      <c r="E975"/>
      <c r="F975"/>
      <c r="G975" s="15"/>
      <c r="H975" s="8"/>
      <c r="I975" t="s">
        <v>1</v>
      </c>
      <c r="J975" s="2" t="s">
        <v>2</v>
      </c>
      <c r="K975" t="s">
        <v>349</v>
      </c>
      <c r="L975"/>
      <c r="M975"/>
      <c r="N975" s="15"/>
      <c r="O975" s="8"/>
      <c r="P975" t="s">
        <v>1</v>
      </c>
      <c r="Q975" s="2" t="s">
        <v>2</v>
      </c>
      <c r="R975" t="s">
        <v>350</v>
      </c>
      <c r="S975"/>
      <c r="T975"/>
      <c r="U975" s="15"/>
    </row>
    <row r="976" spans="1:21">
      <c r="A976" s="8"/>
      <c r="B976" t="s">
        <v>6</v>
      </c>
      <c r="C976" s="2" t="s">
        <v>2</v>
      </c>
      <c r="D976" t="s">
        <v>351</v>
      </c>
      <c r="E976"/>
      <c r="F976"/>
      <c r="G976" s="15"/>
      <c r="H976" s="8"/>
      <c r="I976" t="s">
        <v>6</v>
      </c>
      <c r="J976" s="2" t="s">
        <v>2</v>
      </c>
      <c r="K976" t="s">
        <v>352</v>
      </c>
      <c r="L976"/>
      <c r="M976"/>
      <c r="N976" s="15"/>
      <c r="O976" s="8"/>
      <c r="P976" t="s">
        <v>6</v>
      </c>
      <c r="Q976" s="2" t="s">
        <v>2</v>
      </c>
      <c r="R976" t="s">
        <v>353</v>
      </c>
      <c r="S976"/>
      <c r="T976"/>
      <c r="U976" s="15"/>
    </row>
    <row r="977" spans="1:21">
      <c r="A977" s="8"/>
      <c r="B977" t="s">
        <v>10</v>
      </c>
      <c r="C977" s="2" t="s">
        <v>2</v>
      </c>
      <c r="D977" t="s">
        <v>347</v>
      </c>
      <c r="E977"/>
      <c r="F977"/>
      <c r="G977" s="15"/>
      <c r="H977" s="8"/>
      <c r="I977" t="s">
        <v>10</v>
      </c>
      <c r="J977" s="2" t="s">
        <v>2</v>
      </c>
      <c r="K977" t="s">
        <v>347</v>
      </c>
      <c r="L977"/>
      <c r="M977"/>
      <c r="N977" s="15"/>
      <c r="O977" s="8"/>
      <c r="P977" t="s">
        <v>10</v>
      </c>
      <c r="Q977" s="2" t="s">
        <v>2</v>
      </c>
      <c r="R977" t="s">
        <v>347</v>
      </c>
      <c r="S977"/>
      <c r="T977"/>
      <c r="U977" s="15"/>
    </row>
    <row r="978" spans="1:21">
      <c r="A978" s="8"/>
      <c r="B978" t="s">
        <v>12</v>
      </c>
      <c r="C978" s="2" t="s">
        <v>2</v>
      </c>
      <c r="D978" t="s">
        <v>13</v>
      </c>
      <c r="E978"/>
      <c r="F978"/>
      <c r="G978" s="15"/>
      <c r="H978" s="8"/>
      <c r="I978" t="s">
        <v>12</v>
      </c>
      <c r="J978" s="2" t="s">
        <v>2</v>
      </c>
      <c r="K978" t="s">
        <v>13</v>
      </c>
      <c r="L978"/>
      <c r="M978"/>
      <c r="N978" s="15"/>
      <c r="O978" s="8"/>
      <c r="P978" t="s">
        <v>12</v>
      </c>
      <c r="Q978" s="2" t="s">
        <v>2</v>
      </c>
      <c r="R978" t="s">
        <v>13</v>
      </c>
      <c r="S978"/>
      <c r="T978"/>
      <c r="U978" s="15"/>
    </row>
    <row r="979" spans="1:21">
      <c r="A979" s="8"/>
      <c r="B979" s="3" t="s">
        <v>14</v>
      </c>
      <c r="C979" s="4" t="s">
        <v>2</v>
      </c>
      <c r="D979" s="3" t="s">
        <v>15</v>
      </c>
      <c r="E979" s="3"/>
      <c r="F979" s="3"/>
      <c r="G979" s="15"/>
      <c r="H979" s="8"/>
      <c r="I979" s="3" t="s">
        <v>14</v>
      </c>
      <c r="J979" s="4" t="s">
        <v>2</v>
      </c>
      <c r="K979" s="3" t="s">
        <v>15</v>
      </c>
      <c r="L979" s="3"/>
      <c r="M979" s="3"/>
      <c r="N979" s="15"/>
      <c r="O979" s="8"/>
      <c r="P979" s="3" t="s">
        <v>14</v>
      </c>
      <c r="Q979" s="4" t="s">
        <v>2</v>
      </c>
      <c r="R979" s="3" t="s">
        <v>15</v>
      </c>
      <c r="S979" s="3"/>
      <c r="T979" s="3"/>
      <c r="U979" s="15"/>
    </row>
    <row r="980" spans="1:21">
      <c r="A980" s="8"/>
      <c r="B980" t="s">
        <v>16</v>
      </c>
      <c r="C980"/>
      <c r="D980"/>
      <c r="E980" s="2" t="s">
        <v>2</v>
      </c>
      <c r="F980" s="5">
        <v>3589000</v>
      </c>
      <c r="G980" s="15"/>
      <c r="H980" s="8"/>
      <c r="I980" t="s">
        <v>16</v>
      </c>
      <c r="J980"/>
      <c r="K980"/>
      <c r="L980" s="2" t="s">
        <v>2</v>
      </c>
      <c r="M980" s="5">
        <v>3594000</v>
      </c>
      <c r="N980" s="15"/>
      <c r="O980" s="8"/>
      <c r="P980" t="s">
        <v>16</v>
      </c>
      <c r="Q980"/>
      <c r="R980"/>
      <c r="S980" s="2" t="s">
        <v>2</v>
      </c>
      <c r="T980" s="5">
        <v>3594000</v>
      </c>
      <c r="U980" s="15"/>
    </row>
    <row r="981" spans="1:21">
      <c r="A981" s="8"/>
      <c r="B981" t="s">
        <v>17</v>
      </c>
      <c r="C981"/>
      <c r="D981"/>
      <c r="E981" s="2" t="s">
        <v>2</v>
      </c>
      <c r="F981" s="5">
        <v>0</v>
      </c>
      <c r="G981" s="15"/>
      <c r="H981" s="8"/>
      <c r="I981" t="s">
        <v>17</v>
      </c>
      <c r="J981"/>
      <c r="K981"/>
      <c r="L981" s="2" t="s">
        <v>2</v>
      </c>
      <c r="M981" s="5">
        <v>0</v>
      </c>
      <c r="N981" s="15"/>
      <c r="O981" s="8"/>
      <c r="P981" t="s">
        <v>17</v>
      </c>
      <c r="Q981"/>
      <c r="R981"/>
      <c r="S981" s="2" t="s">
        <v>2</v>
      </c>
      <c r="T981" s="5">
        <v>0</v>
      </c>
      <c r="U981" s="15"/>
    </row>
    <row r="982" spans="1:21">
      <c r="A982" s="8"/>
      <c r="B982" t="s">
        <v>18</v>
      </c>
      <c r="C982"/>
      <c r="D982"/>
      <c r="E982" s="2" t="s">
        <v>2</v>
      </c>
      <c r="F982" s="5">
        <v>0</v>
      </c>
      <c r="G982" s="15"/>
      <c r="H982" s="8"/>
      <c r="I982" t="s">
        <v>18</v>
      </c>
      <c r="J982"/>
      <c r="K982"/>
      <c r="L982" s="2" t="s">
        <v>2</v>
      </c>
      <c r="M982" s="5">
        <v>0</v>
      </c>
      <c r="N982" s="15"/>
      <c r="O982" s="8"/>
      <c r="P982" t="s">
        <v>18</v>
      </c>
      <c r="Q982"/>
      <c r="R982"/>
      <c r="S982" s="2" t="s">
        <v>2</v>
      </c>
      <c r="T982" s="5">
        <v>0</v>
      </c>
      <c r="U982" s="15"/>
    </row>
    <row r="983" spans="1:21">
      <c r="A983" s="8"/>
      <c r="B983" t="s">
        <v>19</v>
      </c>
      <c r="C983"/>
      <c r="D983"/>
      <c r="E983" s="2" t="s">
        <v>2</v>
      </c>
      <c r="F983" s="5">
        <v>4000</v>
      </c>
      <c r="G983" s="15"/>
      <c r="H983" s="8"/>
      <c r="I983" t="s">
        <v>19</v>
      </c>
      <c r="J983"/>
      <c r="K983"/>
      <c r="L983" s="2" t="s">
        <v>2</v>
      </c>
      <c r="M983" s="5">
        <v>2000</v>
      </c>
      <c r="N983" s="15"/>
      <c r="O983" s="8"/>
      <c r="P983" t="s">
        <v>19</v>
      </c>
      <c r="Q983"/>
      <c r="R983"/>
      <c r="S983" s="2" t="s">
        <v>2</v>
      </c>
      <c r="T983" s="5">
        <v>6000</v>
      </c>
      <c r="U983" s="15"/>
    </row>
    <row r="984" spans="1:21">
      <c r="A984" s="8"/>
      <c r="B984"/>
      <c r="C984"/>
      <c r="D984"/>
      <c r="E984"/>
      <c r="F984"/>
      <c r="G984" s="15"/>
      <c r="H984" s="8"/>
      <c r="I984"/>
      <c r="J984"/>
      <c r="K984"/>
      <c r="L984"/>
      <c r="M984"/>
      <c r="N984" s="15"/>
      <c r="O984" s="8"/>
      <c r="P984"/>
      <c r="Q984"/>
      <c r="R984"/>
      <c r="S984"/>
      <c r="T984"/>
      <c r="U984" s="15"/>
    </row>
    <row r="985" spans="1:21">
      <c r="A985" s="8"/>
      <c r="B985" s="2" t="s">
        <v>20</v>
      </c>
      <c r="C985"/>
      <c r="D985"/>
      <c r="E985"/>
      <c r="F985"/>
      <c r="G985" s="15"/>
      <c r="H985" s="8"/>
      <c r="I985" s="2" t="s">
        <v>20</v>
      </c>
      <c r="J985"/>
      <c r="K985"/>
      <c r="L985"/>
      <c r="M985"/>
      <c r="N985" s="15"/>
      <c r="O985" s="8"/>
      <c r="P985" s="2" t="s">
        <v>20</v>
      </c>
      <c r="Q985"/>
      <c r="R985"/>
      <c r="S985"/>
      <c r="T985"/>
      <c r="U985" s="15"/>
    </row>
    <row r="986" spans="1:21">
      <c r="A986" s="8"/>
      <c r="B986" t="s">
        <v>21</v>
      </c>
      <c r="C986"/>
      <c r="D986"/>
      <c r="E986" s="2" t="s">
        <v>2</v>
      </c>
      <c r="F986" s="5">
        <v>1914133.38</v>
      </c>
      <c r="G986" s="15"/>
      <c r="H986" s="8"/>
      <c r="I986" t="s">
        <v>21</v>
      </c>
      <c r="J986"/>
      <c r="K986"/>
      <c r="L986" s="2" t="s">
        <v>2</v>
      </c>
      <c r="M986" s="5">
        <v>2156400</v>
      </c>
      <c r="N986" s="15"/>
      <c r="O986" s="8"/>
      <c r="P986" t="s">
        <v>21</v>
      </c>
      <c r="Q986"/>
      <c r="R986"/>
      <c r="S986" s="2" t="s">
        <v>2</v>
      </c>
      <c r="T986" s="5">
        <v>2156400</v>
      </c>
      <c r="U986" s="15"/>
    </row>
    <row r="987" spans="1:21">
      <c r="A987" s="8"/>
      <c r="B987" t="s">
        <v>22</v>
      </c>
      <c r="C987"/>
      <c r="D987"/>
      <c r="E987" s="2" t="s">
        <v>2</v>
      </c>
      <c r="F987" s="5">
        <v>107670</v>
      </c>
      <c r="G987" s="15"/>
      <c r="H987" s="8"/>
      <c r="I987" t="s">
        <v>22</v>
      </c>
      <c r="J987"/>
      <c r="K987"/>
      <c r="L987" s="2" t="s">
        <v>2</v>
      </c>
      <c r="M987" s="5">
        <v>107820</v>
      </c>
      <c r="N987" s="15"/>
      <c r="O987" s="8"/>
      <c r="P987" t="s">
        <v>22</v>
      </c>
      <c r="Q987"/>
      <c r="R987"/>
      <c r="S987" s="2" t="s">
        <v>2</v>
      </c>
      <c r="T987" s="5">
        <v>107820</v>
      </c>
      <c r="U987" s="15"/>
    </row>
    <row r="988" spans="1:21">
      <c r="A988" s="8"/>
      <c r="B988" s="3" t="s">
        <v>23</v>
      </c>
      <c r="C988" s="3"/>
      <c r="D988" s="3"/>
      <c r="E988" s="4" t="s">
        <v>2</v>
      </c>
      <c r="F988" s="6">
        <v>35745</v>
      </c>
      <c r="G988" s="15"/>
      <c r="H988" s="8"/>
      <c r="I988" s="3" t="s">
        <v>23</v>
      </c>
      <c r="J988" s="3"/>
      <c r="K988" s="3"/>
      <c r="L988" s="4" t="s">
        <v>2</v>
      </c>
      <c r="M988" s="6">
        <v>35745</v>
      </c>
      <c r="N988" s="15"/>
      <c r="O988" s="8"/>
      <c r="P988" s="3" t="s">
        <v>23</v>
      </c>
      <c r="Q988" s="3"/>
      <c r="R988" s="3"/>
      <c r="S988" s="4" t="s">
        <v>2</v>
      </c>
      <c r="T988" s="6">
        <v>35745</v>
      </c>
      <c r="U988" s="15"/>
    </row>
    <row r="989" spans="1:21">
      <c r="A989" s="8"/>
      <c r="B989" t="s">
        <v>24</v>
      </c>
      <c r="C989"/>
      <c r="D989"/>
      <c r="E989" s="2" t="s">
        <v>2</v>
      </c>
      <c r="F989" s="5" t="str">
        <f>sum(f986:f988)</f>
        <v>0</v>
      </c>
      <c r="G989" s="15"/>
      <c r="H989" s="8"/>
      <c r="I989" t="s">
        <v>24</v>
      </c>
      <c r="J989"/>
      <c r="K989"/>
      <c r="L989" s="2" t="s">
        <v>2</v>
      </c>
      <c r="M989" s="5" t="str">
        <f>sum(m986:m988)</f>
        <v>0</v>
      </c>
      <c r="N989" s="15"/>
      <c r="O989" s="8"/>
      <c r="P989" t="s">
        <v>24</v>
      </c>
      <c r="Q989"/>
      <c r="R989"/>
      <c r="S989" s="2" t="s">
        <v>2</v>
      </c>
      <c r="T989" s="5" t="str">
        <f>sum(t986:t988)</f>
        <v>0</v>
      </c>
      <c r="U989" s="15"/>
    </row>
    <row r="990" spans="1:21">
      <c r="A990" s="9"/>
      <c r="B990" s="11" t="s">
        <v>25</v>
      </c>
      <c r="C990" s="11"/>
      <c r="D990" s="11"/>
      <c r="E990" s="12" t="s">
        <v>2</v>
      </c>
      <c r="F990" s="13" t="str">
        <f>sum(f980:f983)-f989</f>
        <v>0</v>
      </c>
      <c r="G990" s="16"/>
      <c r="H990" s="9"/>
      <c r="I990" s="11" t="s">
        <v>25</v>
      </c>
      <c r="J990" s="11"/>
      <c r="K990" s="11"/>
      <c r="L990" s="12" t="s">
        <v>2</v>
      </c>
      <c r="M990" s="13" t="str">
        <f>sum(m980:m983)-m989</f>
        <v>0</v>
      </c>
      <c r="N990" s="16"/>
      <c r="O990" s="9"/>
      <c r="P990" s="11" t="s">
        <v>25</v>
      </c>
      <c r="Q990" s="11"/>
      <c r="R990" s="11"/>
      <c r="S990" s="12" t="s">
        <v>2</v>
      </c>
      <c r="T990" s="13" t="str">
        <f>sum(t980:t983)-t989</f>
        <v>0</v>
      </c>
      <c r="U990" s="16"/>
    </row>
    <row r="991" spans="1:21">
      <c r="A991" s="7"/>
      <c r="B991" s="10"/>
      <c r="C991" s="10"/>
      <c r="D991" s="10"/>
      <c r="E991" s="10"/>
      <c r="F991" s="10"/>
      <c r="G991" s="14"/>
      <c r="H991" s="7"/>
      <c r="I991" s="10"/>
      <c r="J991" s="10"/>
      <c r="K991" s="10"/>
      <c r="L991" s="10"/>
      <c r="M991" s="10"/>
      <c r="N991" s="14"/>
      <c r="O991" s="7"/>
      <c r="P991" s="10"/>
      <c r="Q991" s="10"/>
      <c r="R991" s="10"/>
      <c r="S991" s="10"/>
      <c r="T991" s="10"/>
      <c r="U991" s="14"/>
    </row>
    <row r="992" spans="1:21">
      <c r="A992" s="8"/>
      <c r="B992" s="1" t="s">
        <v>0</v>
      </c>
      <c r="C992"/>
      <c r="D992"/>
      <c r="E992"/>
      <c r="F992"/>
      <c r="G992" s="15"/>
      <c r="H992" s="8"/>
      <c r="I992" s="1" t="s">
        <v>0</v>
      </c>
      <c r="J992"/>
      <c r="K992"/>
      <c r="L992"/>
      <c r="M992"/>
      <c r="N992" s="15"/>
      <c r="O992" s="8"/>
      <c r="P992" s="1" t="s">
        <v>0</v>
      </c>
      <c r="Q992"/>
      <c r="R992"/>
      <c r="S992"/>
      <c r="T992"/>
      <c r="U992" s="15"/>
    </row>
    <row r="993" spans="1:21">
      <c r="A993" s="8"/>
      <c r="B993" t="s">
        <v>1</v>
      </c>
      <c r="C993" s="2" t="s">
        <v>2</v>
      </c>
      <c r="D993" t="s">
        <v>354</v>
      </c>
      <c r="E993"/>
      <c r="F993"/>
      <c r="G993" s="15"/>
      <c r="H993" s="8"/>
      <c r="I993" t="s">
        <v>1</v>
      </c>
      <c r="J993" s="2" t="s">
        <v>2</v>
      </c>
      <c r="K993" t="s">
        <v>355</v>
      </c>
      <c r="L993"/>
      <c r="M993"/>
      <c r="N993" s="15"/>
      <c r="O993" s="8"/>
      <c r="P993" t="s">
        <v>1</v>
      </c>
      <c r="Q993" s="2" t="s">
        <v>2</v>
      </c>
      <c r="R993" t="s">
        <v>356</v>
      </c>
      <c r="S993"/>
      <c r="T993"/>
      <c r="U993" s="15"/>
    </row>
    <row r="994" spans="1:21">
      <c r="A994" s="8"/>
      <c r="B994" t="s">
        <v>6</v>
      </c>
      <c r="C994" s="2" t="s">
        <v>2</v>
      </c>
      <c r="D994" t="s">
        <v>357</v>
      </c>
      <c r="E994"/>
      <c r="F994"/>
      <c r="G994" s="15"/>
      <c r="H994" s="8"/>
      <c r="I994" t="s">
        <v>6</v>
      </c>
      <c r="J994" s="2" t="s">
        <v>2</v>
      </c>
      <c r="K994" t="s">
        <v>358</v>
      </c>
      <c r="L994"/>
      <c r="M994"/>
      <c r="N994" s="15"/>
      <c r="O994" s="8"/>
      <c r="P994" t="s">
        <v>6</v>
      </c>
      <c r="Q994" s="2" t="s">
        <v>2</v>
      </c>
      <c r="R994" t="s">
        <v>359</v>
      </c>
      <c r="S994"/>
      <c r="T994"/>
      <c r="U994" s="15"/>
    </row>
    <row r="995" spans="1:21">
      <c r="A995" s="8"/>
      <c r="B995" t="s">
        <v>10</v>
      </c>
      <c r="C995" s="2" t="s">
        <v>2</v>
      </c>
      <c r="D995" t="s">
        <v>360</v>
      </c>
      <c r="E995"/>
      <c r="F995"/>
      <c r="G995" s="15"/>
      <c r="H995" s="8"/>
      <c r="I995" t="s">
        <v>10</v>
      </c>
      <c r="J995" s="2" t="s">
        <v>2</v>
      </c>
      <c r="K995" t="s">
        <v>360</v>
      </c>
      <c r="L995"/>
      <c r="M995"/>
      <c r="N995" s="15"/>
      <c r="O995" s="8"/>
      <c r="P995" t="s">
        <v>10</v>
      </c>
      <c r="Q995" s="2" t="s">
        <v>2</v>
      </c>
      <c r="R995" t="s">
        <v>360</v>
      </c>
      <c r="S995"/>
      <c r="T995"/>
      <c r="U995" s="15"/>
    </row>
    <row r="996" spans="1:21">
      <c r="A996" s="8"/>
      <c r="B996" t="s">
        <v>12</v>
      </c>
      <c r="C996" s="2" t="s">
        <v>2</v>
      </c>
      <c r="D996" t="s">
        <v>13</v>
      </c>
      <c r="E996"/>
      <c r="F996"/>
      <c r="G996" s="15"/>
      <c r="H996" s="8"/>
      <c r="I996" t="s">
        <v>12</v>
      </c>
      <c r="J996" s="2" t="s">
        <v>2</v>
      </c>
      <c r="K996" t="s">
        <v>13</v>
      </c>
      <c r="L996"/>
      <c r="M996"/>
      <c r="N996" s="15"/>
      <c r="O996" s="8"/>
      <c r="P996" t="s">
        <v>12</v>
      </c>
      <c r="Q996" s="2" t="s">
        <v>2</v>
      </c>
      <c r="R996" t="s">
        <v>13</v>
      </c>
      <c r="S996"/>
      <c r="T996"/>
      <c r="U996" s="15"/>
    </row>
    <row r="997" spans="1:21">
      <c r="A997" s="8"/>
      <c r="B997" s="3" t="s">
        <v>14</v>
      </c>
      <c r="C997" s="4" t="s">
        <v>2</v>
      </c>
      <c r="D997" s="3" t="s">
        <v>15</v>
      </c>
      <c r="E997" s="3"/>
      <c r="F997" s="3"/>
      <c r="G997" s="15"/>
      <c r="H997" s="8"/>
      <c r="I997" s="3" t="s">
        <v>14</v>
      </c>
      <c r="J997" s="4" t="s">
        <v>2</v>
      </c>
      <c r="K997" s="3" t="s">
        <v>15</v>
      </c>
      <c r="L997" s="3"/>
      <c r="M997" s="3"/>
      <c r="N997" s="15"/>
      <c r="O997" s="8"/>
      <c r="P997" s="3" t="s">
        <v>14</v>
      </c>
      <c r="Q997" s="4" t="s">
        <v>2</v>
      </c>
      <c r="R997" s="3" t="s">
        <v>15</v>
      </c>
      <c r="S997" s="3"/>
      <c r="T997" s="3"/>
      <c r="U997" s="15"/>
    </row>
    <row r="998" spans="1:21">
      <c r="A998" s="8"/>
      <c r="B998" t="s">
        <v>16</v>
      </c>
      <c r="C998"/>
      <c r="D998"/>
      <c r="E998" s="2" t="s">
        <v>2</v>
      </c>
      <c r="F998" s="5">
        <v>3595000</v>
      </c>
      <c r="G998" s="15"/>
      <c r="H998" s="8"/>
      <c r="I998" t="s">
        <v>16</v>
      </c>
      <c r="J998"/>
      <c r="K998"/>
      <c r="L998" s="2" t="s">
        <v>2</v>
      </c>
      <c r="M998" s="5">
        <v>3596000</v>
      </c>
      <c r="N998" s="15"/>
      <c r="O998" s="8"/>
      <c r="P998" t="s">
        <v>16</v>
      </c>
      <c r="Q998"/>
      <c r="R998"/>
      <c r="S998" s="2" t="s">
        <v>2</v>
      </c>
      <c r="T998" s="5">
        <v>3596000</v>
      </c>
      <c r="U998" s="15"/>
    </row>
    <row r="999" spans="1:21">
      <c r="A999" s="8"/>
      <c r="B999" t="s">
        <v>17</v>
      </c>
      <c r="C999"/>
      <c r="D999"/>
      <c r="E999" s="2" t="s">
        <v>2</v>
      </c>
      <c r="F999" s="5">
        <v>80000</v>
      </c>
      <c r="G999" s="15"/>
      <c r="H999" s="8"/>
      <c r="I999" t="s">
        <v>17</v>
      </c>
      <c r="J999"/>
      <c r="K999"/>
      <c r="L999" s="2" t="s">
        <v>2</v>
      </c>
      <c r="M999" s="5">
        <v>0</v>
      </c>
      <c r="N999" s="15"/>
      <c r="O999" s="8"/>
      <c r="P999" t="s">
        <v>17</v>
      </c>
      <c r="Q999"/>
      <c r="R999"/>
      <c r="S999" s="2" t="s">
        <v>2</v>
      </c>
      <c r="T999" s="5">
        <v>80000</v>
      </c>
      <c r="U999" s="15"/>
    </row>
    <row r="1000" spans="1:21">
      <c r="A1000" s="8"/>
      <c r="B1000" t="s">
        <v>18</v>
      </c>
      <c r="C1000"/>
      <c r="D1000"/>
      <c r="E1000" s="2" t="s">
        <v>2</v>
      </c>
      <c r="F1000" s="5">
        <v>0</v>
      </c>
      <c r="G1000" s="15"/>
      <c r="H1000" s="8"/>
      <c r="I1000" t="s">
        <v>18</v>
      </c>
      <c r="J1000"/>
      <c r="K1000"/>
      <c r="L1000" s="2" t="s">
        <v>2</v>
      </c>
      <c r="M1000" s="5">
        <v>0</v>
      </c>
      <c r="N1000" s="15"/>
      <c r="O1000" s="8"/>
      <c r="P1000" t="s">
        <v>18</v>
      </c>
      <c r="Q1000"/>
      <c r="R1000"/>
      <c r="S1000" s="2" t="s">
        <v>2</v>
      </c>
      <c r="T1000" s="5">
        <v>0</v>
      </c>
      <c r="U1000" s="15"/>
    </row>
    <row r="1001" spans="1:21">
      <c r="A1001" s="8"/>
      <c r="B1001" t="s">
        <v>19</v>
      </c>
      <c r="C1001"/>
      <c r="D1001"/>
      <c r="E1001" s="2" t="s">
        <v>2</v>
      </c>
      <c r="F1001" s="5">
        <v>2000</v>
      </c>
      <c r="G1001" s="15"/>
      <c r="H1001" s="8"/>
      <c r="I1001" t="s">
        <v>19</v>
      </c>
      <c r="J1001"/>
      <c r="K1001"/>
      <c r="L1001" s="2" t="s">
        <v>2</v>
      </c>
      <c r="M1001" s="5">
        <v>2000</v>
      </c>
      <c r="N1001" s="15"/>
      <c r="O1001" s="8"/>
      <c r="P1001" t="s">
        <v>19</v>
      </c>
      <c r="Q1001"/>
      <c r="R1001"/>
      <c r="S1001" s="2" t="s">
        <v>2</v>
      </c>
      <c r="T1001" s="5">
        <v>16000</v>
      </c>
      <c r="U1001" s="15"/>
    </row>
    <row r="1002" spans="1:21">
      <c r="A1002" s="8"/>
      <c r="B1002"/>
      <c r="C1002"/>
      <c r="D1002"/>
      <c r="E1002"/>
      <c r="F1002"/>
      <c r="G1002" s="15"/>
      <c r="H1002" s="8"/>
      <c r="I1002"/>
      <c r="J1002"/>
      <c r="K1002"/>
      <c r="L1002"/>
      <c r="M1002"/>
      <c r="N1002" s="15"/>
      <c r="O1002" s="8"/>
      <c r="P1002"/>
      <c r="Q1002"/>
      <c r="R1002"/>
      <c r="S1002"/>
      <c r="T1002"/>
      <c r="U1002" s="15"/>
    </row>
    <row r="1003" spans="1:21">
      <c r="A1003" s="8"/>
      <c r="B1003" s="2" t="s">
        <v>20</v>
      </c>
      <c r="C1003"/>
      <c r="D1003"/>
      <c r="E1003"/>
      <c r="F1003"/>
      <c r="G1003" s="15"/>
      <c r="H1003" s="8"/>
      <c r="I1003" s="2" t="s">
        <v>20</v>
      </c>
      <c r="J1003"/>
      <c r="K1003"/>
      <c r="L1003"/>
      <c r="M1003"/>
      <c r="N1003" s="15"/>
      <c r="O1003" s="8"/>
      <c r="P1003" s="2" t="s">
        <v>20</v>
      </c>
      <c r="Q1003"/>
      <c r="R1003"/>
      <c r="S1003"/>
      <c r="T1003"/>
      <c r="U1003" s="15"/>
    </row>
    <row r="1004" spans="1:21">
      <c r="A1004" s="8"/>
      <c r="B1004" t="s">
        <v>21</v>
      </c>
      <c r="C1004"/>
      <c r="D1004"/>
      <c r="E1004" s="2" t="s">
        <v>2</v>
      </c>
      <c r="F1004" s="5">
        <v>2037166.62</v>
      </c>
      <c r="G1004" s="15"/>
      <c r="H1004" s="8"/>
      <c r="I1004" t="s">
        <v>21</v>
      </c>
      <c r="J1004"/>
      <c r="K1004"/>
      <c r="L1004" s="2" t="s">
        <v>2</v>
      </c>
      <c r="M1004" s="5">
        <v>1917866.62</v>
      </c>
      <c r="N1004" s="15"/>
      <c r="O1004" s="8"/>
      <c r="P1004" t="s">
        <v>21</v>
      </c>
      <c r="Q1004"/>
      <c r="R1004"/>
      <c r="S1004" s="2" t="s">
        <v>2</v>
      </c>
      <c r="T1004" s="5">
        <v>119866.67</v>
      </c>
      <c r="U1004" s="15"/>
    </row>
    <row r="1005" spans="1:21">
      <c r="A1005" s="8"/>
      <c r="B1005" t="s">
        <v>22</v>
      </c>
      <c r="C1005"/>
      <c r="D1005"/>
      <c r="E1005" s="2" t="s">
        <v>2</v>
      </c>
      <c r="F1005" s="5">
        <v>107850</v>
      </c>
      <c r="G1005" s="15"/>
      <c r="H1005" s="8"/>
      <c r="I1005" t="s">
        <v>22</v>
      </c>
      <c r="J1005"/>
      <c r="K1005"/>
      <c r="L1005" s="2" t="s">
        <v>2</v>
      </c>
      <c r="M1005" s="5">
        <v>107880</v>
      </c>
      <c r="N1005" s="15"/>
      <c r="O1005" s="8"/>
      <c r="P1005" t="s">
        <v>22</v>
      </c>
      <c r="Q1005"/>
      <c r="R1005"/>
      <c r="S1005" s="2" t="s">
        <v>2</v>
      </c>
      <c r="T1005" s="5">
        <v>107880</v>
      </c>
      <c r="U1005" s="15"/>
    </row>
    <row r="1006" spans="1:21">
      <c r="A1006" s="8"/>
      <c r="B1006" s="3" t="s">
        <v>23</v>
      </c>
      <c r="C1006" s="3"/>
      <c r="D1006" s="3"/>
      <c r="E1006" s="4" t="s">
        <v>2</v>
      </c>
      <c r="F1006" s="6">
        <v>35745</v>
      </c>
      <c r="G1006" s="15"/>
      <c r="H1006" s="8"/>
      <c r="I1006" s="3" t="s">
        <v>23</v>
      </c>
      <c r="J1006" s="3"/>
      <c r="K1006" s="3"/>
      <c r="L1006" s="4" t="s">
        <v>2</v>
      </c>
      <c r="M1006" s="6">
        <v>35745</v>
      </c>
      <c r="N1006" s="15"/>
      <c r="O1006" s="8"/>
      <c r="P1006" s="3" t="s">
        <v>23</v>
      </c>
      <c r="Q1006" s="3"/>
      <c r="R1006" s="3"/>
      <c r="S1006" s="4" t="s">
        <v>2</v>
      </c>
      <c r="T1006" s="6">
        <v>35745</v>
      </c>
      <c r="U1006" s="15"/>
    </row>
    <row r="1007" spans="1:21">
      <c r="A1007" s="8"/>
      <c r="B1007" t="s">
        <v>24</v>
      </c>
      <c r="C1007"/>
      <c r="D1007"/>
      <c r="E1007" s="2" t="s">
        <v>2</v>
      </c>
      <c r="F1007" s="5" t="str">
        <f>sum(f1004:f1006)</f>
        <v>0</v>
      </c>
      <c r="G1007" s="15"/>
      <c r="H1007" s="8"/>
      <c r="I1007" t="s">
        <v>24</v>
      </c>
      <c r="J1007"/>
      <c r="K1007"/>
      <c r="L1007" s="2" t="s">
        <v>2</v>
      </c>
      <c r="M1007" s="5" t="str">
        <f>sum(m1004:m1006)</f>
        <v>0</v>
      </c>
      <c r="N1007" s="15"/>
      <c r="O1007" s="8"/>
      <c r="P1007" t="s">
        <v>24</v>
      </c>
      <c r="Q1007"/>
      <c r="R1007"/>
      <c r="S1007" s="2" t="s">
        <v>2</v>
      </c>
      <c r="T1007" s="5" t="str">
        <f>sum(t1004:t1006)</f>
        <v>0</v>
      </c>
      <c r="U1007" s="15"/>
    </row>
    <row r="1008" spans="1:21">
      <c r="A1008" s="9"/>
      <c r="B1008" s="11" t="s">
        <v>25</v>
      </c>
      <c r="C1008" s="11"/>
      <c r="D1008" s="11"/>
      <c r="E1008" s="12" t="s">
        <v>2</v>
      </c>
      <c r="F1008" s="13" t="str">
        <f>sum(f998:f1001)-f1007</f>
        <v>0</v>
      </c>
      <c r="G1008" s="16"/>
      <c r="H1008" s="9"/>
      <c r="I1008" s="11" t="s">
        <v>25</v>
      </c>
      <c r="J1008" s="11"/>
      <c r="K1008" s="11"/>
      <c r="L1008" s="12" t="s">
        <v>2</v>
      </c>
      <c r="M1008" s="13" t="str">
        <f>sum(m998:m1001)-m1007</f>
        <v>0</v>
      </c>
      <c r="N1008" s="16"/>
      <c r="O1008" s="9"/>
      <c r="P1008" s="11" t="s">
        <v>25</v>
      </c>
      <c r="Q1008" s="11"/>
      <c r="R1008" s="11"/>
      <c r="S1008" s="12" t="s">
        <v>2</v>
      </c>
      <c r="T1008" s="13" t="str">
        <f>sum(t998:t1001)-t1007</f>
        <v>0</v>
      </c>
      <c r="U1008" s="16"/>
    </row>
    <row r="1009" spans="1:21">
      <c r="A1009" s="7"/>
      <c r="B1009" s="10"/>
      <c r="C1009" s="10"/>
      <c r="D1009" s="10"/>
      <c r="E1009" s="10"/>
      <c r="F1009" s="10"/>
      <c r="G1009" s="14"/>
      <c r="H1009" s="7"/>
      <c r="I1009" s="10"/>
      <c r="J1009" s="10"/>
      <c r="K1009" s="10"/>
      <c r="L1009" s="10"/>
      <c r="M1009" s="10"/>
      <c r="N1009" s="14"/>
      <c r="O1009" s="7"/>
      <c r="P1009" s="10"/>
      <c r="Q1009" s="10"/>
      <c r="R1009" s="10"/>
      <c r="S1009" s="10"/>
      <c r="T1009" s="10"/>
      <c r="U1009" s="14"/>
    </row>
    <row r="1010" spans="1:21">
      <c r="A1010" s="8"/>
      <c r="B1010" s="1" t="s">
        <v>0</v>
      </c>
      <c r="C1010"/>
      <c r="D1010"/>
      <c r="E1010"/>
      <c r="F1010"/>
      <c r="G1010" s="15"/>
      <c r="H1010" s="8"/>
      <c r="I1010" s="1" t="s">
        <v>0</v>
      </c>
      <c r="J1010"/>
      <c r="K1010"/>
      <c r="L1010"/>
      <c r="M1010"/>
      <c r="N1010" s="15"/>
      <c r="O1010" s="8"/>
      <c r="P1010" s="1" t="s">
        <v>0</v>
      </c>
      <c r="Q1010"/>
      <c r="R1010"/>
      <c r="S1010"/>
      <c r="T1010"/>
      <c r="U1010" s="15"/>
    </row>
    <row r="1011" spans="1:21">
      <c r="A1011" s="8"/>
      <c r="B1011" t="s">
        <v>1</v>
      </c>
      <c r="C1011" s="2" t="s">
        <v>2</v>
      </c>
      <c r="D1011" t="s">
        <v>361</v>
      </c>
      <c r="E1011"/>
      <c r="F1011"/>
      <c r="G1011" s="15"/>
      <c r="H1011" s="8"/>
      <c r="I1011" t="s">
        <v>1</v>
      </c>
      <c r="J1011" s="2" t="s">
        <v>2</v>
      </c>
      <c r="K1011" t="s">
        <v>362</v>
      </c>
      <c r="L1011"/>
      <c r="M1011"/>
      <c r="N1011" s="15"/>
      <c r="O1011" s="8"/>
      <c r="P1011" t="s">
        <v>1</v>
      </c>
      <c r="Q1011" s="2" t="s">
        <v>2</v>
      </c>
      <c r="R1011" t="s">
        <v>363</v>
      </c>
      <c r="S1011"/>
      <c r="T1011"/>
      <c r="U1011" s="15"/>
    </row>
    <row r="1012" spans="1:21">
      <c r="A1012" s="8"/>
      <c r="B1012" t="s">
        <v>6</v>
      </c>
      <c r="C1012" s="2" t="s">
        <v>2</v>
      </c>
      <c r="D1012" t="s">
        <v>364</v>
      </c>
      <c r="E1012"/>
      <c r="F1012"/>
      <c r="G1012" s="15"/>
      <c r="H1012" s="8"/>
      <c r="I1012" t="s">
        <v>6</v>
      </c>
      <c r="J1012" s="2" t="s">
        <v>2</v>
      </c>
      <c r="K1012" t="s">
        <v>365</v>
      </c>
      <c r="L1012"/>
      <c r="M1012"/>
      <c r="N1012" s="15"/>
      <c r="O1012" s="8"/>
      <c r="P1012" t="s">
        <v>6</v>
      </c>
      <c r="Q1012" s="2" t="s">
        <v>2</v>
      </c>
      <c r="R1012" t="s">
        <v>366</v>
      </c>
      <c r="S1012"/>
      <c r="T1012"/>
      <c r="U1012" s="15"/>
    </row>
    <row r="1013" spans="1:21">
      <c r="A1013" s="8"/>
      <c r="B1013" t="s">
        <v>10</v>
      </c>
      <c r="C1013" s="2" t="s">
        <v>2</v>
      </c>
      <c r="D1013" t="s">
        <v>360</v>
      </c>
      <c r="E1013"/>
      <c r="F1013"/>
      <c r="G1013" s="15"/>
      <c r="H1013" s="8"/>
      <c r="I1013" t="s">
        <v>10</v>
      </c>
      <c r="J1013" s="2" t="s">
        <v>2</v>
      </c>
      <c r="K1013" t="s">
        <v>360</v>
      </c>
      <c r="L1013"/>
      <c r="M1013"/>
      <c r="N1013" s="15"/>
      <c r="O1013" s="8"/>
      <c r="P1013" t="s">
        <v>10</v>
      </c>
      <c r="Q1013" s="2" t="s">
        <v>2</v>
      </c>
      <c r="R1013" t="s">
        <v>360</v>
      </c>
      <c r="S1013"/>
      <c r="T1013"/>
      <c r="U1013" s="15"/>
    </row>
    <row r="1014" spans="1:21">
      <c r="A1014" s="8"/>
      <c r="B1014" t="s">
        <v>12</v>
      </c>
      <c r="C1014" s="2" t="s">
        <v>2</v>
      </c>
      <c r="D1014" t="s">
        <v>13</v>
      </c>
      <c r="E1014"/>
      <c r="F1014"/>
      <c r="G1014" s="15"/>
      <c r="H1014" s="8"/>
      <c r="I1014" t="s">
        <v>12</v>
      </c>
      <c r="J1014" s="2" t="s">
        <v>2</v>
      </c>
      <c r="K1014" t="s">
        <v>13</v>
      </c>
      <c r="L1014"/>
      <c r="M1014"/>
      <c r="N1014" s="15"/>
      <c r="O1014" s="8"/>
      <c r="P1014" t="s">
        <v>12</v>
      </c>
      <c r="Q1014" s="2" t="s">
        <v>2</v>
      </c>
      <c r="R1014" t="s">
        <v>13</v>
      </c>
      <c r="S1014"/>
      <c r="T1014"/>
      <c r="U1014" s="15"/>
    </row>
    <row r="1015" spans="1:21">
      <c r="A1015" s="8"/>
      <c r="B1015" s="3" t="s">
        <v>14</v>
      </c>
      <c r="C1015" s="4" t="s">
        <v>2</v>
      </c>
      <c r="D1015" s="3" t="s">
        <v>15</v>
      </c>
      <c r="E1015" s="3"/>
      <c r="F1015" s="3"/>
      <c r="G1015" s="15"/>
      <c r="H1015" s="8"/>
      <c r="I1015" s="3" t="s">
        <v>14</v>
      </c>
      <c r="J1015" s="4" t="s">
        <v>2</v>
      </c>
      <c r="K1015" s="3" t="s">
        <v>15</v>
      </c>
      <c r="L1015" s="3"/>
      <c r="M1015" s="3"/>
      <c r="N1015" s="15"/>
      <c r="O1015" s="8"/>
      <c r="P1015" s="3" t="s">
        <v>14</v>
      </c>
      <c r="Q1015" s="4" t="s">
        <v>2</v>
      </c>
      <c r="R1015" s="3" t="s">
        <v>15</v>
      </c>
      <c r="S1015" s="3"/>
      <c r="T1015" s="3"/>
      <c r="U1015" s="15"/>
    </row>
    <row r="1016" spans="1:21">
      <c r="A1016" s="8"/>
      <c r="B1016" t="s">
        <v>16</v>
      </c>
      <c r="C1016"/>
      <c r="D1016"/>
      <c r="E1016" s="2" t="s">
        <v>2</v>
      </c>
      <c r="F1016" s="5">
        <v>3593000</v>
      </c>
      <c r="G1016" s="15"/>
      <c r="H1016" s="8"/>
      <c r="I1016" t="s">
        <v>16</v>
      </c>
      <c r="J1016"/>
      <c r="K1016"/>
      <c r="L1016" s="2" t="s">
        <v>2</v>
      </c>
      <c r="M1016" s="5">
        <v>3596000</v>
      </c>
      <c r="N1016" s="15"/>
      <c r="O1016" s="8"/>
      <c r="P1016" t="s">
        <v>16</v>
      </c>
      <c r="Q1016"/>
      <c r="R1016"/>
      <c r="S1016" s="2" t="s">
        <v>2</v>
      </c>
      <c r="T1016" s="5">
        <v>3595000</v>
      </c>
      <c r="U1016" s="15"/>
    </row>
    <row r="1017" spans="1:21">
      <c r="A1017" s="8"/>
      <c r="B1017" t="s">
        <v>17</v>
      </c>
      <c r="C1017"/>
      <c r="D1017"/>
      <c r="E1017" s="2" t="s">
        <v>2</v>
      </c>
      <c r="F1017" s="5">
        <v>0</v>
      </c>
      <c r="G1017" s="15"/>
      <c r="H1017" s="8"/>
      <c r="I1017" t="s">
        <v>17</v>
      </c>
      <c r="J1017"/>
      <c r="K1017"/>
      <c r="L1017" s="2" t="s">
        <v>2</v>
      </c>
      <c r="M1017" s="5">
        <v>0</v>
      </c>
      <c r="N1017" s="15"/>
      <c r="O1017" s="8"/>
      <c r="P1017" t="s">
        <v>17</v>
      </c>
      <c r="Q1017"/>
      <c r="R1017"/>
      <c r="S1017" s="2" t="s">
        <v>2</v>
      </c>
      <c r="T1017" s="5">
        <v>0</v>
      </c>
      <c r="U1017" s="15"/>
    </row>
    <row r="1018" spans="1:21">
      <c r="A1018" s="8"/>
      <c r="B1018" t="s">
        <v>18</v>
      </c>
      <c r="C1018"/>
      <c r="D1018"/>
      <c r="E1018" s="2" t="s">
        <v>2</v>
      </c>
      <c r="F1018" s="5">
        <v>0</v>
      </c>
      <c r="G1018" s="15"/>
      <c r="H1018" s="8"/>
      <c r="I1018" t="s">
        <v>18</v>
      </c>
      <c r="J1018"/>
      <c r="K1018"/>
      <c r="L1018" s="2" t="s">
        <v>2</v>
      </c>
      <c r="M1018" s="5">
        <v>0</v>
      </c>
      <c r="N1018" s="15"/>
      <c r="O1018" s="8"/>
      <c r="P1018" t="s">
        <v>18</v>
      </c>
      <c r="Q1018"/>
      <c r="R1018"/>
      <c r="S1018" s="2" t="s">
        <v>2</v>
      </c>
      <c r="T1018" s="5">
        <v>0</v>
      </c>
      <c r="U1018" s="15"/>
    </row>
    <row r="1019" spans="1:21">
      <c r="A1019" s="8"/>
      <c r="B1019" t="s">
        <v>19</v>
      </c>
      <c r="C1019"/>
      <c r="D1019"/>
      <c r="E1019" s="2" t="s">
        <v>2</v>
      </c>
      <c r="F1019" s="5">
        <v>6000</v>
      </c>
      <c r="G1019" s="15"/>
      <c r="H1019" s="8"/>
      <c r="I1019" t="s">
        <v>19</v>
      </c>
      <c r="J1019"/>
      <c r="K1019"/>
      <c r="L1019" s="2" t="s">
        <v>2</v>
      </c>
      <c r="M1019" s="5">
        <v>4000</v>
      </c>
      <c r="N1019" s="15"/>
      <c r="O1019" s="8"/>
      <c r="P1019" t="s">
        <v>19</v>
      </c>
      <c r="Q1019"/>
      <c r="R1019"/>
      <c r="S1019" s="2" t="s">
        <v>2</v>
      </c>
      <c r="T1019" s="5">
        <v>2000</v>
      </c>
      <c r="U1019" s="15"/>
    </row>
    <row r="1020" spans="1:21">
      <c r="A1020" s="8"/>
      <c r="B1020"/>
      <c r="C1020"/>
      <c r="D1020"/>
      <c r="E1020"/>
      <c r="F1020"/>
      <c r="G1020" s="15"/>
      <c r="H1020" s="8"/>
      <c r="I1020"/>
      <c r="J1020"/>
      <c r="K1020"/>
      <c r="L1020"/>
      <c r="M1020"/>
      <c r="N1020" s="15"/>
      <c r="O1020" s="8"/>
      <c r="P1020"/>
      <c r="Q1020"/>
      <c r="R1020"/>
      <c r="S1020"/>
      <c r="T1020"/>
      <c r="U1020" s="15"/>
    </row>
    <row r="1021" spans="1:21">
      <c r="A1021" s="8"/>
      <c r="B1021" s="2" t="s">
        <v>20</v>
      </c>
      <c r="C1021"/>
      <c r="D1021"/>
      <c r="E1021"/>
      <c r="F1021"/>
      <c r="G1021" s="15"/>
      <c r="H1021" s="8"/>
      <c r="I1021" s="2" t="s">
        <v>20</v>
      </c>
      <c r="J1021"/>
      <c r="K1021"/>
      <c r="L1021"/>
      <c r="M1021"/>
      <c r="N1021" s="15"/>
      <c r="O1021" s="8"/>
      <c r="P1021" s="2" t="s">
        <v>20</v>
      </c>
      <c r="Q1021"/>
      <c r="R1021"/>
      <c r="S1021"/>
      <c r="T1021"/>
      <c r="U1021" s="15"/>
    </row>
    <row r="1022" spans="1:21">
      <c r="A1022" s="8"/>
      <c r="B1022" t="s">
        <v>21</v>
      </c>
      <c r="C1022"/>
      <c r="D1022"/>
      <c r="E1022" s="2" t="s">
        <v>2</v>
      </c>
      <c r="F1022" s="5">
        <v>2275566.75</v>
      </c>
      <c r="G1022" s="15"/>
      <c r="H1022" s="8"/>
      <c r="I1022" t="s">
        <v>21</v>
      </c>
      <c r="J1022"/>
      <c r="K1022"/>
      <c r="L1022" s="2" t="s">
        <v>2</v>
      </c>
      <c r="M1022" s="5">
        <v>2037733.38</v>
      </c>
      <c r="N1022" s="15"/>
      <c r="O1022" s="8"/>
      <c r="P1022" t="s">
        <v>21</v>
      </c>
      <c r="Q1022"/>
      <c r="R1022"/>
      <c r="S1022" s="2" t="s">
        <v>2</v>
      </c>
      <c r="T1022" s="5">
        <v>2157000</v>
      </c>
      <c r="U1022" s="15"/>
    </row>
    <row r="1023" spans="1:21">
      <c r="A1023" s="8"/>
      <c r="B1023" t="s">
        <v>22</v>
      </c>
      <c r="C1023"/>
      <c r="D1023"/>
      <c r="E1023" s="2" t="s">
        <v>2</v>
      </c>
      <c r="F1023" s="5">
        <v>107790</v>
      </c>
      <c r="G1023" s="15"/>
      <c r="H1023" s="8"/>
      <c r="I1023" t="s">
        <v>22</v>
      </c>
      <c r="J1023"/>
      <c r="K1023"/>
      <c r="L1023" s="2" t="s">
        <v>2</v>
      </c>
      <c r="M1023" s="5">
        <v>107880</v>
      </c>
      <c r="N1023" s="15"/>
      <c r="O1023" s="8"/>
      <c r="P1023" t="s">
        <v>22</v>
      </c>
      <c r="Q1023"/>
      <c r="R1023"/>
      <c r="S1023" s="2" t="s">
        <v>2</v>
      </c>
      <c r="T1023" s="5">
        <v>107850</v>
      </c>
      <c r="U1023" s="15"/>
    </row>
    <row r="1024" spans="1:21">
      <c r="A1024" s="8"/>
      <c r="B1024" s="3" t="s">
        <v>23</v>
      </c>
      <c r="C1024" s="3"/>
      <c r="D1024" s="3"/>
      <c r="E1024" s="4" t="s">
        <v>2</v>
      </c>
      <c r="F1024" s="6">
        <v>35745</v>
      </c>
      <c r="G1024" s="15"/>
      <c r="H1024" s="8"/>
      <c r="I1024" s="3" t="s">
        <v>23</v>
      </c>
      <c r="J1024" s="3"/>
      <c r="K1024" s="3"/>
      <c r="L1024" s="4" t="s">
        <v>2</v>
      </c>
      <c r="M1024" s="6">
        <v>35745</v>
      </c>
      <c r="N1024" s="15"/>
      <c r="O1024" s="8"/>
      <c r="P1024" s="3" t="s">
        <v>23</v>
      </c>
      <c r="Q1024" s="3"/>
      <c r="R1024" s="3"/>
      <c r="S1024" s="4" t="s">
        <v>2</v>
      </c>
      <c r="T1024" s="6">
        <v>0</v>
      </c>
      <c r="U1024" s="15"/>
    </row>
    <row r="1025" spans="1:21">
      <c r="A1025" s="8"/>
      <c r="B1025" t="s">
        <v>24</v>
      </c>
      <c r="C1025"/>
      <c r="D1025"/>
      <c r="E1025" s="2" t="s">
        <v>2</v>
      </c>
      <c r="F1025" s="5" t="str">
        <f>sum(f1022:f1024)</f>
        <v>0</v>
      </c>
      <c r="G1025" s="15"/>
      <c r="H1025" s="8"/>
      <c r="I1025" t="s">
        <v>24</v>
      </c>
      <c r="J1025"/>
      <c r="K1025"/>
      <c r="L1025" s="2" t="s">
        <v>2</v>
      </c>
      <c r="M1025" s="5" t="str">
        <f>sum(m1022:m1024)</f>
        <v>0</v>
      </c>
      <c r="N1025" s="15"/>
      <c r="O1025" s="8"/>
      <c r="P1025" t="s">
        <v>24</v>
      </c>
      <c r="Q1025"/>
      <c r="R1025"/>
      <c r="S1025" s="2" t="s">
        <v>2</v>
      </c>
      <c r="T1025" s="5" t="str">
        <f>sum(t1022:t1024)</f>
        <v>0</v>
      </c>
      <c r="U1025" s="15"/>
    </row>
    <row r="1026" spans="1:21">
      <c r="A1026" s="9"/>
      <c r="B1026" s="11" t="s">
        <v>25</v>
      </c>
      <c r="C1026" s="11"/>
      <c r="D1026" s="11"/>
      <c r="E1026" s="12" t="s">
        <v>2</v>
      </c>
      <c r="F1026" s="13" t="str">
        <f>sum(f1016:f1019)-f1025</f>
        <v>0</v>
      </c>
      <c r="G1026" s="16"/>
      <c r="H1026" s="9"/>
      <c r="I1026" s="11" t="s">
        <v>25</v>
      </c>
      <c r="J1026" s="11"/>
      <c r="K1026" s="11"/>
      <c r="L1026" s="12" t="s">
        <v>2</v>
      </c>
      <c r="M1026" s="13" t="str">
        <f>sum(m1016:m1019)-m1025</f>
        <v>0</v>
      </c>
      <c r="N1026" s="16"/>
      <c r="O1026" s="9"/>
      <c r="P1026" s="11" t="s">
        <v>25</v>
      </c>
      <c r="Q1026" s="11"/>
      <c r="R1026" s="11"/>
      <c r="S1026" s="12" t="s">
        <v>2</v>
      </c>
      <c r="T1026" s="13" t="str">
        <f>sum(t1016:t1019)-t1025</f>
        <v>0</v>
      </c>
      <c r="U1026" s="16"/>
    </row>
    <row r="1027" spans="1:21">
      <c r="A1027" s="7"/>
      <c r="B1027" s="10"/>
      <c r="C1027" s="10"/>
      <c r="D1027" s="10"/>
      <c r="E1027" s="10"/>
      <c r="F1027" s="10"/>
      <c r="G1027" s="14"/>
      <c r="H1027" s="7"/>
      <c r="I1027" s="10"/>
      <c r="J1027" s="10"/>
      <c r="K1027" s="10"/>
      <c r="L1027" s="10"/>
      <c r="M1027" s="10"/>
      <c r="N1027" s="14"/>
      <c r="O1027" s="7"/>
      <c r="P1027" s="10"/>
      <c r="Q1027" s="10"/>
      <c r="R1027" s="10"/>
      <c r="S1027" s="10"/>
      <c r="T1027" s="10"/>
      <c r="U1027" s="14"/>
    </row>
    <row r="1028" spans="1:21">
      <c r="A1028" s="8"/>
      <c r="B1028" s="1" t="s">
        <v>0</v>
      </c>
      <c r="C1028"/>
      <c r="D1028"/>
      <c r="E1028"/>
      <c r="F1028"/>
      <c r="G1028" s="15"/>
      <c r="H1028" s="8"/>
      <c r="I1028" s="1" t="s">
        <v>0</v>
      </c>
      <c r="J1028"/>
      <c r="K1028"/>
      <c r="L1028"/>
      <c r="M1028"/>
      <c r="N1028" s="15"/>
      <c r="O1028" s="8"/>
      <c r="P1028" s="1" t="s">
        <v>0</v>
      </c>
      <c r="Q1028"/>
      <c r="R1028"/>
      <c r="S1028"/>
      <c r="T1028"/>
      <c r="U1028" s="15"/>
    </row>
    <row r="1029" spans="1:21">
      <c r="A1029" s="8"/>
      <c r="B1029" t="s">
        <v>1</v>
      </c>
      <c r="C1029" s="2" t="s">
        <v>2</v>
      </c>
      <c r="D1029" t="s">
        <v>367</v>
      </c>
      <c r="E1029"/>
      <c r="F1029"/>
      <c r="G1029" s="15"/>
      <c r="H1029" s="8"/>
      <c r="I1029" t="s">
        <v>1</v>
      </c>
      <c r="J1029" s="2" t="s">
        <v>2</v>
      </c>
      <c r="K1029" t="s">
        <v>368</v>
      </c>
      <c r="L1029"/>
      <c r="M1029"/>
      <c r="N1029" s="15"/>
      <c r="O1029" s="8"/>
      <c r="P1029" t="s">
        <v>1</v>
      </c>
      <c r="Q1029" s="2" t="s">
        <v>2</v>
      </c>
      <c r="R1029" t="s">
        <v>369</v>
      </c>
      <c r="S1029"/>
      <c r="T1029"/>
      <c r="U1029" s="15"/>
    </row>
    <row r="1030" spans="1:21">
      <c r="A1030" s="8"/>
      <c r="B1030" t="s">
        <v>6</v>
      </c>
      <c r="C1030" s="2" t="s">
        <v>2</v>
      </c>
      <c r="D1030" t="s">
        <v>370</v>
      </c>
      <c r="E1030"/>
      <c r="F1030"/>
      <c r="G1030" s="15"/>
      <c r="H1030" s="8"/>
      <c r="I1030" t="s">
        <v>6</v>
      </c>
      <c r="J1030" s="2" t="s">
        <v>2</v>
      </c>
      <c r="K1030" t="s">
        <v>371</v>
      </c>
      <c r="L1030"/>
      <c r="M1030"/>
      <c r="N1030" s="15"/>
      <c r="O1030" s="8"/>
      <c r="P1030" t="s">
        <v>6</v>
      </c>
      <c r="Q1030" s="2" t="s">
        <v>2</v>
      </c>
      <c r="R1030" t="s">
        <v>372</v>
      </c>
      <c r="S1030"/>
      <c r="T1030"/>
      <c r="U1030" s="15"/>
    </row>
    <row r="1031" spans="1:21">
      <c r="A1031" s="8"/>
      <c r="B1031" t="s">
        <v>10</v>
      </c>
      <c r="C1031" s="2" t="s">
        <v>2</v>
      </c>
      <c r="D1031" t="s">
        <v>360</v>
      </c>
      <c r="E1031"/>
      <c r="F1031"/>
      <c r="G1031" s="15"/>
      <c r="H1031" s="8"/>
      <c r="I1031" t="s">
        <v>10</v>
      </c>
      <c r="J1031" s="2" t="s">
        <v>2</v>
      </c>
      <c r="K1031" t="s">
        <v>360</v>
      </c>
      <c r="L1031"/>
      <c r="M1031"/>
      <c r="N1031" s="15"/>
      <c r="O1031" s="8"/>
      <c r="P1031" t="s">
        <v>10</v>
      </c>
      <c r="Q1031" s="2" t="s">
        <v>2</v>
      </c>
      <c r="R1031" t="s">
        <v>360</v>
      </c>
      <c r="S1031"/>
      <c r="T1031"/>
      <c r="U1031" s="15"/>
    </row>
    <row r="1032" spans="1:21">
      <c r="A1032" s="8"/>
      <c r="B1032" t="s">
        <v>12</v>
      </c>
      <c r="C1032" s="2" t="s">
        <v>2</v>
      </c>
      <c r="D1032" t="s">
        <v>13</v>
      </c>
      <c r="E1032"/>
      <c r="F1032"/>
      <c r="G1032" s="15"/>
      <c r="H1032" s="8"/>
      <c r="I1032" t="s">
        <v>12</v>
      </c>
      <c r="J1032" s="2" t="s">
        <v>2</v>
      </c>
      <c r="K1032" t="s">
        <v>13</v>
      </c>
      <c r="L1032"/>
      <c r="M1032"/>
      <c r="N1032" s="15"/>
      <c r="O1032" s="8"/>
      <c r="P1032" t="s">
        <v>12</v>
      </c>
      <c r="Q1032" s="2" t="s">
        <v>2</v>
      </c>
      <c r="R1032" t="s">
        <v>13</v>
      </c>
      <c r="S1032"/>
      <c r="T1032"/>
      <c r="U1032" s="15"/>
    </row>
    <row r="1033" spans="1:21">
      <c r="A1033" s="8"/>
      <c r="B1033" s="3" t="s">
        <v>14</v>
      </c>
      <c r="C1033" s="4" t="s">
        <v>2</v>
      </c>
      <c r="D1033" s="3" t="s">
        <v>15</v>
      </c>
      <c r="E1033" s="3"/>
      <c r="F1033" s="3"/>
      <c r="G1033" s="15"/>
      <c r="H1033" s="8"/>
      <c r="I1033" s="3" t="s">
        <v>14</v>
      </c>
      <c r="J1033" s="4" t="s">
        <v>2</v>
      </c>
      <c r="K1033" s="3" t="s">
        <v>15</v>
      </c>
      <c r="L1033" s="3"/>
      <c r="M1033" s="3"/>
      <c r="N1033" s="15"/>
      <c r="O1033" s="8"/>
      <c r="P1033" s="3" t="s">
        <v>14</v>
      </c>
      <c r="Q1033" s="4" t="s">
        <v>2</v>
      </c>
      <c r="R1033" s="3" t="s">
        <v>15</v>
      </c>
      <c r="S1033" s="3"/>
      <c r="T1033" s="3"/>
      <c r="U1033" s="15"/>
    </row>
    <row r="1034" spans="1:21">
      <c r="A1034" s="8"/>
      <c r="B1034" t="s">
        <v>16</v>
      </c>
      <c r="C1034"/>
      <c r="D1034"/>
      <c r="E1034" s="2" t="s">
        <v>2</v>
      </c>
      <c r="F1034" s="5">
        <v>3596000</v>
      </c>
      <c r="G1034" s="15"/>
      <c r="H1034" s="8"/>
      <c r="I1034" t="s">
        <v>16</v>
      </c>
      <c r="J1034"/>
      <c r="K1034"/>
      <c r="L1034" s="2" t="s">
        <v>2</v>
      </c>
      <c r="M1034" s="5">
        <v>3596000</v>
      </c>
      <c r="N1034" s="15"/>
      <c r="O1034" s="8"/>
      <c r="P1034" t="s">
        <v>16</v>
      </c>
      <c r="Q1034"/>
      <c r="R1034"/>
      <c r="S1034" s="2" t="s">
        <v>2</v>
      </c>
      <c r="T1034" s="5">
        <v>3596000</v>
      </c>
      <c r="U1034" s="15"/>
    </row>
    <row r="1035" spans="1:21">
      <c r="A1035" s="8"/>
      <c r="B1035" t="s">
        <v>17</v>
      </c>
      <c r="C1035"/>
      <c r="D1035"/>
      <c r="E1035" s="2" t="s">
        <v>2</v>
      </c>
      <c r="F1035" s="5">
        <v>0</v>
      </c>
      <c r="G1035" s="15"/>
      <c r="H1035" s="8"/>
      <c r="I1035" t="s">
        <v>17</v>
      </c>
      <c r="J1035"/>
      <c r="K1035"/>
      <c r="L1035" s="2" t="s">
        <v>2</v>
      </c>
      <c r="M1035" s="5">
        <v>0</v>
      </c>
      <c r="N1035" s="15"/>
      <c r="O1035" s="8"/>
      <c r="P1035" t="s">
        <v>17</v>
      </c>
      <c r="Q1035"/>
      <c r="R1035"/>
      <c r="S1035" s="2" t="s">
        <v>2</v>
      </c>
      <c r="T1035" s="5">
        <v>0</v>
      </c>
      <c r="U1035" s="15"/>
    </row>
    <row r="1036" spans="1:21">
      <c r="A1036" s="8"/>
      <c r="B1036" t="s">
        <v>18</v>
      </c>
      <c r="C1036"/>
      <c r="D1036"/>
      <c r="E1036" s="2" t="s">
        <v>2</v>
      </c>
      <c r="F1036" s="5">
        <v>0</v>
      </c>
      <c r="G1036" s="15"/>
      <c r="H1036" s="8"/>
      <c r="I1036" t="s">
        <v>18</v>
      </c>
      <c r="J1036"/>
      <c r="K1036"/>
      <c r="L1036" s="2" t="s">
        <v>2</v>
      </c>
      <c r="M1036" s="5">
        <v>0</v>
      </c>
      <c r="N1036" s="15"/>
      <c r="O1036" s="8"/>
      <c r="P1036" t="s">
        <v>18</v>
      </c>
      <c r="Q1036"/>
      <c r="R1036"/>
      <c r="S1036" s="2" t="s">
        <v>2</v>
      </c>
      <c r="T1036" s="5">
        <v>25000</v>
      </c>
      <c r="U1036" s="15"/>
    </row>
    <row r="1037" spans="1:21">
      <c r="A1037" s="8"/>
      <c r="B1037" t="s">
        <v>19</v>
      </c>
      <c r="C1037"/>
      <c r="D1037"/>
      <c r="E1037" s="2" t="s">
        <v>2</v>
      </c>
      <c r="F1037" s="5">
        <v>2000</v>
      </c>
      <c r="G1037" s="15"/>
      <c r="H1037" s="8"/>
      <c r="I1037" t="s">
        <v>19</v>
      </c>
      <c r="J1037"/>
      <c r="K1037"/>
      <c r="L1037" s="2" t="s">
        <v>2</v>
      </c>
      <c r="M1037" s="5">
        <v>22000</v>
      </c>
      <c r="N1037" s="15"/>
      <c r="O1037" s="8"/>
      <c r="P1037" t="s">
        <v>19</v>
      </c>
      <c r="Q1037"/>
      <c r="R1037"/>
      <c r="S1037" s="2" t="s">
        <v>2</v>
      </c>
      <c r="T1037" s="5">
        <v>18000</v>
      </c>
      <c r="U1037" s="15"/>
    </row>
    <row r="1038" spans="1:21">
      <c r="A1038" s="8"/>
      <c r="B1038"/>
      <c r="C1038"/>
      <c r="D1038"/>
      <c r="E1038"/>
      <c r="F1038"/>
      <c r="G1038" s="15"/>
      <c r="H1038" s="8"/>
      <c r="I1038"/>
      <c r="J1038"/>
      <c r="K1038"/>
      <c r="L1038"/>
      <c r="M1038"/>
      <c r="N1038" s="15"/>
      <c r="O1038" s="8"/>
      <c r="P1038"/>
      <c r="Q1038"/>
      <c r="R1038"/>
      <c r="S1038"/>
      <c r="T1038"/>
      <c r="U1038" s="15"/>
    </row>
    <row r="1039" spans="1:21">
      <c r="A1039" s="8"/>
      <c r="B1039" s="2" t="s">
        <v>20</v>
      </c>
      <c r="C1039"/>
      <c r="D1039"/>
      <c r="E1039"/>
      <c r="F1039"/>
      <c r="G1039" s="15"/>
      <c r="H1039" s="8"/>
      <c r="I1039" s="2" t="s">
        <v>20</v>
      </c>
      <c r="J1039"/>
      <c r="K1039"/>
      <c r="L1039"/>
      <c r="M1039"/>
      <c r="N1039" s="15"/>
      <c r="O1039" s="8"/>
      <c r="P1039" s="2" t="s">
        <v>20</v>
      </c>
      <c r="Q1039"/>
      <c r="R1039"/>
      <c r="S1039"/>
      <c r="T1039"/>
      <c r="U1039" s="15"/>
    </row>
    <row r="1040" spans="1:21">
      <c r="A1040" s="8"/>
      <c r="B1040" t="s">
        <v>21</v>
      </c>
      <c r="C1040"/>
      <c r="D1040"/>
      <c r="E1040" s="2" t="s">
        <v>2</v>
      </c>
      <c r="F1040" s="5">
        <v>2157600</v>
      </c>
      <c r="G1040" s="15"/>
      <c r="H1040" s="8"/>
      <c r="I1040" t="s">
        <v>21</v>
      </c>
      <c r="J1040"/>
      <c r="K1040"/>
      <c r="L1040" s="2" t="s">
        <v>2</v>
      </c>
      <c r="M1040" s="5">
        <v>119866.67</v>
      </c>
      <c r="N1040" s="15"/>
      <c r="O1040" s="8"/>
      <c r="P1040" t="s">
        <v>21</v>
      </c>
      <c r="Q1040"/>
      <c r="R1040"/>
      <c r="S1040" s="2" t="s">
        <v>2</v>
      </c>
      <c r="T1040" s="5">
        <v>0</v>
      </c>
      <c r="U1040" s="15"/>
    </row>
    <row r="1041" spans="1:21">
      <c r="A1041" s="8"/>
      <c r="B1041" t="s">
        <v>22</v>
      </c>
      <c r="C1041"/>
      <c r="D1041"/>
      <c r="E1041" s="2" t="s">
        <v>2</v>
      </c>
      <c r="F1041" s="5">
        <v>107880</v>
      </c>
      <c r="G1041" s="15"/>
      <c r="H1041" s="8"/>
      <c r="I1041" t="s">
        <v>22</v>
      </c>
      <c r="J1041"/>
      <c r="K1041"/>
      <c r="L1041" s="2" t="s">
        <v>2</v>
      </c>
      <c r="M1041" s="5">
        <v>107880</v>
      </c>
      <c r="N1041" s="15"/>
      <c r="O1041" s="8"/>
      <c r="P1041" t="s">
        <v>22</v>
      </c>
      <c r="Q1041"/>
      <c r="R1041"/>
      <c r="S1041" s="2" t="s">
        <v>2</v>
      </c>
      <c r="T1041" s="5">
        <v>107880</v>
      </c>
      <c r="U1041" s="15"/>
    </row>
    <row r="1042" spans="1:21">
      <c r="A1042" s="8"/>
      <c r="B1042" s="3" t="s">
        <v>23</v>
      </c>
      <c r="C1042" s="3"/>
      <c r="D1042" s="3"/>
      <c r="E1042" s="4" t="s">
        <v>2</v>
      </c>
      <c r="F1042" s="6">
        <v>35745</v>
      </c>
      <c r="G1042" s="15"/>
      <c r="H1042" s="8"/>
      <c r="I1042" s="3" t="s">
        <v>23</v>
      </c>
      <c r="J1042" s="3"/>
      <c r="K1042" s="3"/>
      <c r="L1042" s="4" t="s">
        <v>2</v>
      </c>
      <c r="M1042" s="6">
        <v>35745</v>
      </c>
      <c r="N1042" s="15"/>
      <c r="O1042" s="8"/>
      <c r="P1042" s="3" t="s">
        <v>23</v>
      </c>
      <c r="Q1042" s="3"/>
      <c r="R1042" s="3"/>
      <c r="S1042" s="4" t="s">
        <v>2</v>
      </c>
      <c r="T1042" s="6">
        <v>35745</v>
      </c>
      <c r="U1042" s="15"/>
    </row>
    <row r="1043" spans="1:21">
      <c r="A1043" s="8"/>
      <c r="B1043" t="s">
        <v>24</v>
      </c>
      <c r="C1043"/>
      <c r="D1043"/>
      <c r="E1043" s="2" t="s">
        <v>2</v>
      </c>
      <c r="F1043" s="5" t="str">
        <f>sum(f1040:f1042)</f>
        <v>0</v>
      </c>
      <c r="G1043" s="15"/>
      <c r="H1043" s="8"/>
      <c r="I1043" t="s">
        <v>24</v>
      </c>
      <c r="J1043"/>
      <c r="K1043"/>
      <c r="L1043" s="2" t="s">
        <v>2</v>
      </c>
      <c r="M1043" s="5" t="str">
        <f>sum(m1040:m1042)</f>
        <v>0</v>
      </c>
      <c r="N1043" s="15"/>
      <c r="O1043" s="8"/>
      <c r="P1043" t="s">
        <v>24</v>
      </c>
      <c r="Q1043"/>
      <c r="R1043"/>
      <c r="S1043" s="2" t="s">
        <v>2</v>
      </c>
      <c r="T1043" s="5" t="str">
        <f>sum(t1040:t1042)</f>
        <v>0</v>
      </c>
      <c r="U1043" s="15"/>
    </row>
    <row r="1044" spans="1:21">
      <c r="A1044" s="9"/>
      <c r="B1044" s="11" t="s">
        <v>25</v>
      </c>
      <c r="C1044" s="11"/>
      <c r="D1044" s="11"/>
      <c r="E1044" s="12" t="s">
        <v>2</v>
      </c>
      <c r="F1044" s="13" t="str">
        <f>sum(f1034:f1037)-f1043</f>
        <v>0</v>
      </c>
      <c r="G1044" s="16"/>
      <c r="H1044" s="9"/>
      <c r="I1044" s="11" t="s">
        <v>25</v>
      </c>
      <c r="J1044" s="11"/>
      <c r="K1044" s="11"/>
      <c r="L1044" s="12" t="s">
        <v>2</v>
      </c>
      <c r="M1044" s="13" t="str">
        <f>sum(m1034:m1037)-m1043</f>
        <v>0</v>
      </c>
      <c r="N1044" s="16"/>
      <c r="O1044" s="9"/>
      <c r="P1044" s="11" t="s">
        <v>25</v>
      </c>
      <c r="Q1044" s="11"/>
      <c r="R1044" s="11"/>
      <c r="S1044" s="12" t="s">
        <v>2</v>
      </c>
      <c r="T1044" s="13" t="str">
        <f>sum(t1034:t1037)-t1043</f>
        <v>0</v>
      </c>
      <c r="U1044" s="16"/>
    </row>
    <row r="1045" spans="1:21">
      <c r="A1045" s="7"/>
      <c r="B1045" s="10"/>
      <c r="C1045" s="10"/>
      <c r="D1045" s="10"/>
      <c r="E1045" s="10"/>
      <c r="F1045" s="10"/>
      <c r="G1045" s="14"/>
      <c r="H1045" s="7"/>
      <c r="I1045" s="10"/>
      <c r="J1045" s="10"/>
      <c r="K1045" s="10"/>
      <c r="L1045" s="10"/>
      <c r="M1045" s="10"/>
      <c r="N1045" s="14"/>
      <c r="O1045" s="7"/>
      <c r="P1045" s="10"/>
      <c r="Q1045" s="10"/>
      <c r="R1045" s="10"/>
      <c r="S1045" s="10"/>
      <c r="T1045" s="10"/>
      <c r="U1045" s="14"/>
    </row>
    <row r="1046" spans="1:21">
      <c r="A1046" s="8"/>
      <c r="B1046" s="1" t="s">
        <v>0</v>
      </c>
      <c r="C1046"/>
      <c r="D1046"/>
      <c r="E1046"/>
      <c r="F1046"/>
      <c r="G1046" s="15"/>
      <c r="H1046" s="8"/>
      <c r="I1046" s="1" t="s">
        <v>0</v>
      </c>
      <c r="J1046"/>
      <c r="K1046"/>
      <c r="L1046"/>
      <c r="M1046"/>
      <c r="N1046" s="15"/>
      <c r="O1046" s="8"/>
      <c r="P1046" s="1" t="s">
        <v>0</v>
      </c>
      <c r="Q1046"/>
      <c r="R1046"/>
      <c r="S1046"/>
      <c r="T1046"/>
      <c r="U1046" s="15"/>
    </row>
    <row r="1047" spans="1:21">
      <c r="A1047" s="8"/>
      <c r="B1047" t="s">
        <v>1</v>
      </c>
      <c r="C1047" s="2" t="s">
        <v>2</v>
      </c>
      <c r="D1047" t="s">
        <v>373</v>
      </c>
      <c r="E1047"/>
      <c r="F1047"/>
      <c r="G1047" s="15"/>
      <c r="H1047" s="8"/>
      <c r="I1047" t="s">
        <v>1</v>
      </c>
      <c r="J1047" s="2" t="s">
        <v>2</v>
      </c>
      <c r="K1047" t="s">
        <v>374</v>
      </c>
      <c r="L1047"/>
      <c r="M1047"/>
      <c r="N1047" s="15"/>
      <c r="O1047" s="8"/>
      <c r="P1047" t="s">
        <v>1</v>
      </c>
      <c r="Q1047" s="2" t="s">
        <v>2</v>
      </c>
      <c r="R1047" t="s">
        <v>375</v>
      </c>
      <c r="S1047"/>
      <c r="T1047"/>
      <c r="U1047" s="15"/>
    </row>
    <row r="1048" spans="1:21">
      <c r="A1048" s="8"/>
      <c r="B1048" t="s">
        <v>6</v>
      </c>
      <c r="C1048" s="2" t="s">
        <v>2</v>
      </c>
      <c r="D1048" t="s">
        <v>376</v>
      </c>
      <c r="E1048"/>
      <c r="F1048"/>
      <c r="G1048" s="15"/>
      <c r="H1048" s="8"/>
      <c r="I1048" t="s">
        <v>6</v>
      </c>
      <c r="J1048" s="2" t="s">
        <v>2</v>
      </c>
      <c r="K1048" t="s">
        <v>377</v>
      </c>
      <c r="L1048"/>
      <c r="M1048"/>
      <c r="N1048" s="15"/>
      <c r="O1048" s="8"/>
      <c r="P1048" t="s">
        <v>6</v>
      </c>
      <c r="Q1048" s="2" t="s">
        <v>2</v>
      </c>
      <c r="R1048" t="s">
        <v>378</v>
      </c>
      <c r="S1048"/>
      <c r="T1048"/>
      <c r="U1048" s="15"/>
    </row>
    <row r="1049" spans="1:21">
      <c r="A1049" s="8"/>
      <c r="B1049" t="s">
        <v>10</v>
      </c>
      <c r="C1049" s="2" t="s">
        <v>2</v>
      </c>
      <c r="D1049" t="s">
        <v>360</v>
      </c>
      <c r="E1049"/>
      <c r="F1049"/>
      <c r="G1049" s="15"/>
      <c r="H1049" s="8"/>
      <c r="I1049" t="s">
        <v>10</v>
      </c>
      <c r="J1049" s="2" t="s">
        <v>2</v>
      </c>
      <c r="K1049" t="s">
        <v>379</v>
      </c>
      <c r="L1049"/>
      <c r="M1049"/>
      <c r="N1049" s="15"/>
      <c r="O1049" s="8"/>
      <c r="P1049" t="s">
        <v>10</v>
      </c>
      <c r="Q1049" s="2" t="s">
        <v>2</v>
      </c>
      <c r="R1049" t="s">
        <v>379</v>
      </c>
      <c r="S1049"/>
      <c r="T1049"/>
      <c r="U1049" s="15"/>
    </row>
    <row r="1050" spans="1:21">
      <c r="A1050" s="8"/>
      <c r="B1050" t="s">
        <v>12</v>
      </c>
      <c r="C1050" s="2" t="s">
        <v>2</v>
      </c>
      <c r="D1050" t="s">
        <v>13</v>
      </c>
      <c r="E1050"/>
      <c r="F1050"/>
      <c r="G1050" s="15"/>
      <c r="H1050" s="8"/>
      <c r="I1050" t="s">
        <v>12</v>
      </c>
      <c r="J1050" s="2" t="s">
        <v>2</v>
      </c>
      <c r="K1050" t="s">
        <v>13</v>
      </c>
      <c r="L1050"/>
      <c r="M1050"/>
      <c r="N1050" s="15"/>
      <c r="O1050" s="8"/>
      <c r="P1050" t="s">
        <v>12</v>
      </c>
      <c r="Q1050" s="2" t="s">
        <v>2</v>
      </c>
      <c r="R1050" t="s">
        <v>13</v>
      </c>
      <c r="S1050"/>
      <c r="T1050"/>
      <c r="U1050" s="15"/>
    </row>
    <row r="1051" spans="1:21">
      <c r="A1051" s="8"/>
      <c r="B1051" s="3" t="s">
        <v>14</v>
      </c>
      <c r="C1051" s="4" t="s">
        <v>2</v>
      </c>
      <c r="D1051" s="3" t="s">
        <v>15</v>
      </c>
      <c r="E1051" s="3"/>
      <c r="F1051" s="3"/>
      <c r="G1051" s="15"/>
      <c r="H1051" s="8"/>
      <c r="I1051" s="3" t="s">
        <v>14</v>
      </c>
      <c r="J1051" s="4" t="s">
        <v>2</v>
      </c>
      <c r="K1051" s="3" t="s">
        <v>15</v>
      </c>
      <c r="L1051" s="3"/>
      <c r="M1051" s="3"/>
      <c r="N1051" s="15"/>
      <c r="O1051" s="8"/>
      <c r="P1051" s="3" t="s">
        <v>14</v>
      </c>
      <c r="Q1051" s="4" t="s">
        <v>2</v>
      </c>
      <c r="R1051" s="3" t="s">
        <v>15</v>
      </c>
      <c r="S1051" s="3"/>
      <c r="T1051" s="3"/>
      <c r="U1051" s="15"/>
    </row>
    <row r="1052" spans="1:21">
      <c r="A1052" s="8"/>
      <c r="B1052" t="s">
        <v>16</v>
      </c>
      <c r="C1052"/>
      <c r="D1052"/>
      <c r="E1052" s="2" t="s">
        <v>2</v>
      </c>
      <c r="F1052" s="5">
        <v>3596000</v>
      </c>
      <c r="G1052" s="15"/>
      <c r="H1052" s="8"/>
      <c r="I1052" t="s">
        <v>16</v>
      </c>
      <c r="J1052"/>
      <c r="K1052"/>
      <c r="L1052" s="2" t="s">
        <v>2</v>
      </c>
      <c r="M1052" s="5">
        <v>3598000</v>
      </c>
      <c r="N1052" s="15"/>
      <c r="O1052" s="8"/>
      <c r="P1052" t="s">
        <v>16</v>
      </c>
      <c r="Q1052"/>
      <c r="R1052"/>
      <c r="S1052" s="2" t="s">
        <v>2</v>
      </c>
      <c r="T1052" s="5">
        <v>3591000</v>
      </c>
      <c r="U1052" s="15"/>
    </row>
    <row r="1053" spans="1:21">
      <c r="A1053" s="8"/>
      <c r="B1053" t="s">
        <v>17</v>
      </c>
      <c r="C1053"/>
      <c r="D1053"/>
      <c r="E1053" s="2" t="s">
        <v>2</v>
      </c>
      <c r="F1053" s="5">
        <v>80000</v>
      </c>
      <c r="G1053" s="15"/>
      <c r="H1053" s="8"/>
      <c r="I1053" t="s">
        <v>17</v>
      </c>
      <c r="J1053"/>
      <c r="K1053"/>
      <c r="L1053" s="2" t="s">
        <v>2</v>
      </c>
      <c r="M1053" s="5">
        <v>0</v>
      </c>
      <c r="N1053" s="15"/>
      <c r="O1053" s="8"/>
      <c r="P1053" t="s">
        <v>17</v>
      </c>
      <c r="Q1053"/>
      <c r="R1053"/>
      <c r="S1053" s="2" t="s">
        <v>2</v>
      </c>
      <c r="T1053" s="5">
        <v>0</v>
      </c>
      <c r="U1053" s="15"/>
    </row>
    <row r="1054" spans="1:21">
      <c r="A1054" s="8"/>
      <c r="B1054" t="s">
        <v>18</v>
      </c>
      <c r="C1054"/>
      <c r="D1054"/>
      <c r="E1054" s="2" t="s">
        <v>2</v>
      </c>
      <c r="F1054" s="5">
        <v>0</v>
      </c>
      <c r="G1054" s="15"/>
      <c r="H1054" s="8"/>
      <c r="I1054" t="s">
        <v>18</v>
      </c>
      <c r="J1054"/>
      <c r="K1054"/>
      <c r="L1054" s="2" t="s">
        <v>2</v>
      </c>
      <c r="M1054" s="5">
        <v>25000</v>
      </c>
      <c r="N1054" s="15"/>
      <c r="O1054" s="8"/>
      <c r="P1054" t="s">
        <v>18</v>
      </c>
      <c r="Q1054"/>
      <c r="R1054"/>
      <c r="S1054" s="2" t="s">
        <v>2</v>
      </c>
      <c r="T1054" s="5">
        <v>0</v>
      </c>
      <c r="U1054" s="15"/>
    </row>
    <row r="1055" spans="1:21">
      <c r="A1055" s="8"/>
      <c r="B1055" t="s">
        <v>19</v>
      </c>
      <c r="C1055"/>
      <c r="D1055"/>
      <c r="E1055" s="2" t="s">
        <v>2</v>
      </c>
      <c r="F1055" s="5">
        <v>0</v>
      </c>
      <c r="G1055" s="15"/>
      <c r="H1055" s="8"/>
      <c r="I1055" t="s">
        <v>19</v>
      </c>
      <c r="J1055"/>
      <c r="K1055"/>
      <c r="L1055" s="2" t="s">
        <v>2</v>
      </c>
      <c r="M1055" s="5">
        <v>8000</v>
      </c>
      <c r="N1055" s="15"/>
      <c r="O1055" s="8"/>
      <c r="P1055" t="s">
        <v>19</v>
      </c>
      <c r="Q1055"/>
      <c r="R1055"/>
      <c r="S1055" s="2" t="s">
        <v>2</v>
      </c>
      <c r="T1055" s="5">
        <v>2000</v>
      </c>
      <c r="U1055" s="15"/>
    </row>
    <row r="1056" spans="1:21">
      <c r="A1056" s="8"/>
      <c r="B1056"/>
      <c r="C1056"/>
      <c r="D1056"/>
      <c r="E1056"/>
      <c r="F1056"/>
      <c r="G1056" s="15"/>
      <c r="H1056" s="8"/>
      <c r="I1056"/>
      <c r="J1056"/>
      <c r="K1056"/>
      <c r="L1056"/>
      <c r="M1056"/>
      <c r="N1056" s="15"/>
      <c r="O1056" s="8"/>
      <c r="P1056"/>
      <c r="Q1056"/>
      <c r="R1056"/>
      <c r="S1056"/>
      <c r="T1056"/>
      <c r="U1056" s="15"/>
    </row>
    <row r="1057" spans="1:21">
      <c r="A1057" s="8"/>
      <c r="B1057" s="2" t="s">
        <v>20</v>
      </c>
      <c r="C1057"/>
      <c r="D1057"/>
      <c r="E1057"/>
      <c r="F1057"/>
      <c r="G1057" s="15"/>
      <c r="H1057" s="8"/>
      <c r="I1057" s="2" t="s">
        <v>20</v>
      </c>
      <c r="J1057"/>
      <c r="K1057"/>
      <c r="L1057"/>
      <c r="M1057"/>
      <c r="N1057" s="15"/>
      <c r="O1057" s="8"/>
      <c r="P1057" s="2" t="s">
        <v>20</v>
      </c>
      <c r="Q1057"/>
      <c r="R1057"/>
      <c r="S1057"/>
      <c r="T1057"/>
      <c r="U1057" s="15"/>
    </row>
    <row r="1058" spans="1:21">
      <c r="A1058" s="8"/>
      <c r="B1058" t="s">
        <v>21</v>
      </c>
      <c r="C1058"/>
      <c r="D1058"/>
      <c r="E1058" s="2" t="s">
        <v>2</v>
      </c>
      <c r="F1058" s="5">
        <v>479466.66</v>
      </c>
      <c r="G1058" s="15"/>
      <c r="H1058" s="8"/>
      <c r="I1058" t="s">
        <v>21</v>
      </c>
      <c r="J1058"/>
      <c r="K1058"/>
      <c r="L1058" s="2" t="s">
        <v>2</v>
      </c>
      <c r="M1058" s="5">
        <v>0</v>
      </c>
      <c r="N1058" s="15"/>
      <c r="O1058" s="8"/>
      <c r="P1058" t="s">
        <v>21</v>
      </c>
      <c r="Q1058"/>
      <c r="R1058"/>
      <c r="S1058" s="2" t="s">
        <v>2</v>
      </c>
      <c r="T1058" s="5">
        <v>1675800</v>
      </c>
      <c r="U1058" s="15"/>
    </row>
    <row r="1059" spans="1:21">
      <c r="A1059" s="8"/>
      <c r="B1059" t="s">
        <v>22</v>
      </c>
      <c r="C1059"/>
      <c r="D1059"/>
      <c r="E1059" s="2" t="s">
        <v>2</v>
      </c>
      <c r="F1059" s="5">
        <v>107880</v>
      </c>
      <c r="G1059" s="15"/>
      <c r="H1059" s="8"/>
      <c r="I1059" t="s">
        <v>22</v>
      </c>
      <c r="J1059"/>
      <c r="K1059"/>
      <c r="L1059" s="2" t="s">
        <v>2</v>
      </c>
      <c r="M1059" s="5">
        <v>107940</v>
      </c>
      <c r="N1059" s="15"/>
      <c r="O1059" s="8"/>
      <c r="P1059" t="s">
        <v>22</v>
      </c>
      <c r="Q1059"/>
      <c r="R1059"/>
      <c r="S1059" s="2" t="s">
        <v>2</v>
      </c>
      <c r="T1059" s="5">
        <v>107730</v>
      </c>
      <c r="U1059" s="15"/>
    </row>
    <row r="1060" spans="1:21">
      <c r="A1060" s="8"/>
      <c r="B1060" s="3" t="s">
        <v>23</v>
      </c>
      <c r="C1060" s="3"/>
      <c r="D1060" s="3"/>
      <c r="E1060" s="4" t="s">
        <v>2</v>
      </c>
      <c r="F1060" s="6">
        <v>35745</v>
      </c>
      <c r="G1060" s="15"/>
      <c r="H1060" s="8"/>
      <c r="I1060" s="3" t="s">
        <v>23</v>
      </c>
      <c r="J1060" s="3"/>
      <c r="K1060" s="3"/>
      <c r="L1060" s="4" t="s">
        <v>2</v>
      </c>
      <c r="M1060" s="6">
        <v>35745</v>
      </c>
      <c r="N1060" s="15"/>
      <c r="O1060" s="8"/>
      <c r="P1060" s="3" t="s">
        <v>23</v>
      </c>
      <c r="Q1060" s="3"/>
      <c r="R1060" s="3"/>
      <c r="S1060" s="4" t="s">
        <v>2</v>
      </c>
      <c r="T1060" s="6">
        <v>35745</v>
      </c>
      <c r="U1060" s="15"/>
    </row>
    <row r="1061" spans="1:21">
      <c r="A1061" s="8"/>
      <c r="B1061" t="s">
        <v>24</v>
      </c>
      <c r="C1061"/>
      <c r="D1061"/>
      <c r="E1061" s="2" t="s">
        <v>2</v>
      </c>
      <c r="F1061" s="5" t="str">
        <f>sum(f1058:f1060)</f>
        <v>0</v>
      </c>
      <c r="G1061" s="15"/>
      <c r="H1061" s="8"/>
      <c r="I1061" t="s">
        <v>24</v>
      </c>
      <c r="J1061"/>
      <c r="K1061"/>
      <c r="L1061" s="2" t="s">
        <v>2</v>
      </c>
      <c r="M1061" s="5" t="str">
        <f>sum(m1058:m1060)</f>
        <v>0</v>
      </c>
      <c r="N1061" s="15"/>
      <c r="O1061" s="8"/>
      <c r="P1061" t="s">
        <v>24</v>
      </c>
      <c r="Q1061"/>
      <c r="R1061"/>
      <c r="S1061" s="2" t="s">
        <v>2</v>
      </c>
      <c r="T1061" s="5" t="str">
        <f>sum(t1058:t1060)</f>
        <v>0</v>
      </c>
      <c r="U1061" s="15"/>
    </row>
    <row r="1062" spans="1:21">
      <c r="A1062" s="9"/>
      <c r="B1062" s="11" t="s">
        <v>25</v>
      </c>
      <c r="C1062" s="11"/>
      <c r="D1062" s="11"/>
      <c r="E1062" s="12" t="s">
        <v>2</v>
      </c>
      <c r="F1062" s="13" t="str">
        <f>sum(f1052:f1055)-f1061</f>
        <v>0</v>
      </c>
      <c r="G1062" s="16"/>
      <c r="H1062" s="9"/>
      <c r="I1062" s="11" t="s">
        <v>25</v>
      </c>
      <c r="J1062" s="11"/>
      <c r="K1062" s="11"/>
      <c r="L1062" s="12" t="s">
        <v>2</v>
      </c>
      <c r="M1062" s="13" t="str">
        <f>sum(m1052:m1055)-m1061</f>
        <v>0</v>
      </c>
      <c r="N1062" s="16"/>
      <c r="O1062" s="9"/>
      <c r="P1062" s="11" t="s">
        <v>25</v>
      </c>
      <c r="Q1062" s="11"/>
      <c r="R1062" s="11"/>
      <c r="S1062" s="12" t="s">
        <v>2</v>
      </c>
      <c r="T1062" s="13" t="str">
        <f>sum(t1052:t1055)-t1061</f>
        <v>0</v>
      </c>
      <c r="U1062" s="16"/>
    </row>
    <row r="1063" spans="1:21">
      <c r="A1063" s="7"/>
      <c r="B1063" s="10"/>
      <c r="C1063" s="10"/>
      <c r="D1063" s="10"/>
      <c r="E1063" s="10"/>
      <c r="F1063" s="10"/>
      <c r="G1063" s="14"/>
      <c r="H1063" s="7"/>
      <c r="I1063" s="10"/>
      <c r="J1063" s="10"/>
      <c r="K1063" s="10"/>
      <c r="L1063" s="10"/>
      <c r="M1063" s="10"/>
      <c r="N1063" s="14"/>
      <c r="O1063" s="7"/>
      <c r="P1063" s="10"/>
      <c r="Q1063" s="10"/>
      <c r="R1063" s="10"/>
      <c r="S1063" s="10"/>
      <c r="T1063" s="10"/>
      <c r="U1063" s="14"/>
    </row>
    <row r="1064" spans="1:21">
      <c r="A1064" s="8"/>
      <c r="B1064" s="1" t="s">
        <v>0</v>
      </c>
      <c r="C1064"/>
      <c r="D1064"/>
      <c r="E1064"/>
      <c r="F1064"/>
      <c r="G1064" s="15"/>
      <c r="H1064" s="8"/>
      <c r="I1064" s="1" t="s">
        <v>0</v>
      </c>
      <c r="J1064"/>
      <c r="K1064"/>
      <c r="L1064"/>
      <c r="M1064"/>
      <c r="N1064" s="15"/>
      <c r="O1064" s="8"/>
      <c r="P1064" s="1" t="s">
        <v>0</v>
      </c>
      <c r="Q1064"/>
      <c r="R1064"/>
      <c r="S1064"/>
      <c r="T1064"/>
      <c r="U1064" s="15"/>
    </row>
    <row r="1065" spans="1:21">
      <c r="A1065" s="8"/>
      <c r="B1065" t="s">
        <v>1</v>
      </c>
      <c r="C1065" s="2" t="s">
        <v>2</v>
      </c>
      <c r="D1065" t="s">
        <v>380</v>
      </c>
      <c r="E1065"/>
      <c r="F1065"/>
      <c r="G1065" s="15"/>
      <c r="H1065" s="8"/>
      <c r="I1065" t="s">
        <v>1</v>
      </c>
      <c r="J1065" s="2" t="s">
        <v>2</v>
      </c>
      <c r="K1065" t="s">
        <v>381</v>
      </c>
      <c r="L1065"/>
      <c r="M1065"/>
      <c r="N1065" s="15"/>
      <c r="O1065" s="8"/>
      <c r="P1065" t="s">
        <v>1</v>
      </c>
      <c r="Q1065" s="2" t="s">
        <v>2</v>
      </c>
      <c r="R1065" t="s">
        <v>382</v>
      </c>
      <c r="S1065"/>
      <c r="T1065"/>
      <c r="U1065" s="15"/>
    </row>
    <row r="1066" spans="1:21">
      <c r="A1066" s="8"/>
      <c r="B1066" t="s">
        <v>6</v>
      </c>
      <c r="C1066" s="2" t="s">
        <v>2</v>
      </c>
      <c r="D1066" t="s">
        <v>383</v>
      </c>
      <c r="E1066"/>
      <c r="F1066"/>
      <c r="G1066" s="15"/>
      <c r="H1066" s="8"/>
      <c r="I1066" t="s">
        <v>6</v>
      </c>
      <c r="J1066" s="2" t="s">
        <v>2</v>
      </c>
      <c r="K1066" t="s">
        <v>384</v>
      </c>
      <c r="L1066"/>
      <c r="M1066"/>
      <c r="N1066" s="15"/>
      <c r="O1066" s="8"/>
      <c r="P1066" t="s">
        <v>6</v>
      </c>
      <c r="Q1066" s="2" t="s">
        <v>2</v>
      </c>
      <c r="R1066" t="s">
        <v>385</v>
      </c>
      <c r="S1066"/>
      <c r="T1066"/>
      <c r="U1066" s="15"/>
    </row>
    <row r="1067" spans="1:21">
      <c r="A1067" s="8"/>
      <c r="B1067" t="s">
        <v>10</v>
      </c>
      <c r="C1067" s="2" t="s">
        <v>2</v>
      </c>
      <c r="D1067" t="s">
        <v>379</v>
      </c>
      <c r="E1067"/>
      <c r="F1067"/>
      <c r="G1067" s="15"/>
      <c r="H1067" s="8"/>
      <c r="I1067" t="s">
        <v>10</v>
      </c>
      <c r="J1067" s="2" t="s">
        <v>2</v>
      </c>
      <c r="K1067" t="s">
        <v>386</v>
      </c>
      <c r="L1067"/>
      <c r="M1067"/>
      <c r="N1067" s="15"/>
      <c r="O1067" s="8"/>
      <c r="P1067" t="s">
        <v>10</v>
      </c>
      <c r="Q1067" s="2" t="s">
        <v>2</v>
      </c>
      <c r="R1067" t="s">
        <v>386</v>
      </c>
      <c r="S1067"/>
      <c r="T1067"/>
      <c r="U1067" s="15"/>
    </row>
    <row r="1068" spans="1:21">
      <c r="A1068" s="8"/>
      <c r="B1068" t="s">
        <v>12</v>
      </c>
      <c r="C1068" s="2" t="s">
        <v>2</v>
      </c>
      <c r="D1068" t="s">
        <v>13</v>
      </c>
      <c r="E1068"/>
      <c r="F1068"/>
      <c r="G1068" s="15"/>
      <c r="H1068" s="8"/>
      <c r="I1068" t="s">
        <v>12</v>
      </c>
      <c r="J1068" s="2" t="s">
        <v>2</v>
      </c>
      <c r="K1068" t="s">
        <v>13</v>
      </c>
      <c r="L1068"/>
      <c r="M1068"/>
      <c r="N1068" s="15"/>
      <c r="O1068" s="8"/>
      <c r="P1068" t="s">
        <v>12</v>
      </c>
      <c r="Q1068" s="2" t="s">
        <v>2</v>
      </c>
      <c r="R1068" t="s">
        <v>13</v>
      </c>
      <c r="S1068"/>
      <c r="T1068"/>
      <c r="U1068" s="15"/>
    </row>
    <row r="1069" spans="1:21">
      <c r="A1069" s="8"/>
      <c r="B1069" s="3" t="s">
        <v>14</v>
      </c>
      <c r="C1069" s="4" t="s">
        <v>2</v>
      </c>
      <c r="D1069" s="3" t="s">
        <v>15</v>
      </c>
      <c r="E1069" s="3"/>
      <c r="F1069" s="3"/>
      <c r="G1069" s="15"/>
      <c r="H1069" s="8"/>
      <c r="I1069" s="3" t="s">
        <v>14</v>
      </c>
      <c r="J1069" s="4" t="s">
        <v>2</v>
      </c>
      <c r="K1069" s="3" t="s">
        <v>15</v>
      </c>
      <c r="L1069" s="3"/>
      <c r="M1069" s="3"/>
      <c r="N1069" s="15"/>
      <c r="O1069" s="8"/>
      <c r="P1069" s="3" t="s">
        <v>14</v>
      </c>
      <c r="Q1069" s="4" t="s">
        <v>2</v>
      </c>
      <c r="R1069" s="3" t="s">
        <v>15</v>
      </c>
      <c r="S1069" s="3"/>
      <c r="T1069" s="3"/>
      <c r="U1069" s="15"/>
    </row>
    <row r="1070" spans="1:21">
      <c r="A1070" s="8"/>
      <c r="B1070" t="s">
        <v>16</v>
      </c>
      <c r="C1070"/>
      <c r="D1070"/>
      <c r="E1070" s="2" t="s">
        <v>2</v>
      </c>
      <c r="F1070" s="5">
        <v>3595000</v>
      </c>
      <c r="G1070" s="15"/>
      <c r="H1070" s="8"/>
      <c r="I1070" t="s">
        <v>16</v>
      </c>
      <c r="J1070"/>
      <c r="K1070"/>
      <c r="L1070" s="2" t="s">
        <v>2</v>
      </c>
      <c r="M1070" s="5">
        <v>3589000</v>
      </c>
      <c r="N1070" s="15"/>
      <c r="O1070" s="8"/>
      <c r="P1070" t="s">
        <v>16</v>
      </c>
      <c r="Q1070"/>
      <c r="R1070"/>
      <c r="S1070" s="2" t="s">
        <v>2</v>
      </c>
      <c r="T1070" s="5">
        <v>3594000</v>
      </c>
      <c r="U1070" s="15"/>
    </row>
    <row r="1071" spans="1:21">
      <c r="A1071" s="8"/>
      <c r="B1071" t="s">
        <v>17</v>
      </c>
      <c r="C1071"/>
      <c r="D1071"/>
      <c r="E1071" s="2" t="s">
        <v>2</v>
      </c>
      <c r="F1071" s="5">
        <v>80000</v>
      </c>
      <c r="G1071" s="15"/>
      <c r="H1071" s="8"/>
      <c r="I1071" t="s">
        <v>17</v>
      </c>
      <c r="J1071"/>
      <c r="K1071"/>
      <c r="L1071" s="2" t="s">
        <v>2</v>
      </c>
      <c r="M1071" s="5">
        <v>80000</v>
      </c>
      <c r="N1071" s="15"/>
      <c r="O1071" s="8"/>
      <c r="P1071" t="s">
        <v>17</v>
      </c>
      <c r="Q1071"/>
      <c r="R1071"/>
      <c r="S1071" s="2" t="s">
        <v>2</v>
      </c>
      <c r="T1071" s="5">
        <v>0</v>
      </c>
      <c r="U1071" s="15"/>
    </row>
    <row r="1072" spans="1:21">
      <c r="A1072" s="8"/>
      <c r="B1072" t="s">
        <v>18</v>
      </c>
      <c r="C1072"/>
      <c r="D1072"/>
      <c r="E1072" s="2" t="s">
        <v>2</v>
      </c>
      <c r="F1072" s="5">
        <v>0</v>
      </c>
      <c r="G1072" s="15"/>
      <c r="H1072" s="8"/>
      <c r="I1072" t="s">
        <v>18</v>
      </c>
      <c r="J1072"/>
      <c r="K1072"/>
      <c r="L1072" s="2" t="s">
        <v>2</v>
      </c>
      <c r="M1072" s="5">
        <v>0</v>
      </c>
      <c r="N1072" s="15"/>
      <c r="O1072" s="8"/>
      <c r="P1072" t="s">
        <v>18</v>
      </c>
      <c r="Q1072"/>
      <c r="R1072"/>
      <c r="S1072" s="2" t="s">
        <v>2</v>
      </c>
      <c r="T1072" s="5">
        <v>0</v>
      </c>
      <c r="U1072" s="15"/>
    </row>
    <row r="1073" spans="1:21">
      <c r="A1073" s="8"/>
      <c r="B1073" t="s">
        <v>19</v>
      </c>
      <c r="C1073"/>
      <c r="D1073"/>
      <c r="E1073" s="2" t="s">
        <v>2</v>
      </c>
      <c r="F1073" s="5">
        <v>4000</v>
      </c>
      <c r="G1073" s="15"/>
      <c r="H1073" s="8"/>
      <c r="I1073" t="s">
        <v>19</v>
      </c>
      <c r="J1073"/>
      <c r="K1073"/>
      <c r="L1073" s="2" t="s">
        <v>2</v>
      </c>
      <c r="M1073" s="5">
        <v>0</v>
      </c>
      <c r="N1073" s="15"/>
      <c r="O1073" s="8"/>
      <c r="P1073" t="s">
        <v>19</v>
      </c>
      <c r="Q1073"/>
      <c r="R1073"/>
      <c r="S1073" s="2" t="s">
        <v>2</v>
      </c>
      <c r="T1073" s="5">
        <v>0</v>
      </c>
      <c r="U1073" s="15"/>
    </row>
    <row r="1074" spans="1:21">
      <c r="A1074" s="8"/>
      <c r="B1074"/>
      <c r="C1074"/>
      <c r="D1074"/>
      <c r="E1074"/>
      <c r="F1074"/>
      <c r="G1074" s="15"/>
      <c r="H1074" s="8"/>
      <c r="I1074"/>
      <c r="J1074"/>
      <c r="K1074"/>
      <c r="L1074"/>
      <c r="M1074"/>
      <c r="N1074" s="15"/>
      <c r="O1074" s="8"/>
      <c r="P1074"/>
      <c r="Q1074"/>
      <c r="R1074"/>
      <c r="S1074"/>
      <c r="T1074"/>
      <c r="U1074" s="15"/>
    </row>
    <row r="1075" spans="1:21">
      <c r="A1075" s="8"/>
      <c r="B1075" s="2" t="s">
        <v>20</v>
      </c>
      <c r="C1075"/>
      <c r="D1075"/>
      <c r="E1075"/>
      <c r="F1075"/>
      <c r="G1075" s="15"/>
      <c r="H1075" s="8"/>
      <c r="I1075" s="2" t="s">
        <v>20</v>
      </c>
      <c r="J1075"/>
      <c r="K1075"/>
      <c r="L1075"/>
      <c r="M1075"/>
      <c r="N1075" s="15"/>
      <c r="O1075" s="8"/>
      <c r="P1075" s="2" t="s">
        <v>20</v>
      </c>
      <c r="Q1075"/>
      <c r="R1075"/>
      <c r="S1075"/>
      <c r="T1075"/>
      <c r="U1075" s="15"/>
    </row>
    <row r="1076" spans="1:21">
      <c r="A1076" s="8"/>
      <c r="B1076" t="s">
        <v>21</v>
      </c>
      <c r="C1076"/>
      <c r="D1076"/>
      <c r="E1076" s="2" t="s">
        <v>2</v>
      </c>
      <c r="F1076" s="5">
        <v>1677666.62</v>
      </c>
      <c r="G1076" s="15"/>
      <c r="H1076" s="8"/>
      <c r="I1076" t="s">
        <v>21</v>
      </c>
      <c r="J1076"/>
      <c r="K1076"/>
      <c r="L1076" s="2" t="s">
        <v>2</v>
      </c>
      <c r="M1076" s="5">
        <v>1866280</v>
      </c>
      <c r="N1076" s="15"/>
      <c r="O1076" s="8"/>
      <c r="P1076" t="s">
        <v>21</v>
      </c>
      <c r="Q1076"/>
      <c r="R1076"/>
      <c r="S1076" s="2" t="s">
        <v>2</v>
      </c>
      <c r="T1076" s="5">
        <v>2300160</v>
      </c>
      <c r="U1076" s="15"/>
    </row>
    <row r="1077" spans="1:21">
      <c r="A1077" s="8"/>
      <c r="B1077" t="s">
        <v>22</v>
      </c>
      <c r="C1077"/>
      <c r="D1077"/>
      <c r="E1077" s="2" t="s">
        <v>2</v>
      </c>
      <c r="F1077" s="5">
        <v>107850</v>
      </c>
      <c r="G1077" s="15"/>
      <c r="H1077" s="8"/>
      <c r="I1077" t="s">
        <v>22</v>
      </c>
      <c r="J1077"/>
      <c r="K1077"/>
      <c r="L1077" s="2" t="s">
        <v>2</v>
      </c>
      <c r="M1077" s="5">
        <v>107670</v>
      </c>
      <c r="N1077" s="15"/>
      <c r="O1077" s="8"/>
      <c r="P1077" t="s">
        <v>22</v>
      </c>
      <c r="Q1077"/>
      <c r="R1077"/>
      <c r="S1077" s="2" t="s">
        <v>2</v>
      </c>
      <c r="T1077" s="5">
        <v>107820</v>
      </c>
      <c r="U1077" s="15"/>
    </row>
    <row r="1078" spans="1:21">
      <c r="A1078" s="8"/>
      <c r="B1078" s="3" t="s">
        <v>23</v>
      </c>
      <c r="C1078" s="3"/>
      <c r="D1078" s="3"/>
      <c r="E1078" s="4" t="s">
        <v>2</v>
      </c>
      <c r="F1078" s="6">
        <v>35745</v>
      </c>
      <c r="G1078" s="15"/>
      <c r="H1078" s="8"/>
      <c r="I1078" s="3" t="s">
        <v>23</v>
      </c>
      <c r="J1078" s="3"/>
      <c r="K1078" s="3"/>
      <c r="L1078" s="4" t="s">
        <v>2</v>
      </c>
      <c r="M1078" s="6">
        <v>35745</v>
      </c>
      <c r="N1078" s="15"/>
      <c r="O1078" s="8"/>
      <c r="P1078" s="3" t="s">
        <v>23</v>
      </c>
      <c r="Q1078" s="3"/>
      <c r="R1078" s="3"/>
      <c r="S1078" s="4" t="s">
        <v>2</v>
      </c>
      <c r="T1078" s="6">
        <v>35745</v>
      </c>
      <c r="U1078" s="15"/>
    </row>
    <row r="1079" spans="1:21">
      <c r="A1079" s="8"/>
      <c r="B1079" t="s">
        <v>24</v>
      </c>
      <c r="C1079"/>
      <c r="D1079"/>
      <c r="E1079" s="2" t="s">
        <v>2</v>
      </c>
      <c r="F1079" s="5" t="str">
        <f>sum(f1076:f1078)</f>
        <v>0</v>
      </c>
      <c r="G1079" s="15"/>
      <c r="H1079" s="8"/>
      <c r="I1079" t="s">
        <v>24</v>
      </c>
      <c r="J1079"/>
      <c r="K1079"/>
      <c r="L1079" s="2" t="s">
        <v>2</v>
      </c>
      <c r="M1079" s="5" t="str">
        <f>sum(m1076:m1078)</f>
        <v>0</v>
      </c>
      <c r="N1079" s="15"/>
      <c r="O1079" s="8"/>
      <c r="P1079" t="s">
        <v>24</v>
      </c>
      <c r="Q1079"/>
      <c r="R1079"/>
      <c r="S1079" s="2" t="s">
        <v>2</v>
      </c>
      <c r="T1079" s="5" t="str">
        <f>sum(t1076:t1078)</f>
        <v>0</v>
      </c>
      <c r="U1079" s="15"/>
    </row>
    <row r="1080" spans="1:21">
      <c r="A1080" s="9"/>
      <c r="B1080" s="11" t="s">
        <v>25</v>
      </c>
      <c r="C1080" s="11"/>
      <c r="D1080" s="11"/>
      <c r="E1080" s="12" t="s">
        <v>2</v>
      </c>
      <c r="F1080" s="13" t="str">
        <f>sum(f1070:f1073)-f1079</f>
        <v>0</v>
      </c>
      <c r="G1080" s="16"/>
      <c r="H1080" s="9"/>
      <c r="I1080" s="11" t="s">
        <v>25</v>
      </c>
      <c r="J1080" s="11"/>
      <c r="K1080" s="11"/>
      <c r="L1080" s="12" t="s">
        <v>2</v>
      </c>
      <c r="M1080" s="13" t="str">
        <f>sum(m1070:m1073)-m1079</f>
        <v>0</v>
      </c>
      <c r="N1080" s="16"/>
      <c r="O1080" s="9"/>
      <c r="P1080" s="11" t="s">
        <v>25</v>
      </c>
      <c r="Q1080" s="11"/>
      <c r="R1080" s="11"/>
      <c r="S1080" s="12" t="s">
        <v>2</v>
      </c>
      <c r="T1080" s="13" t="str">
        <f>sum(t1070:t1073)-t1079</f>
        <v>0</v>
      </c>
      <c r="U1080" s="16"/>
    </row>
    <row r="1081" spans="1:21">
      <c r="A1081" s="7"/>
      <c r="B1081" s="10"/>
      <c r="C1081" s="10"/>
      <c r="D1081" s="10"/>
      <c r="E1081" s="10"/>
      <c r="F1081" s="10"/>
      <c r="G1081" s="14"/>
      <c r="H1081" s="7"/>
      <c r="I1081" s="10"/>
      <c r="J1081" s="10"/>
      <c r="K1081" s="10"/>
      <c r="L1081" s="10"/>
      <c r="M1081" s="10"/>
      <c r="N1081" s="14"/>
      <c r="O1081" s="7"/>
      <c r="P1081" s="10"/>
      <c r="Q1081" s="10"/>
      <c r="R1081" s="10"/>
      <c r="S1081" s="10"/>
      <c r="T1081" s="10"/>
      <c r="U1081" s="14"/>
    </row>
    <row r="1082" spans="1:21">
      <c r="A1082" s="8"/>
      <c r="B1082" s="1" t="s">
        <v>0</v>
      </c>
      <c r="C1082"/>
      <c r="D1082"/>
      <c r="E1082"/>
      <c r="F1082"/>
      <c r="G1082" s="15"/>
      <c r="H1082" s="8"/>
      <c r="I1082" s="1" t="s">
        <v>0</v>
      </c>
      <c r="J1082"/>
      <c r="K1082"/>
      <c r="L1082"/>
      <c r="M1082"/>
      <c r="N1082" s="15"/>
      <c r="O1082" s="8"/>
      <c r="P1082" s="1" t="s">
        <v>0</v>
      </c>
      <c r="Q1082"/>
      <c r="R1082"/>
      <c r="S1082"/>
      <c r="T1082"/>
      <c r="U1082" s="15"/>
    </row>
    <row r="1083" spans="1:21">
      <c r="A1083" s="8"/>
      <c r="B1083" t="s">
        <v>1</v>
      </c>
      <c r="C1083" s="2" t="s">
        <v>2</v>
      </c>
      <c r="D1083" t="s">
        <v>387</v>
      </c>
      <c r="E1083"/>
      <c r="F1083"/>
      <c r="G1083" s="15"/>
      <c r="H1083" s="8"/>
      <c r="I1083" t="s">
        <v>1</v>
      </c>
      <c r="J1083" s="2" t="s">
        <v>2</v>
      </c>
      <c r="K1083" t="s">
        <v>388</v>
      </c>
      <c r="L1083"/>
      <c r="M1083"/>
      <c r="N1083" s="15"/>
      <c r="O1083" s="8"/>
      <c r="P1083" t="s">
        <v>1</v>
      </c>
      <c r="Q1083" s="2" t="s">
        <v>2</v>
      </c>
      <c r="R1083" t="s">
        <v>389</v>
      </c>
      <c r="S1083"/>
      <c r="T1083"/>
      <c r="U1083" s="15"/>
    </row>
    <row r="1084" spans="1:21">
      <c r="A1084" s="8"/>
      <c r="B1084" t="s">
        <v>6</v>
      </c>
      <c r="C1084" s="2" t="s">
        <v>2</v>
      </c>
      <c r="D1084" t="s">
        <v>390</v>
      </c>
      <c r="E1084"/>
      <c r="F1084"/>
      <c r="G1084" s="15"/>
      <c r="H1084" s="8"/>
      <c r="I1084" t="s">
        <v>6</v>
      </c>
      <c r="J1084" s="2" t="s">
        <v>2</v>
      </c>
      <c r="K1084" t="s">
        <v>391</v>
      </c>
      <c r="L1084"/>
      <c r="M1084"/>
      <c r="N1084" s="15"/>
      <c r="O1084" s="8"/>
      <c r="P1084" t="s">
        <v>6</v>
      </c>
      <c r="Q1084" s="2" t="s">
        <v>2</v>
      </c>
      <c r="R1084" t="s">
        <v>392</v>
      </c>
      <c r="S1084"/>
      <c r="T1084"/>
      <c r="U1084" s="15"/>
    </row>
    <row r="1085" spans="1:21">
      <c r="A1085" s="8"/>
      <c r="B1085" t="s">
        <v>10</v>
      </c>
      <c r="C1085" s="2" t="s">
        <v>2</v>
      </c>
      <c r="D1085" t="s">
        <v>393</v>
      </c>
      <c r="E1085"/>
      <c r="F1085"/>
      <c r="G1085" s="15"/>
      <c r="H1085" s="8"/>
      <c r="I1085" t="s">
        <v>10</v>
      </c>
      <c r="J1085" s="2" t="s">
        <v>2</v>
      </c>
      <c r="K1085" t="s">
        <v>393</v>
      </c>
      <c r="L1085"/>
      <c r="M1085"/>
      <c r="N1085" s="15"/>
      <c r="O1085" s="8"/>
      <c r="P1085" t="s">
        <v>10</v>
      </c>
      <c r="Q1085" s="2" t="s">
        <v>2</v>
      </c>
      <c r="R1085" t="s">
        <v>393</v>
      </c>
      <c r="S1085"/>
      <c r="T1085"/>
      <c r="U1085" s="15"/>
    </row>
    <row r="1086" spans="1:21">
      <c r="A1086" s="8"/>
      <c r="B1086" t="s">
        <v>12</v>
      </c>
      <c r="C1086" s="2" t="s">
        <v>2</v>
      </c>
      <c r="D1086" t="s">
        <v>13</v>
      </c>
      <c r="E1086"/>
      <c r="F1086"/>
      <c r="G1086" s="15"/>
      <c r="H1086" s="8"/>
      <c r="I1086" t="s">
        <v>12</v>
      </c>
      <c r="J1086" s="2" t="s">
        <v>2</v>
      </c>
      <c r="K1086" t="s">
        <v>13</v>
      </c>
      <c r="L1086"/>
      <c r="M1086"/>
      <c r="N1086" s="15"/>
      <c r="O1086" s="8"/>
      <c r="P1086" t="s">
        <v>12</v>
      </c>
      <c r="Q1086" s="2" t="s">
        <v>2</v>
      </c>
      <c r="R1086" t="s">
        <v>13</v>
      </c>
      <c r="S1086"/>
      <c r="T1086"/>
      <c r="U1086" s="15"/>
    </row>
    <row r="1087" spans="1:21">
      <c r="A1087" s="8"/>
      <c r="B1087" s="3" t="s">
        <v>14</v>
      </c>
      <c r="C1087" s="4" t="s">
        <v>2</v>
      </c>
      <c r="D1087" s="3" t="s">
        <v>15</v>
      </c>
      <c r="E1087" s="3"/>
      <c r="F1087" s="3"/>
      <c r="G1087" s="15"/>
      <c r="H1087" s="8"/>
      <c r="I1087" s="3" t="s">
        <v>14</v>
      </c>
      <c r="J1087" s="4" t="s">
        <v>2</v>
      </c>
      <c r="K1087" s="3" t="s">
        <v>15</v>
      </c>
      <c r="L1087" s="3"/>
      <c r="M1087" s="3"/>
      <c r="N1087" s="15"/>
      <c r="O1087" s="8"/>
      <c r="P1087" s="3" t="s">
        <v>14</v>
      </c>
      <c r="Q1087" s="4" t="s">
        <v>2</v>
      </c>
      <c r="R1087" s="3" t="s">
        <v>15</v>
      </c>
      <c r="S1087" s="3"/>
      <c r="T1087" s="3"/>
      <c r="U1087" s="15"/>
    </row>
    <row r="1088" spans="1:21">
      <c r="A1088" s="8"/>
      <c r="B1088" t="s">
        <v>16</v>
      </c>
      <c r="C1088"/>
      <c r="D1088"/>
      <c r="E1088" s="2" t="s">
        <v>2</v>
      </c>
      <c r="F1088" s="5">
        <v>4436000</v>
      </c>
      <c r="G1088" s="15"/>
      <c r="H1088" s="8"/>
      <c r="I1088" t="s">
        <v>16</v>
      </c>
      <c r="J1088"/>
      <c r="K1088"/>
      <c r="L1088" s="2" t="s">
        <v>2</v>
      </c>
      <c r="M1088" s="5">
        <v>3596000</v>
      </c>
      <c r="N1088" s="15"/>
      <c r="O1088" s="8"/>
      <c r="P1088" t="s">
        <v>16</v>
      </c>
      <c r="Q1088"/>
      <c r="R1088"/>
      <c r="S1088" s="2" t="s">
        <v>2</v>
      </c>
      <c r="T1088" s="5">
        <v>3593000</v>
      </c>
      <c r="U1088" s="15"/>
    </row>
    <row r="1089" spans="1:21">
      <c r="A1089" s="8"/>
      <c r="B1089" t="s">
        <v>17</v>
      </c>
      <c r="C1089"/>
      <c r="D1089"/>
      <c r="E1089" s="2" t="s">
        <v>2</v>
      </c>
      <c r="F1089" s="5">
        <v>200000</v>
      </c>
      <c r="G1089" s="15"/>
      <c r="H1089" s="8"/>
      <c r="I1089" t="s">
        <v>17</v>
      </c>
      <c r="J1089"/>
      <c r="K1089"/>
      <c r="L1089" s="2" t="s">
        <v>2</v>
      </c>
      <c r="M1089" s="5">
        <v>0</v>
      </c>
      <c r="N1089" s="15"/>
      <c r="O1089" s="8"/>
      <c r="P1089" t="s">
        <v>17</v>
      </c>
      <c r="Q1089"/>
      <c r="R1089"/>
      <c r="S1089" s="2" t="s">
        <v>2</v>
      </c>
      <c r="T1089" s="5">
        <v>0</v>
      </c>
      <c r="U1089" s="15"/>
    </row>
    <row r="1090" spans="1:21">
      <c r="A1090" s="8"/>
      <c r="B1090" t="s">
        <v>18</v>
      </c>
      <c r="C1090"/>
      <c r="D1090"/>
      <c r="E1090" s="2" t="s">
        <v>2</v>
      </c>
      <c r="F1090" s="5">
        <v>0</v>
      </c>
      <c r="G1090" s="15"/>
      <c r="H1090" s="8"/>
      <c r="I1090" t="s">
        <v>18</v>
      </c>
      <c r="J1090"/>
      <c r="K1090"/>
      <c r="L1090" s="2" t="s">
        <v>2</v>
      </c>
      <c r="M1090" s="5">
        <v>25000</v>
      </c>
      <c r="N1090" s="15"/>
      <c r="O1090" s="8"/>
      <c r="P1090" t="s">
        <v>18</v>
      </c>
      <c r="Q1090"/>
      <c r="R1090"/>
      <c r="S1090" s="2" t="s">
        <v>2</v>
      </c>
      <c r="T1090" s="5">
        <v>0</v>
      </c>
      <c r="U1090" s="15"/>
    </row>
    <row r="1091" spans="1:21">
      <c r="A1091" s="8"/>
      <c r="B1091" t="s">
        <v>19</v>
      </c>
      <c r="C1091"/>
      <c r="D1091"/>
      <c r="E1091" s="2" t="s">
        <v>2</v>
      </c>
      <c r="F1091" s="5">
        <v>0</v>
      </c>
      <c r="G1091" s="15"/>
      <c r="H1091" s="8"/>
      <c r="I1091" t="s">
        <v>19</v>
      </c>
      <c r="J1091"/>
      <c r="K1091"/>
      <c r="L1091" s="2" t="s">
        <v>2</v>
      </c>
      <c r="M1091" s="5">
        <v>10000</v>
      </c>
      <c r="N1091" s="15"/>
      <c r="O1091" s="8"/>
      <c r="P1091" t="s">
        <v>19</v>
      </c>
      <c r="Q1091"/>
      <c r="R1091"/>
      <c r="S1091" s="2" t="s">
        <v>2</v>
      </c>
      <c r="T1091" s="5">
        <v>0</v>
      </c>
      <c r="U1091" s="15"/>
    </row>
    <row r="1092" spans="1:21">
      <c r="A1092" s="8"/>
      <c r="B1092"/>
      <c r="C1092"/>
      <c r="D1092"/>
      <c r="E1092"/>
      <c r="F1092"/>
      <c r="G1092" s="15"/>
      <c r="H1092" s="8"/>
      <c r="I1092"/>
      <c r="J1092"/>
      <c r="K1092"/>
      <c r="L1092"/>
      <c r="M1092"/>
      <c r="N1092" s="15"/>
      <c r="O1092" s="8"/>
      <c r="P1092"/>
      <c r="Q1092"/>
      <c r="R1092"/>
      <c r="S1092"/>
      <c r="T1092"/>
      <c r="U1092" s="15"/>
    </row>
    <row r="1093" spans="1:21">
      <c r="A1093" s="8"/>
      <c r="B1093" s="2" t="s">
        <v>20</v>
      </c>
      <c r="C1093"/>
      <c r="D1093"/>
      <c r="E1093"/>
      <c r="F1093"/>
      <c r="G1093" s="15"/>
      <c r="H1093" s="8"/>
      <c r="I1093" s="2" t="s">
        <v>20</v>
      </c>
      <c r="J1093"/>
      <c r="K1093"/>
      <c r="L1093"/>
      <c r="M1093"/>
      <c r="N1093" s="15"/>
      <c r="O1093" s="8"/>
      <c r="P1093" s="2" t="s">
        <v>20</v>
      </c>
      <c r="Q1093"/>
      <c r="R1093"/>
      <c r="S1093"/>
      <c r="T1093"/>
      <c r="U1093" s="15"/>
    </row>
    <row r="1094" spans="1:21">
      <c r="A1094" s="8"/>
      <c r="B1094" t="s">
        <v>21</v>
      </c>
      <c r="C1094"/>
      <c r="D1094"/>
      <c r="E1094" s="2" t="s">
        <v>2</v>
      </c>
      <c r="F1094" s="5">
        <v>2484160</v>
      </c>
      <c r="G1094" s="15"/>
      <c r="H1094" s="8"/>
      <c r="I1094" t="s">
        <v>21</v>
      </c>
      <c r="J1094"/>
      <c r="K1094"/>
      <c r="L1094" s="2" t="s">
        <v>2</v>
      </c>
      <c r="M1094" s="5">
        <v>0</v>
      </c>
      <c r="N1094" s="15"/>
      <c r="O1094" s="8"/>
      <c r="P1094" t="s">
        <v>21</v>
      </c>
      <c r="Q1094"/>
      <c r="R1094"/>
      <c r="S1094" s="2" t="s">
        <v>2</v>
      </c>
      <c r="T1094" s="5">
        <v>1437200</v>
      </c>
      <c r="U1094" s="15"/>
    </row>
    <row r="1095" spans="1:21">
      <c r="A1095" s="8"/>
      <c r="B1095" t="s">
        <v>22</v>
      </c>
      <c r="C1095"/>
      <c r="D1095"/>
      <c r="E1095" s="2" t="s">
        <v>2</v>
      </c>
      <c r="F1095" s="5">
        <v>133080</v>
      </c>
      <c r="G1095" s="15"/>
      <c r="H1095" s="8"/>
      <c r="I1095" t="s">
        <v>22</v>
      </c>
      <c r="J1095"/>
      <c r="K1095"/>
      <c r="L1095" s="2" t="s">
        <v>2</v>
      </c>
      <c r="M1095" s="5">
        <v>107880</v>
      </c>
      <c r="N1095" s="15"/>
      <c r="O1095" s="8"/>
      <c r="P1095" t="s">
        <v>22</v>
      </c>
      <c r="Q1095"/>
      <c r="R1095"/>
      <c r="S1095" s="2" t="s">
        <v>2</v>
      </c>
      <c r="T1095" s="5">
        <v>107790</v>
      </c>
      <c r="U1095" s="15"/>
    </row>
    <row r="1096" spans="1:21">
      <c r="A1096" s="8"/>
      <c r="B1096" s="3" t="s">
        <v>23</v>
      </c>
      <c r="C1096" s="3"/>
      <c r="D1096" s="3"/>
      <c r="E1096" s="4" t="s">
        <v>2</v>
      </c>
      <c r="F1096" s="6">
        <v>44360</v>
      </c>
      <c r="G1096" s="15"/>
      <c r="H1096" s="8"/>
      <c r="I1096" s="3" t="s">
        <v>23</v>
      </c>
      <c r="J1096" s="3"/>
      <c r="K1096" s="3"/>
      <c r="L1096" s="4" t="s">
        <v>2</v>
      </c>
      <c r="M1096" s="6">
        <v>35745</v>
      </c>
      <c r="N1096" s="15"/>
      <c r="O1096" s="8"/>
      <c r="P1096" s="3" t="s">
        <v>23</v>
      </c>
      <c r="Q1096" s="3"/>
      <c r="R1096" s="3"/>
      <c r="S1096" s="4" t="s">
        <v>2</v>
      </c>
      <c r="T1096" s="6">
        <v>35745</v>
      </c>
      <c r="U1096" s="15"/>
    </row>
    <row r="1097" spans="1:21">
      <c r="A1097" s="8"/>
      <c r="B1097" t="s">
        <v>24</v>
      </c>
      <c r="C1097"/>
      <c r="D1097"/>
      <c r="E1097" s="2" t="s">
        <v>2</v>
      </c>
      <c r="F1097" s="5" t="str">
        <f>sum(f1094:f1096)</f>
        <v>0</v>
      </c>
      <c r="G1097" s="15"/>
      <c r="H1097" s="8"/>
      <c r="I1097" t="s">
        <v>24</v>
      </c>
      <c r="J1097"/>
      <c r="K1097"/>
      <c r="L1097" s="2" t="s">
        <v>2</v>
      </c>
      <c r="M1097" s="5" t="str">
        <f>sum(m1094:m1096)</f>
        <v>0</v>
      </c>
      <c r="N1097" s="15"/>
      <c r="O1097" s="8"/>
      <c r="P1097" t="s">
        <v>24</v>
      </c>
      <c r="Q1097"/>
      <c r="R1097"/>
      <c r="S1097" s="2" t="s">
        <v>2</v>
      </c>
      <c r="T1097" s="5" t="str">
        <f>sum(t1094:t1096)</f>
        <v>0</v>
      </c>
      <c r="U1097" s="15"/>
    </row>
    <row r="1098" spans="1:21">
      <c r="A1098" s="9"/>
      <c r="B1098" s="11" t="s">
        <v>25</v>
      </c>
      <c r="C1098" s="11"/>
      <c r="D1098" s="11"/>
      <c r="E1098" s="12" t="s">
        <v>2</v>
      </c>
      <c r="F1098" s="13" t="str">
        <f>sum(f1088:f1091)-f1097</f>
        <v>0</v>
      </c>
      <c r="G1098" s="16"/>
      <c r="H1098" s="9"/>
      <c r="I1098" s="11" t="s">
        <v>25</v>
      </c>
      <c r="J1098" s="11"/>
      <c r="K1098" s="11"/>
      <c r="L1098" s="12" t="s">
        <v>2</v>
      </c>
      <c r="M1098" s="13" t="str">
        <f>sum(m1088:m1091)-m1097</f>
        <v>0</v>
      </c>
      <c r="N1098" s="16"/>
      <c r="O1098" s="9"/>
      <c r="P1098" s="11" t="s">
        <v>25</v>
      </c>
      <c r="Q1098" s="11"/>
      <c r="R1098" s="11"/>
      <c r="S1098" s="12" t="s">
        <v>2</v>
      </c>
      <c r="T1098" s="13" t="str">
        <f>sum(t1088:t1091)-t1097</f>
        <v>0</v>
      </c>
      <c r="U1098" s="16"/>
    </row>
    <row r="1099" spans="1:21">
      <c r="A1099" s="7"/>
      <c r="B1099" s="10"/>
      <c r="C1099" s="10"/>
      <c r="D1099" s="10"/>
      <c r="E1099" s="10"/>
      <c r="F1099" s="10"/>
      <c r="G1099" s="14"/>
      <c r="H1099" s="7"/>
      <c r="I1099" s="10"/>
      <c r="J1099" s="10"/>
      <c r="K1099" s="10"/>
      <c r="L1099" s="10"/>
      <c r="M1099" s="10"/>
      <c r="N1099" s="14"/>
      <c r="O1099" s="7"/>
      <c r="P1099" s="10"/>
      <c r="Q1099" s="10"/>
      <c r="R1099" s="10"/>
      <c r="S1099" s="10"/>
      <c r="T1099" s="10"/>
      <c r="U1099" s="14"/>
    </row>
    <row r="1100" spans="1:21">
      <c r="A1100" s="8"/>
      <c r="B1100" s="1" t="s">
        <v>0</v>
      </c>
      <c r="C1100"/>
      <c r="D1100"/>
      <c r="E1100"/>
      <c r="F1100"/>
      <c r="G1100" s="15"/>
      <c r="H1100" s="8"/>
      <c r="I1100" s="1" t="s">
        <v>0</v>
      </c>
      <c r="J1100"/>
      <c r="K1100"/>
      <c r="L1100"/>
      <c r="M1100"/>
      <c r="N1100" s="15"/>
      <c r="O1100" s="8"/>
      <c r="P1100" s="1" t="s">
        <v>0</v>
      </c>
      <c r="Q1100"/>
      <c r="R1100"/>
      <c r="S1100"/>
      <c r="T1100"/>
      <c r="U1100" s="15"/>
    </row>
    <row r="1101" spans="1:21">
      <c r="A1101" s="8"/>
      <c r="B1101" t="s">
        <v>1</v>
      </c>
      <c r="C1101" s="2" t="s">
        <v>2</v>
      </c>
      <c r="D1101" t="s">
        <v>394</v>
      </c>
      <c r="E1101"/>
      <c r="F1101"/>
      <c r="G1101" s="15"/>
      <c r="H1101" s="8"/>
      <c r="I1101" t="s">
        <v>1</v>
      </c>
      <c r="J1101" s="2" t="s">
        <v>2</v>
      </c>
      <c r="K1101" t="s">
        <v>395</v>
      </c>
      <c r="L1101"/>
      <c r="M1101"/>
      <c r="N1101" s="15"/>
      <c r="O1101" s="8"/>
      <c r="P1101" t="s">
        <v>1</v>
      </c>
      <c r="Q1101" s="2" t="s">
        <v>2</v>
      </c>
      <c r="R1101" t="s">
        <v>396</v>
      </c>
      <c r="S1101"/>
      <c r="T1101"/>
      <c r="U1101" s="15"/>
    </row>
    <row r="1102" spans="1:21">
      <c r="A1102" s="8"/>
      <c r="B1102" t="s">
        <v>6</v>
      </c>
      <c r="C1102" s="2" t="s">
        <v>2</v>
      </c>
      <c r="D1102" t="s">
        <v>397</v>
      </c>
      <c r="E1102"/>
      <c r="F1102"/>
      <c r="G1102" s="15"/>
      <c r="H1102" s="8"/>
      <c r="I1102" t="s">
        <v>6</v>
      </c>
      <c r="J1102" s="2" t="s">
        <v>2</v>
      </c>
      <c r="K1102" t="s">
        <v>398</v>
      </c>
      <c r="L1102"/>
      <c r="M1102"/>
      <c r="N1102" s="15"/>
      <c r="O1102" s="8"/>
      <c r="P1102" t="s">
        <v>6</v>
      </c>
      <c r="Q1102" s="2" t="s">
        <v>2</v>
      </c>
      <c r="R1102" t="s">
        <v>399</v>
      </c>
      <c r="S1102"/>
      <c r="T1102"/>
      <c r="U1102" s="15"/>
    </row>
    <row r="1103" spans="1:21">
      <c r="A1103" s="8"/>
      <c r="B1103" t="s">
        <v>10</v>
      </c>
      <c r="C1103" s="2" t="s">
        <v>2</v>
      </c>
      <c r="D1103" t="s">
        <v>393</v>
      </c>
      <c r="E1103"/>
      <c r="F1103"/>
      <c r="G1103" s="15"/>
      <c r="H1103" s="8"/>
      <c r="I1103" t="s">
        <v>10</v>
      </c>
      <c r="J1103" s="2" t="s">
        <v>2</v>
      </c>
      <c r="K1103" t="s">
        <v>393</v>
      </c>
      <c r="L1103"/>
      <c r="M1103"/>
      <c r="N1103" s="15"/>
      <c r="O1103" s="8"/>
      <c r="P1103" t="s">
        <v>10</v>
      </c>
      <c r="Q1103" s="2" t="s">
        <v>2</v>
      </c>
      <c r="R1103" t="s">
        <v>393</v>
      </c>
      <c r="S1103"/>
      <c r="T1103"/>
      <c r="U1103" s="15"/>
    </row>
    <row r="1104" spans="1:21">
      <c r="A1104" s="8"/>
      <c r="B1104" t="s">
        <v>12</v>
      </c>
      <c r="C1104" s="2" t="s">
        <v>2</v>
      </c>
      <c r="D1104" t="s">
        <v>13</v>
      </c>
      <c r="E1104"/>
      <c r="F1104"/>
      <c r="G1104" s="15"/>
      <c r="H1104" s="8"/>
      <c r="I1104" t="s">
        <v>12</v>
      </c>
      <c r="J1104" s="2" t="s">
        <v>2</v>
      </c>
      <c r="K1104" t="s">
        <v>13</v>
      </c>
      <c r="L1104"/>
      <c r="M1104"/>
      <c r="N1104" s="15"/>
      <c r="O1104" s="8"/>
      <c r="P1104" t="s">
        <v>12</v>
      </c>
      <c r="Q1104" s="2" t="s">
        <v>2</v>
      </c>
      <c r="R1104" t="s">
        <v>13</v>
      </c>
      <c r="S1104"/>
      <c r="T1104"/>
      <c r="U1104" s="15"/>
    </row>
    <row r="1105" spans="1:21">
      <c r="A1105" s="8"/>
      <c r="B1105" s="3" t="s">
        <v>14</v>
      </c>
      <c r="C1105" s="4" t="s">
        <v>2</v>
      </c>
      <c r="D1105" s="3" t="s">
        <v>15</v>
      </c>
      <c r="E1105" s="3"/>
      <c r="F1105" s="3"/>
      <c r="G1105" s="15"/>
      <c r="H1105" s="8"/>
      <c r="I1105" s="3" t="s">
        <v>14</v>
      </c>
      <c r="J1105" s="4" t="s">
        <v>2</v>
      </c>
      <c r="K1105" s="3" t="s">
        <v>15</v>
      </c>
      <c r="L1105" s="3"/>
      <c r="M1105" s="3"/>
      <c r="N1105" s="15"/>
      <c r="O1105" s="8"/>
      <c r="P1105" s="3" t="s">
        <v>14</v>
      </c>
      <c r="Q1105" s="4" t="s">
        <v>2</v>
      </c>
      <c r="R1105" s="3" t="s">
        <v>15</v>
      </c>
      <c r="S1105" s="3"/>
      <c r="T1105" s="3"/>
      <c r="U1105" s="15"/>
    </row>
    <row r="1106" spans="1:21">
      <c r="A1106" s="8"/>
      <c r="B1106" t="s">
        <v>16</v>
      </c>
      <c r="C1106"/>
      <c r="D1106"/>
      <c r="E1106" s="2" t="s">
        <v>2</v>
      </c>
      <c r="F1106" s="5">
        <v>3595000</v>
      </c>
      <c r="G1106" s="15"/>
      <c r="H1106" s="8"/>
      <c r="I1106" t="s">
        <v>16</v>
      </c>
      <c r="J1106"/>
      <c r="K1106"/>
      <c r="L1106" s="2" t="s">
        <v>2</v>
      </c>
      <c r="M1106" s="5">
        <v>3594000</v>
      </c>
      <c r="N1106" s="15"/>
      <c r="O1106" s="8"/>
      <c r="P1106" t="s">
        <v>16</v>
      </c>
      <c r="Q1106"/>
      <c r="R1106"/>
      <c r="S1106" s="2" t="s">
        <v>2</v>
      </c>
      <c r="T1106" s="5">
        <v>4028000</v>
      </c>
      <c r="U1106" s="15"/>
    </row>
    <row r="1107" spans="1:21">
      <c r="A1107" s="8"/>
      <c r="B1107" t="s">
        <v>17</v>
      </c>
      <c r="C1107"/>
      <c r="D1107"/>
      <c r="E1107" s="2" t="s">
        <v>2</v>
      </c>
      <c r="F1107" s="5">
        <v>0</v>
      </c>
      <c r="G1107" s="15"/>
      <c r="H1107" s="8"/>
      <c r="I1107" t="s">
        <v>17</v>
      </c>
      <c r="J1107"/>
      <c r="K1107"/>
      <c r="L1107" s="2" t="s">
        <v>2</v>
      </c>
      <c r="M1107" s="5">
        <v>0</v>
      </c>
      <c r="N1107" s="15"/>
      <c r="O1107" s="8"/>
      <c r="P1107" t="s">
        <v>17</v>
      </c>
      <c r="Q1107"/>
      <c r="R1107"/>
      <c r="S1107" s="2" t="s">
        <v>2</v>
      </c>
      <c r="T1107" s="5">
        <v>150000</v>
      </c>
      <c r="U1107" s="15"/>
    </row>
    <row r="1108" spans="1:21">
      <c r="A1108" s="8"/>
      <c r="B1108" t="s">
        <v>18</v>
      </c>
      <c r="C1108"/>
      <c r="D1108"/>
      <c r="E1108" s="2" t="s">
        <v>2</v>
      </c>
      <c r="F1108" s="5">
        <v>0</v>
      </c>
      <c r="G1108" s="15"/>
      <c r="H1108" s="8"/>
      <c r="I1108" t="s">
        <v>18</v>
      </c>
      <c r="J1108"/>
      <c r="K1108"/>
      <c r="L1108" s="2" t="s">
        <v>2</v>
      </c>
      <c r="M1108" s="5">
        <v>0</v>
      </c>
      <c r="N1108" s="15"/>
      <c r="O1108" s="8"/>
      <c r="P1108" t="s">
        <v>18</v>
      </c>
      <c r="Q1108"/>
      <c r="R1108"/>
      <c r="S1108" s="2" t="s">
        <v>2</v>
      </c>
      <c r="T1108" s="5">
        <v>0</v>
      </c>
      <c r="U1108" s="15"/>
    </row>
    <row r="1109" spans="1:21">
      <c r="A1109" s="8"/>
      <c r="B1109" t="s">
        <v>19</v>
      </c>
      <c r="C1109"/>
      <c r="D1109"/>
      <c r="E1109" s="2" t="s">
        <v>2</v>
      </c>
      <c r="F1109" s="5">
        <v>0</v>
      </c>
      <c r="G1109" s="15"/>
      <c r="H1109" s="8"/>
      <c r="I1109" t="s">
        <v>19</v>
      </c>
      <c r="J1109"/>
      <c r="K1109"/>
      <c r="L1109" s="2" t="s">
        <v>2</v>
      </c>
      <c r="M1109" s="5">
        <v>4000</v>
      </c>
      <c r="N1109" s="15"/>
      <c r="O1109" s="8"/>
      <c r="P1109" t="s">
        <v>19</v>
      </c>
      <c r="Q1109"/>
      <c r="R1109"/>
      <c r="S1109" s="2" t="s">
        <v>2</v>
      </c>
      <c r="T1109" s="5">
        <v>0</v>
      </c>
      <c r="U1109" s="15"/>
    </row>
    <row r="1110" spans="1:21">
      <c r="A1110" s="8"/>
      <c r="B1110"/>
      <c r="C1110"/>
      <c r="D1110"/>
      <c r="E1110"/>
      <c r="F1110"/>
      <c r="G1110" s="15"/>
      <c r="H1110" s="8"/>
      <c r="I1110"/>
      <c r="J1110"/>
      <c r="K1110"/>
      <c r="L1110"/>
      <c r="M1110"/>
      <c r="N1110" s="15"/>
      <c r="O1110" s="8"/>
      <c r="P1110"/>
      <c r="Q1110"/>
      <c r="R1110"/>
      <c r="S1110"/>
      <c r="T1110"/>
      <c r="U1110" s="15"/>
    </row>
    <row r="1111" spans="1:21">
      <c r="A1111" s="8"/>
      <c r="B1111" s="2" t="s">
        <v>20</v>
      </c>
      <c r="C1111"/>
      <c r="D1111"/>
      <c r="E1111"/>
      <c r="F1111"/>
      <c r="G1111" s="15"/>
      <c r="H1111" s="8"/>
      <c r="I1111" s="2" t="s">
        <v>20</v>
      </c>
      <c r="J1111"/>
      <c r="K1111"/>
      <c r="L1111"/>
      <c r="M1111"/>
      <c r="N1111" s="15"/>
      <c r="O1111" s="8"/>
      <c r="P1111" s="2" t="s">
        <v>20</v>
      </c>
      <c r="Q1111"/>
      <c r="R1111"/>
      <c r="S1111"/>
      <c r="T1111"/>
      <c r="U1111" s="15"/>
    </row>
    <row r="1112" spans="1:21">
      <c r="A1112" s="8"/>
      <c r="B1112" t="s">
        <v>21</v>
      </c>
      <c r="C1112"/>
      <c r="D1112"/>
      <c r="E1112" s="2" t="s">
        <v>2</v>
      </c>
      <c r="F1112" s="5">
        <v>1725600</v>
      </c>
      <c r="G1112" s="15"/>
      <c r="H1112" s="8"/>
      <c r="I1112" t="s">
        <v>21</v>
      </c>
      <c r="J1112"/>
      <c r="K1112"/>
      <c r="L1112" s="2" t="s">
        <v>2</v>
      </c>
      <c r="M1112" s="5">
        <v>2036600</v>
      </c>
      <c r="N1112" s="15"/>
      <c r="O1112" s="8"/>
      <c r="P1112" t="s">
        <v>21</v>
      </c>
      <c r="Q1112"/>
      <c r="R1112"/>
      <c r="S1112" s="2" t="s">
        <v>2</v>
      </c>
      <c r="T1112" s="5">
        <v>2577920</v>
      </c>
      <c r="U1112" s="15"/>
    </row>
    <row r="1113" spans="1:21">
      <c r="A1113" s="8"/>
      <c r="B1113" t="s">
        <v>22</v>
      </c>
      <c r="C1113"/>
      <c r="D1113"/>
      <c r="E1113" s="2" t="s">
        <v>2</v>
      </c>
      <c r="F1113" s="5">
        <v>107850</v>
      </c>
      <c r="G1113" s="15"/>
      <c r="H1113" s="8"/>
      <c r="I1113" t="s">
        <v>22</v>
      </c>
      <c r="J1113"/>
      <c r="K1113"/>
      <c r="L1113" s="2" t="s">
        <v>2</v>
      </c>
      <c r="M1113" s="5">
        <v>107820</v>
      </c>
      <c r="N1113" s="15"/>
      <c r="O1113" s="8"/>
      <c r="P1113" t="s">
        <v>22</v>
      </c>
      <c r="Q1113"/>
      <c r="R1113"/>
      <c r="S1113" s="2" t="s">
        <v>2</v>
      </c>
      <c r="T1113" s="5">
        <v>120840</v>
      </c>
      <c r="U1113" s="15"/>
    </row>
    <row r="1114" spans="1:21">
      <c r="A1114" s="8"/>
      <c r="B1114" s="3" t="s">
        <v>23</v>
      </c>
      <c r="C1114" s="3"/>
      <c r="D1114" s="3"/>
      <c r="E1114" s="4" t="s">
        <v>2</v>
      </c>
      <c r="F1114" s="6">
        <v>35745</v>
      </c>
      <c r="G1114" s="15"/>
      <c r="H1114" s="8"/>
      <c r="I1114" s="3" t="s">
        <v>23</v>
      </c>
      <c r="J1114" s="3"/>
      <c r="K1114" s="3"/>
      <c r="L1114" s="4" t="s">
        <v>2</v>
      </c>
      <c r="M1114" s="6">
        <v>35745</v>
      </c>
      <c r="N1114" s="15"/>
      <c r="O1114" s="8"/>
      <c r="P1114" s="3" t="s">
        <v>23</v>
      </c>
      <c r="Q1114" s="3"/>
      <c r="R1114" s="3"/>
      <c r="S1114" s="4" t="s">
        <v>2</v>
      </c>
      <c r="T1114" s="6">
        <v>40280</v>
      </c>
      <c r="U1114" s="15"/>
    </row>
    <row r="1115" spans="1:21">
      <c r="A1115" s="8"/>
      <c r="B1115" t="s">
        <v>24</v>
      </c>
      <c r="C1115"/>
      <c r="D1115"/>
      <c r="E1115" s="2" t="s">
        <v>2</v>
      </c>
      <c r="F1115" s="5" t="str">
        <f>sum(f1112:f1114)</f>
        <v>0</v>
      </c>
      <c r="G1115" s="15"/>
      <c r="H1115" s="8"/>
      <c r="I1115" t="s">
        <v>24</v>
      </c>
      <c r="J1115"/>
      <c r="K1115"/>
      <c r="L1115" s="2" t="s">
        <v>2</v>
      </c>
      <c r="M1115" s="5" t="str">
        <f>sum(m1112:m1114)</f>
        <v>0</v>
      </c>
      <c r="N1115" s="15"/>
      <c r="O1115" s="8"/>
      <c r="P1115" t="s">
        <v>24</v>
      </c>
      <c r="Q1115"/>
      <c r="R1115"/>
      <c r="S1115" s="2" t="s">
        <v>2</v>
      </c>
      <c r="T1115" s="5" t="str">
        <f>sum(t1112:t1114)</f>
        <v>0</v>
      </c>
      <c r="U1115" s="15"/>
    </row>
    <row r="1116" spans="1:21">
      <c r="A1116" s="9"/>
      <c r="B1116" s="11" t="s">
        <v>25</v>
      </c>
      <c r="C1116" s="11"/>
      <c r="D1116" s="11"/>
      <c r="E1116" s="12" t="s">
        <v>2</v>
      </c>
      <c r="F1116" s="13" t="str">
        <f>sum(f1106:f1109)-f1115</f>
        <v>0</v>
      </c>
      <c r="G1116" s="16"/>
      <c r="H1116" s="9"/>
      <c r="I1116" s="11" t="s">
        <v>25</v>
      </c>
      <c r="J1116" s="11"/>
      <c r="K1116" s="11"/>
      <c r="L1116" s="12" t="s">
        <v>2</v>
      </c>
      <c r="M1116" s="13" t="str">
        <f>sum(m1106:m1109)-m1115</f>
        <v>0</v>
      </c>
      <c r="N1116" s="16"/>
      <c r="O1116" s="9"/>
      <c r="P1116" s="11" t="s">
        <v>25</v>
      </c>
      <c r="Q1116" s="11"/>
      <c r="R1116" s="11"/>
      <c r="S1116" s="12" t="s">
        <v>2</v>
      </c>
      <c r="T1116" s="13" t="str">
        <f>sum(t1106:t1109)-t1115</f>
        <v>0</v>
      </c>
      <c r="U1116" s="16"/>
    </row>
    <row r="1117" spans="1:21">
      <c r="A1117" s="7"/>
      <c r="B1117" s="10"/>
      <c r="C1117" s="10"/>
      <c r="D1117" s="10"/>
      <c r="E1117" s="10"/>
      <c r="F1117" s="10"/>
      <c r="G1117" s="14"/>
      <c r="H1117" s="7"/>
      <c r="I1117" s="10"/>
      <c r="J1117" s="10"/>
      <c r="K1117" s="10"/>
      <c r="L1117" s="10"/>
      <c r="M1117" s="10"/>
      <c r="N1117" s="14"/>
      <c r="O1117" s="7"/>
      <c r="P1117" s="10"/>
      <c r="Q1117" s="10"/>
      <c r="R1117" s="10"/>
      <c r="S1117" s="10"/>
      <c r="T1117" s="10"/>
      <c r="U1117" s="14"/>
    </row>
    <row r="1118" spans="1:21">
      <c r="A1118" s="8"/>
      <c r="B1118" s="1" t="s">
        <v>0</v>
      </c>
      <c r="C1118"/>
      <c r="D1118"/>
      <c r="E1118"/>
      <c r="F1118"/>
      <c r="G1118" s="15"/>
      <c r="H1118" s="8"/>
      <c r="I1118" s="1" t="s">
        <v>0</v>
      </c>
      <c r="J1118"/>
      <c r="K1118"/>
      <c r="L1118"/>
      <c r="M1118"/>
      <c r="N1118" s="15"/>
      <c r="O1118" s="8"/>
      <c r="P1118" s="1" t="s">
        <v>0</v>
      </c>
      <c r="Q1118"/>
      <c r="R1118"/>
      <c r="S1118"/>
      <c r="T1118"/>
      <c r="U1118" s="15"/>
    </row>
    <row r="1119" spans="1:21">
      <c r="A1119" s="8"/>
      <c r="B1119" t="s">
        <v>1</v>
      </c>
      <c r="C1119" s="2" t="s">
        <v>2</v>
      </c>
      <c r="D1119" t="s">
        <v>400</v>
      </c>
      <c r="E1119"/>
      <c r="F1119"/>
      <c r="G1119" s="15"/>
      <c r="H1119" s="8"/>
      <c r="I1119" t="s">
        <v>1</v>
      </c>
      <c r="J1119" s="2" t="s">
        <v>2</v>
      </c>
      <c r="K1119" t="s">
        <v>401</v>
      </c>
      <c r="L1119"/>
      <c r="M1119"/>
      <c r="N1119" s="15"/>
      <c r="O1119" s="8"/>
      <c r="P1119" t="s">
        <v>1</v>
      </c>
      <c r="Q1119" s="2" t="s">
        <v>2</v>
      </c>
      <c r="R1119" t="s">
        <v>402</v>
      </c>
      <c r="S1119"/>
      <c r="T1119"/>
      <c r="U1119" s="15"/>
    </row>
    <row r="1120" spans="1:21">
      <c r="A1120" s="8"/>
      <c r="B1120" t="s">
        <v>6</v>
      </c>
      <c r="C1120" s="2" t="s">
        <v>2</v>
      </c>
      <c r="D1120" t="s">
        <v>403</v>
      </c>
      <c r="E1120"/>
      <c r="F1120"/>
      <c r="G1120" s="15"/>
      <c r="H1120" s="8"/>
      <c r="I1120" t="s">
        <v>6</v>
      </c>
      <c r="J1120" s="2" t="s">
        <v>2</v>
      </c>
      <c r="K1120" t="s">
        <v>404</v>
      </c>
      <c r="L1120"/>
      <c r="M1120"/>
      <c r="N1120" s="15"/>
      <c r="O1120" s="8"/>
      <c r="P1120" t="s">
        <v>6</v>
      </c>
      <c r="Q1120" s="2" t="s">
        <v>2</v>
      </c>
      <c r="R1120" t="s">
        <v>405</v>
      </c>
      <c r="S1120"/>
      <c r="T1120"/>
      <c r="U1120" s="15"/>
    </row>
    <row r="1121" spans="1:21">
      <c r="A1121" s="8"/>
      <c r="B1121" t="s">
        <v>10</v>
      </c>
      <c r="C1121" s="2" t="s">
        <v>2</v>
      </c>
      <c r="D1121" t="s">
        <v>393</v>
      </c>
      <c r="E1121"/>
      <c r="F1121"/>
      <c r="G1121" s="15"/>
      <c r="H1121" s="8"/>
      <c r="I1121" t="s">
        <v>10</v>
      </c>
      <c r="J1121" s="2" t="s">
        <v>2</v>
      </c>
      <c r="K1121" t="s">
        <v>393</v>
      </c>
      <c r="L1121"/>
      <c r="M1121"/>
      <c r="N1121" s="15"/>
      <c r="O1121" s="8"/>
      <c r="P1121" t="s">
        <v>10</v>
      </c>
      <c r="Q1121" s="2" t="s">
        <v>2</v>
      </c>
      <c r="R1121" t="s">
        <v>393</v>
      </c>
      <c r="S1121"/>
      <c r="T1121"/>
      <c r="U1121" s="15"/>
    </row>
    <row r="1122" spans="1:21">
      <c r="A1122" s="8"/>
      <c r="B1122" t="s">
        <v>12</v>
      </c>
      <c r="C1122" s="2" t="s">
        <v>2</v>
      </c>
      <c r="D1122" t="s">
        <v>13</v>
      </c>
      <c r="E1122"/>
      <c r="F1122"/>
      <c r="G1122" s="15"/>
      <c r="H1122" s="8"/>
      <c r="I1122" t="s">
        <v>12</v>
      </c>
      <c r="J1122" s="2" t="s">
        <v>2</v>
      </c>
      <c r="K1122" t="s">
        <v>13</v>
      </c>
      <c r="L1122"/>
      <c r="M1122"/>
      <c r="N1122" s="15"/>
      <c r="O1122" s="8"/>
      <c r="P1122" t="s">
        <v>12</v>
      </c>
      <c r="Q1122" s="2" t="s">
        <v>2</v>
      </c>
      <c r="R1122" t="s">
        <v>13</v>
      </c>
      <c r="S1122"/>
      <c r="T1122"/>
      <c r="U1122" s="15"/>
    </row>
    <row r="1123" spans="1:21">
      <c r="A1123" s="8"/>
      <c r="B1123" s="3" t="s">
        <v>14</v>
      </c>
      <c r="C1123" s="4" t="s">
        <v>2</v>
      </c>
      <c r="D1123" s="3" t="s">
        <v>15</v>
      </c>
      <c r="E1123" s="3"/>
      <c r="F1123" s="3"/>
      <c r="G1123" s="15"/>
      <c r="H1123" s="8"/>
      <c r="I1123" s="3" t="s">
        <v>14</v>
      </c>
      <c r="J1123" s="4" t="s">
        <v>2</v>
      </c>
      <c r="K1123" s="3" t="s">
        <v>15</v>
      </c>
      <c r="L1123" s="3"/>
      <c r="M1123" s="3"/>
      <c r="N1123" s="15"/>
      <c r="O1123" s="8"/>
      <c r="P1123" s="3" t="s">
        <v>14</v>
      </c>
      <c r="Q1123" s="4" t="s">
        <v>2</v>
      </c>
      <c r="R1123" s="3" t="s">
        <v>15</v>
      </c>
      <c r="S1123" s="3"/>
      <c r="T1123" s="3"/>
      <c r="U1123" s="15"/>
    </row>
    <row r="1124" spans="1:21">
      <c r="A1124" s="8"/>
      <c r="B1124" t="s">
        <v>16</v>
      </c>
      <c r="C1124"/>
      <c r="D1124"/>
      <c r="E1124" s="2" t="s">
        <v>2</v>
      </c>
      <c r="F1124" s="5">
        <v>3594000</v>
      </c>
      <c r="G1124" s="15"/>
      <c r="H1124" s="8"/>
      <c r="I1124" t="s">
        <v>16</v>
      </c>
      <c r="J1124"/>
      <c r="K1124"/>
      <c r="L1124" s="2" t="s">
        <v>2</v>
      </c>
      <c r="M1124" s="5">
        <v>3594000</v>
      </c>
      <c r="N1124" s="15"/>
      <c r="O1124" s="8"/>
      <c r="P1124" t="s">
        <v>16</v>
      </c>
      <c r="Q1124"/>
      <c r="R1124"/>
      <c r="S1124" s="2" t="s">
        <v>2</v>
      </c>
      <c r="T1124" s="5">
        <v>3597000</v>
      </c>
      <c r="U1124" s="15"/>
    </row>
    <row r="1125" spans="1:21">
      <c r="A1125" s="8"/>
      <c r="B1125" t="s">
        <v>17</v>
      </c>
      <c r="C1125"/>
      <c r="D1125"/>
      <c r="E1125" s="2" t="s">
        <v>2</v>
      </c>
      <c r="F1125" s="5">
        <v>0</v>
      </c>
      <c r="G1125" s="15"/>
      <c r="H1125" s="8"/>
      <c r="I1125" t="s">
        <v>17</v>
      </c>
      <c r="J1125"/>
      <c r="K1125"/>
      <c r="L1125" s="2" t="s">
        <v>2</v>
      </c>
      <c r="M1125" s="5">
        <v>50000</v>
      </c>
      <c r="N1125" s="15"/>
      <c r="O1125" s="8"/>
      <c r="P1125" t="s">
        <v>17</v>
      </c>
      <c r="Q1125"/>
      <c r="R1125"/>
      <c r="S1125" s="2" t="s">
        <v>2</v>
      </c>
      <c r="T1125" s="5">
        <v>0</v>
      </c>
      <c r="U1125" s="15"/>
    </row>
    <row r="1126" spans="1:21">
      <c r="A1126" s="8"/>
      <c r="B1126" t="s">
        <v>18</v>
      </c>
      <c r="C1126"/>
      <c r="D1126"/>
      <c r="E1126" s="2" t="s">
        <v>2</v>
      </c>
      <c r="F1126" s="5">
        <v>0</v>
      </c>
      <c r="G1126" s="15"/>
      <c r="H1126" s="8"/>
      <c r="I1126" t="s">
        <v>18</v>
      </c>
      <c r="J1126"/>
      <c r="K1126"/>
      <c r="L1126" s="2" t="s">
        <v>2</v>
      </c>
      <c r="M1126" s="5">
        <v>0</v>
      </c>
      <c r="N1126" s="15"/>
      <c r="O1126" s="8"/>
      <c r="P1126" t="s">
        <v>18</v>
      </c>
      <c r="Q1126"/>
      <c r="R1126"/>
      <c r="S1126" s="2" t="s">
        <v>2</v>
      </c>
      <c r="T1126" s="5">
        <v>0</v>
      </c>
      <c r="U1126" s="15"/>
    </row>
    <row r="1127" spans="1:21">
      <c r="A1127" s="8"/>
      <c r="B1127" t="s">
        <v>19</v>
      </c>
      <c r="C1127"/>
      <c r="D1127"/>
      <c r="E1127" s="2" t="s">
        <v>2</v>
      </c>
      <c r="F1127" s="5">
        <v>0</v>
      </c>
      <c r="G1127" s="15"/>
      <c r="H1127" s="8"/>
      <c r="I1127" t="s">
        <v>19</v>
      </c>
      <c r="J1127"/>
      <c r="K1127"/>
      <c r="L1127" s="2" t="s">
        <v>2</v>
      </c>
      <c r="M1127" s="5">
        <v>0</v>
      </c>
      <c r="N1127" s="15"/>
      <c r="O1127" s="8"/>
      <c r="P1127" t="s">
        <v>19</v>
      </c>
      <c r="Q1127"/>
      <c r="R1127"/>
      <c r="S1127" s="2" t="s">
        <v>2</v>
      </c>
      <c r="T1127" s="5">
        <v>0</v>
      </c>
      <c r="U1127" s="15"/>
    </row>
    <row r="1128" spans="1:21">
      <c r="A1128" s="8"/>
      <c r="B1128"/>
      <c r="C1128"/>
      <c r="D1128"/>
      <c r="E1128"/>
      <c r="F1128"/>
      <c r="G1128" s="15"/>
      <c r="H1128" s="8"/>
      <c r="I1128"/>
      <c r="J1128"/>
      <c r="K1128"/>
      <c r="L1128"/>
      <c r="M1128"/>
      <c r="N1128" s="15"/>
      <c r="O1128" s="8"/>
      <c r="P1128"/>
      <c r="Q1128"/>
      <c r="R1128"/>
      <c r="S1128"/>
      <c r="T1128"/>
      <c r="U1128" s="15"/>
    </row>
    <row r="1129" spans="1:21">
      <c r="A1129" s="8"/>
      <c r="B1129" s="2" t="s">
        <v>20</v>
      </c>
      <c r="C1129"/>
      <c r="D1129"/>
      <c r="E1129"/>
      <c r="F1129"/>
      <c r="G1129" s="15"/>
      <c r="H1129" s="8"/>
      <c r="I1129" s="2" t="s">
        <v>20</v>
      </c>
      <c r="J1129"/>
      <c r="K1129"/>
      <c r="L1129"/>
      <c r="M1129"/>
      <c r="N1129" s="15"/>
      <c r="O1129" s="8"/>
      <c r="P1129" s="2" t="s">
        <v>20</v>
      </c>
      <c r="Q1129"/>
      <c r="R1129"/>
      <c r="S1129"/>
      <c r="T1129"/>
      <c r="U1129" s="15"/>
    </row>
    <row r="1130" spans="1:21">
      <c r="A1130" s="8"/>
      <c r="B1130" t="s">
        <v>21</v>
      </c>
      <c r="C1130"/>
      <c r="D1130"/>
      <c r="E1130" s="2" t="s">
        <v>2</v>
      </c>
      <c r="F1130" s="5">
        <v>2156400</v>
      </c>
      <c r="G1130" s="15"/>
      <c r="H1130" s="8"/>
      <c r="I1130" t="s">
        <v>21</v>
      </c>
      <c r="J1130"/>
      <c r="K1130"/>
      <c r="L1130" s="2" t="s">
        <v>2</v>
      </c>
      <c r="M1130" s="5">
        <v>2300160</v>
      </c>
      <c r="N1130" s="15"/>
      <c r="O1130" s="8"/>
      <c r="P1130" t="s">
        <v>21</v>
      </c>
      <c r="Q1130"/>
      <c r="R1130"/>
      <c r="S1130" s="2" t="s">
        <v>2</v>
      </c>
      <c r="T1130" s="5">
        <v>1798500</v>
      </c>
      <c r="U1130" s="15"/>
    </row>
    <row r="1131" spans="1:21">
      <c r="A1131" s="8"/>
      <c r="B1131" t="s">
        <v>22</v>
      </c>
      <c r="C1131"/>
      <c r="D1131"/>
      <c r="E1131" s="2" t="s">
        <v>2</v>
      </c>
      <c r="F1131" s="5">
        <v>107820</v>
      </c>
      <c r="G1131" s="15"/>
      <c r="H1131" s="8"/>
      <c r="I1131" t="s">
        <v>22</v>
      </c>
      <c r="J1131"/>
      <c r="K1131"/>
      <c r="L1131" s="2" t="s">
        <v>2</v>
      </c>
      <c r="M1131" s="5">
        <v>107820</v>
      </c>
      <c r="N1131" s="15"/>
      <c r="O1131" s="8"/>
      <c r="P1131" t="s">
        <v>22</v>
      </c>
      <c r="Q1131"/>
      <c r="R1131"/>
      <c r="S1131" s="2" t="s">
        <v>2</v>
      </c>
      <c r="T1131" s="5">
        <v>107910</v>
      </c>
      <c r="U1131" s="15"/>
    </row>
    <row r="1132" spans="1:21">
      <c r="A1132" s="8"/>
      <c r="B1132" s="3" t="s">
        <v>23</v>
      </c>
      <c r="C1132" s="3"/>
      <c r="D1132" s="3"/>
      <c r="E1132" s="4" t="s">
        <v>2</v>
      </c>
      <c r="F1132" s="6">
        <v>0</v>
      </c>
      <c r="G1132" s="15"/>
      <c r="H1132" s="8"/>
      <c r="I1132" s="3" t="s">
        <v>23</v>
      </c>
      <c r="J1132" s="3"/>
      <c r="K1132" s="3"/>
      <c r="L1132" s="4" t="s">
        <v>2</v>
      </c>
      <c r="M1132" s="6">
        <v>0</v>
      </c>
      <c r="N1132" s="15"/>
      <c r="O1132" s="8"/>
      <c r="P1132" s="3" t="s">
        <v>23</v>
      </c>
      <c r="Q1132" s="3"/>
      <c r="R1132" s="3"/>
      <c r="S1132" s="4" t="s">
        <v>2</v>
      </c>
      <c r="T1132" s="6">
        <v>35745</v>
      </c>
      <c r="U1132" s="15"/>
    </row>
    <row r="1133" spans="1:21">
      <c r="A1133" s="8"/>
      <c r="B1133" t="s">
        <v>24</v>
      </c>
      <c r="C1133"/>
      <c r="D1133"/>
      <c r="E1133" s="2" t="s">
        <v>2</v>
      </c>
      <c r="F1133" s="5" t="str">
        <f>sum(f1130:f1132)</f>
        <v>0</v>
      </c>
      <c r="G1133" s="15"/>
      <c r="H1133" s="8"/>
      <c r="I1133" t="s">
        <v>24</v>
      </c>
      <c r="J1133"/>
      <c r="K1133"/>
      <c r="L1133" s="2" t="s">
        <v>2</v>
      </c>
      <c r="M1133" s="5" t="str">
        <f>sum(m1130:m1132)</f>
        <v>0</v>
      </c>
      <c r="N1133" s="15"/>
      <c r="O1133" s="8"/>
      <c r="P1133" t="s">
        <v>24</v>
      </c>
      <c r="Q1133"/>
      <c r="R1133"/>
      <c r="S1133" s="2" t="s">
        <v>2</v>
      </c>
      <c r="T1133" s="5" t="str">
        <f>sum(t1130:t1132)</f>
        <v>0</v>
      </c>
      <c r="U1133" s="15"/>
    </row>
    <row r="1134" spans="1:21">
      <c r="A1134" s="9"/>
      <c r="B1134" s="11" t="s">
        <v>25</v>
      </c>
      <c r="C1134" s="11"/>
      <c r="D1134" s="11"/>
      <c r="E1134" s="12" t="s">
        <v>2</v>
      </c>
      <c r="F1134" s="13" t="str">
        <f>sum(f1124:f1127)-f1133</f>
        <v>0</v>
      </c>
      <c r="G1134" s="16"/>
      <c r="H1134" s="9"/>
      <c r="I1134" s="11" t="s">
        <v>25</v>
      </c>
      <c r="J1134" s="11"/>
      <c r="K1134" s="11"/>
      <c r="L1134" s="12" t="s">
        <v>2</v>
      </c>
      <c r="M1134" s="13" t="str">
        <f>sum(m1124:m1127)-m1133</f>
        <v>0</v>
      </c>
      <c r="N1134" s="16"/>
      <c r="O1134" s="9"/>
      <c r="P1134" s="11" t="s">
        <v>25</v>
      </c>
      <c r="Q1134" s="11"/>
      <c r="R1134" s="11"/>
      <c r="S1134" s="12" t="s">
        <v>2</v>
      </c>
      <c r="T1134" s="13" t="str">
        <f>sum(t1124:t1127)-t1133</f>
        <v>0</v>
      </c>
      <c r="U1134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F2"/>
    <mergeCell ref="I2:M2"/>
    <mergeCell ref="P2:T2"/>
    <mergeCell ref="B13:D13"/>
    <mergeCell ref="I13:K13"/>
    <mergeCell ref="P13:R13"/>
    <mergeCell ref="B20:F20"/>
    <mergeCell ref="I20:M20"/>
    <mergeCell ref="P20:T20"/>
    <mergeCell ref="B31:D31"/>
    <mergeCell ref="I31:K31"/>
    <mergeCell ref="P31:R31"/>
    <mergeCell ref="B38:F38"/>
    <mergeCell ref="I38:M38"/>
    <mergeCell ref="P38:T38"/>
    <mergeCell ref="B49:D49"/>
    <mergeCell ref="I49:K49"/>
    <mergeCell ref="P49:R49"/>
    <mergeCell ref="B56:F56"/>
    <mergeCell ref="I56:M56"/>
    <mergeCell ref="P56:T56"/>
    <mergeCell ref="B67:D67"/>
    <mergeCell ref="I67:K67"/>
    <mergeCell ref="P67:R67"/>
    <mergeCell ref="B74:F74"/>
    <mergeCell ref="I74:M74"/>
    <mergeCell ref="P74:T74"/>
    <mergeCell ref="B85:D85"/>
    <mergeCell ref="I85:K85"/>
    <mergeCell ref="P85:R85"/>
    <mergeCell ref="B92:F92"/>
    <mergeCell ref="I92:M92"/>
    <mergeCell ref="P92:T92"/>
    <mergeCell ref="B103:D103"/>
    <mergeCell ref="I103:K103"/>
    <mergeCell ref="P103:R103"/>
    <mergeCell ref="B110:F110"/>
    <mergeCell ref="I110:M110"/>
    <mergeCell ref="P110:T110"/>
    <mergeCell ref="B121:D121"/>
    <mergeCell ref="I121:K121"/>
    <mergeCell ref="P121:R121"/>
    <mergeCell ref="B128:F128"/>
    <mergeCell ref="I128:M128"/>
    <mergeCell ref="P128:T128"/>
    <mergeCell ref="B139:D139"/>
    <mergeCell ref="I139:K139"/>
    <mergeCell ref="P139:R139"/>
    <mergeCell ref="B146:F146"/>
    <mergeCell ref="I146:M146"/>
    <mergeCell ref="P146:T146"/>
    <mergeCell ref="B157:D157"/>
    <mergeCell ref="I157:K157"/>
    <mergeCell ref="P157:R157"/>
    <mergeCell ref="B164:F164"/>
    <mergeCell ref="I164:M164"/>
    <mergeCell ref="P164:T164"/>
    <mergeCell ref="B175:D175"/>
    <mergeCell ref="I175:K175"/>
    <mergeCell ref="P175:R175"/>
    <mergeCell ref="B182:F182"/>
    <mergeCell ref="I182:M182"/>
    <mergeCell ref="P182:T182"/>
    <mergeCell ref="B193:D193"/>
    <mergeCell ref="I193:K193"/>
    <mergeCell ref="P193:R193"/>
    <mergeCell ref="B200:F200"/>
    <mergeCell ref="I200:M200"/>
    <mergeCell ref="P200:T200"/>
    <mergeCell ref="B211:D211"/>
    <mergeCell ref="I211:K211"/>
    <mergeCell ref="P211:R211"/>
    <mergeCell ref="B218:F218"/>
    <mergeCell ref="I218:M218"/>
    <mergeCell ref="P218:T218"/>
    <mergeCell ref="B229:D229"/>
    <mergeCell ref="I229:K229"/>
    <mergeCell ref="P229:R229"/>
    <mergeCell ref="B236:F236"/>
    <mergeCell ref="I236:M236"/>
    <mergeCell ref="P236:T236"/>
    <mergeCell ref="B247:D247"/>
    <mergeCell ref="I247:K247"/>
    <mergeCell ref="P247:R247"/>
    <mergeCell ref="B254:F254"/>
    <mergeCell ref="I254:M254"/>
    <mergeCell ref="P254:T254"/>
    <mergeCell ref="B265:D265"/>
    <mergeCell ref="I265:K265"/>
    <mergeCell ref="P265:R265"/>
    <mergeCell ref="B272:F272"/>
    <mergeCell ref="I272:M272"/>
    <mergeCell ref="P272:T272"/>
    <mergeCell ref="B283:D283"/>
    <mergeCell ref="I283:K283"/>
    <mergeCell ref="P283:R283"/>
    <mergeCell ref="B290:F290"/>
    <mergeCell ref="I290:M290"/>
    <mergeCell ref="P290:T290"/>
    <mergeCell ref="B301:D301"/>
    <mergeCell ref="I301:K301"/>
    <mergeCell ref="P301:R301"/>
    <mergeCell ref="B308:F308"/>
    <mergeCell ref="I308:M308"/>
    <mergeCell ref="P308:T308"/>
    <mergeCell ref="B319:D319"/>
    <mergeCell ref="I319:K319"/>
    <mergeCell ref="P319:R319"/>
    <mergeCell ref="B326:F326"/>
    <mergeCell ref="I326:M326"/>
    <mergeCell ref="P326:T326"/>
    <mergeCell ref="B337:D337"/>
    <mergeCell ref="I337:K337"/>
    <mergeCell ref="P337:R337"/>
    <mergeCell ref="B344:F344"/>
    <mergeCell ref="I344:M344"/>
    <mergeCell ref="P344:T344"/>
    <mergeCell ref="B355:D355"/>
    <mergeCell ref="I355:K355"/>
    <mergeCell ref="P355:R355"/>
    <mergeCell ref="B362:F362"/>
    <mergeCell ref="I362:M362"/>
    <mergeCell ref="P362:T362"/>
    <mergeCell ref="B373:D373"/>
    <mergeCell ref="I373:K373"/>
    <mergeCell ref="P373:R373"/>
    <mergeCell ref="B380:F380"/>
    <mergeCell ref="I380:M380"/>
    <mergeCell ref="P380:T380"/>
    <mergeCell ref="B391:D391"/>
    <mergeCell ref="I391:K391"/>
    <mergeCell ref="P391:R391"/>
    <mergeCell ref="B398:F398"/>
    <mergeCell ref="I398:M398"/>
    <mergeCell ref="P398:T398"/>
    <mergeCell ref="B409:D409"/>
    <mergeCell ref="I409:K409"/>
    <mergeCell ref="P409:R409"/>
    <mergeCell ref="B416:F416"/>
    <mergeCell ref="I416:M416"/>
    <mergeCell ref="P416:T416"/>
    <mergeCell ref="B427:D427"/>
    <mergeCell ref="I427:K427"/>
    <mergeCell ref="P427:R427"/>
    <mergeCell ref="B434:F434"/>
    <mergeCell ref="I434:M434"/>
    <mergeCell ref="P434:T434"/>
    <mergeCell ref="B445:D445"/>
    <mergeCell ref="I445:K445"/>
    <mergeCell ref="P445:R445"/>
    <mergeCell ref="B452:F452"/>
    <mergeCell ref="I452:M452"/>
    <mergeCell ref="P452:T452"/>
    <mergeCell ref="B463:D463"/>
    <mergeCell ref="I463:K463"/>
    <mergeCell ref="P463:R463"/>
    <mergeCell ref="B470:F470"/>
    <mergeCell ref="I470:M470"/>
    <mergeCell ref="P470:T470"/>
    <mergeCell ref="B481:D481"/>
    <mergeCell ref="I481:K481"/>
    <mergeCell ref="P481:R481"/>
    <mergeCell ref="B488:F488"/>
    <mergeCell ref="I488:M488"/>
    <mergeCell ref="P488:T488"/>
    <mergeCell ref="B499:D499"/>
    <mergeCell ref="I499:K499"/>
    <mergeCell ref="P499:R499"/>
    <mergeCell ref="B506:F506"/>
    <mergeCell ref="I506:M506"/>
    <mergeCell ref="P506:T506"/>
    <mergeCell ref="B517:D517"/>
    <mergeCell ref="I517:K517"/>
    <mergeCell ref="P517:R517"/>
    <mergeCell ref="B524:F524"/>
    <mergeCell ref="I524:M524"/>
    <mergeCell ref="P524:T524"/>
    <mergeCell ref="B535:D535"/>
    <mergeCell ref="I535:K535"/>
    <mergeCell ref="P535:R535"/>
    <mergeCell ref="B542:F542"/>
    <mergeCell ref="I542:M542"/>
    <mergeCell ref="P542:T542"/>
    <mergeCell ref="B553:D553"/>
    <mergeCell ref="I553:K553"/>
    <mergeCell ref="P553:R553"/>
    <mergeCell ref="B560:F560"/>
    <mergeCell ref="I560:M560"/>
    <mergeCell ref="P560:T560"/>
    <mergeCell ref="B571:D571"/>
    <mergeCell ref="I571:K571"/>
    <mergeCell ref="P571:R571"/>
    <mergeCell ref="B578:F578"/>
    <mergeCell ref="I578:M578"/>
    <mergeCell ref="P578:T578"/>
    <mergeCell ref="B589:D589"/>
    <mergeCell ref="I589:K589"/>
    <mergeCell ref="P589:R589"/>
    <mergeCell ref="B596:F596"/>
    <mergeCell ref="I596:M596"/>
    <mergeCell ref="P596:T596"/>
    <mergeCell ref="B607:D607"/>
    <mergeCell ref="I607:K607"/>
    <mergeCell ref="P607:R607"/>
    <mergeCell ref="B614:F614"/>
    <mergeCell ref="I614:M614"/>
    <mergeCell ref="P614:T614"/>
    <mergeCell ref="B625:D625"/>
    <mergeCell ref="I625:K625"/>
    <mergeCell ref="P625:R625"/>
    <mergeCell ref="B632:F632"/>
    <mergeCell ref="I632:M632"/>
    <mergeCell ref="P632:T632"/>
    <mergeCell ref="B643:D643"/>
    <mergeCell ref="I643:K643"/>
    <mergeCell ref="P643:R643"/>
    <mergeCell ref="B650:F650"/>
    <mergeCell ref="I650:M650"/>
    <mergeCell ref="P650:T650"/>
    <mergeCell ref="B661:D661"/>
    <mergeCell ref="I661:K661"/>
    <mergeCell ref="P661:R661"/>
    <mergeCell ref="B668:F668"/>
    <mergeCell ref="I668:M668"/>
    <mergeCell ref="P668:T668"/>
    <mergeCell ref="B679:D679"/>
    <mergeCell ref="I679:K679"/>
    <mergeCell ref="P679:R679"/>
    <mergeCell ref="B686:F686"/>
    <mergeCell ref="I686:M686"/>
    <mergeCell ref="P686:T686"/>
    <mergeCell ref="B697:D697"/>
    <mergeCell ref="I697:K697"/>
    <mergeCell ref="P697:R697"/>
    <mergeCell ref="B704:F704"/>
    <mergeCell ref="I704:M704"/>
    <mergeCell ref="P704:T704"/>
    <mergeCell ref="B715:D715"/>
    <mergeCell ref="I715:K715"/>
    <mergeCell ref="P715:R715"/>
    <mergeCell ref="B722:F722"/>
    <mergeCell ref="I722:M722"/>
    <mergeCell ref="P722:T722"/>
    <mergeCell ref="B733:D733"/>
    <mergeCell ref="I733:K733"/>
    <mergeCell ref="P733:R733"/>
    <mergeCell ref="B740:F740"/>
    <mergeCell ref="I740:M740"/>
    <mergeCell ref="P740:T740"/>
    <mergeCell ref="B751:D751"/>
    <mergeCell ref="I751:K751"/>
    <mergeCell ref="P751:R751"/>
    <mergeCell ref="B758:F758"/>
    <mergeCell ref="I758:M758"/>
    <mergeCell ref="P758:T758"/>
    <mergeCell ref="B769:D769"/>
    <mergeCell ref="I769:K769"/>
    <mergeCell ref="P769:R769"/>
    <mergeCell ref="B776:F776"/>
    <mergeCell ref="I776:M776"/>
    <mergeCell ref="P776:T776"/>
    <mergeCell ref="B787:D787"/>
    <mergeCell ref="I787:K787"/>
    <mergeCell ref="P787:R787"/>
    <mergeCell ref="B794:F794"/>
    <mergeCell ref="I794:M794"/>
    <mergeCell ref="P794:T794"/>
    <mergeCell ref="B805:D805"/>
    <mergeCell ref="I805:K805"/>
    <mergeCell ref="P805:R805"/>
    <mergeCell ref="B812:F812"/>
    <mergeCell ref="I812:M812"/>
    <mergeCell ref="P812:T812"/>
    <mergeCell ref="B823:D823"/>
    <mergeCell ref="I823:K823"/>
    <mergeCell ref="P823:R823"/>
    <mergeCell ref="B830:F830"/>
    <mergeCell ref="I830:M830"/>
    <mergeCell ref="P830:T830"/>
    <mergeCell ref="B841:D841"/>
    <mergeCell ref="I841:K841"/>
    <mergeCell ref="P841:R841"/>
    <mergeCell ref="B848:F848"/>
    <mergeCell ref="I848:M848"/>
    <mergeCell ref="P848:T848"/>
    <mergeCell ref="B859:D859"/>
    <mergeCell ref="I859:K859"/>
    <mergeCell ref="P859:R859"/>
    <mergeCell ref="B866:F866"/>
    <mergeCell ref="I866:M866"/>
    <mergeCell ref="P866:T866"/>
    <mergeCell ref="B877:D877"/>
    <mergeCell ref="I877:K877"/>
    <mergeCell ref="P877:R877"/>
    <mergeCell ref="B884:F884"/>
    <mergeCell ref="I884:M884"/>
    <mergeCell ref="P884:T884"/>
    <mergeCell ref="B895:D895"/>
    <mergeCell ref="I895:K895"/>
    <mergeCell ref="P895:R895"/>
    <mergeCell ref="B902:F902"/>
    <mergeCell ref="I902:M902"/>
    <mergeCell ref="P902:T902"/>
    <mergeCell ref="B913:D913"/>
    <mergeCell ref="I913:K913"/>
    <mergeCell ref="P913:R913"/>
    <mergeCell ref="B920:F920"/>
    <mergeCell ref="I920:M920"/>
    <mergeCell ref="P920:T920"/>
    <mergeCell ref="B931:D931"/>
    <mergeCell ref="I931:K931"/>
    <mergeCell ref="P931:R931"/>
    <mergeCell ref="B938:F938"/>
    <mergeCell ref="I938:M938"/>
    <mergeCell ref="P938:T938"/>
    <mergeCell ref="B949:D949"/>
    <mergeCell ref="I949:K949"/>
    <mergeCell ref="P949:R949"/>
    <mergeCell ref="B956:F956"/>
    <mergeCell ref="I956:M956"/>
    <mergeCell ref="P956:T956"/>
    <mergeCell ref="B967:D967"/>
    <mergeCell ref="I967:K967"/>
    <mergeCell ref="P967:R967"/>
    <mergeCell ref="B974:F974"/>
    <mergeCell ref="I974:M974"/>
    <mergeCell ref="P974:T974"/>
    <mergeCell ref="B985:D985"/>
    <mergeCell ref="I985:K985"/>
    <mergeCell ref="P985:R985"/>
    <mergeCell ref="B992:F992"/>
    <mergeCell ref="I992:M992"/>
    <mergeCell ref="P992:T992"/>
    <mergeCell ref="B1003:D1003"/>
    <mergeCell ref="I1003:K1003"/>
    <mergeCell ref="P1003:R1003"/>
    <mergeCell ref="B1010:F1010"/>
    <mergeCell ref="I1010:M1010"/>
    <mergeCell ref="P1010:T1010"/>
    <mergeCell ref="B1021:D1021"/>
    <mergeCell ref="I1021:K1021"/>
    <mergeCell ref="P1021:R1021"/>
    <mergeCell ref="B1028:F1028"/>
    <mergeCell ref="I1028:M1028"/>
    <mergeCell ref="P1028:T1028"/>
    <mergeCell ref="B1039:D1039"/>
    <mergeCell ref="I1039:K1039"/>
    <mergeCell ref="P1039:R1039"/>
    <mergeCell ref="B1046:F1046"/>
    <mergeCell ref="I1046:M1046"/>
    <mergeCell ref="P1046:T1046"/>
    <mergeCell ref="B1057:D1057"/>
    <mergeCell ref="I1057:K1057"/>
    <mergeCell ref="P1057:R1057"/>
    <mergeCell ref="B1064:F1064"/>
    <mergeCell ref="I1064:M1064"/>
    <mergeCell ref="P1064:T1064"/>
    <mergeCell ref="B1075:D1075"/>
    <mergeCell ref="I1075:K1075"/>
    <mergeCell ref="P1075:R1075"/>
    <mergeCell ref="B1082:F1082"/>
    <mergeCell ref="I1082:M1082"/>
    <mergeCell ref="P1082:T1082"/>
    <mergeCell ref="B1093:D1093"/>
    <mergeCell ref="I1093:K1093"/>
    <mergeCell ref="P1093:R1093"/>
    <mergeCell ref="B1100:F1100"/>
    <mergeCell ref="I1100:M1100"/>
    <mergeCell ref="P1100:T1100"/>
    <mergeCell ref="B1111:D1111"/>
    <mergeCell ref="I1111:K1111"/>
    <mergeCell ref="P1111:R1111"/>
    <mergeCell ref="B1118:F1118"/>
    <mergeCell ref="I1118:M1118"/>
    <mergeCell ref="P1118:T1118"/>
    <mergeCell ref="B1129:D1129"/>
    <mergeCell ref="I1129:K1129"/>
    <mergeCell ref="P1129:R11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Slip Gaji Bulanan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2018-10-02T09:13:32+02:00</dcterms:created>
  <dcterms:modified xsi:type="dcterms:W3CDTF">2018-10-02T09:13:32+02:00</dcterms:modified>
  <dc:title>Untitled Spreadsheet</dc:title>
  <dc:description/>
  <dc:subject/>
  <cp:keywords/>
  <cp:category/>
</cp:coreProperties>
</file>