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utput\"/>
    </mc:Choice>
  </mc:AlternateContent>
  <xr:revisionPtr revIDLastSave="0" documentId="8_{26F29276-150F-44C9-8B61-A20031912977}" xr6:coauthVersionLast="45" xr6:coauthVersionMax="45" xr10:uidLastSave="{00000000-0000-0000-0000-000000000000}"/>
  <bookViews>
    <workbookView xWindow="-120" yWindow="-120" windowWidth="29040" windowHeight="15840" tabRatio="718" activeTab="4" xr2:uid="{73E3A75D-BE24-4D31-94F4-A87564694417}"/>
  </bookViews>
  <sheets>
    <sheet name="PBA Summary" sheetId="2" r:id="rId1"/>
    <sheet name="Monthly Returns" sheetId="10" r:id="rId2"/>
    <sheet name="Returns_PB" sheetId="9" r:id="rId3"/>
    <sheet name="Returns_A" sheetId="11" r:id="rId4"/>
    <sheet name="Cumulative Returns_PB" sheetId="12" r:id="rId5"/>
    <sheet name="Cumulative Returns_A" sheetId="13" r:id="rId6"/>
    <sheet name="Statistics_PB" sheetId="5" r:id="rId7"/>
    <sheet name="Statistics_A" sheetId="19" r:id="rId8"/>
    <sheet name="Stress Test_Negative" sheetId="14" r:id="rId9"/>
    <sheet name="Stress Test_Positive" sheetId="20" r:id="rId10"/>
    <sheet name="Drawdown" sheetId="16" r:id="rId11"/>
    <sheet name="Crisis" sheetId="17" r:id="rId12"/>
  </sheets>
  <definedNames>
    <definedName name="_xlnm._FilterDatabase" localSheetId="6" hidden="1">Statistics_PB!$A$2:$HM$2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P2" i="19" l="1" a="1"/>
  <c r="HP2" i="19" s="1"/>
  <c r="D26" i="17" a="1"/>
  <c r="D26" i="17" l="1"/>
  <c r="D25" i="17" a="1"/>
  <c r="D25" i="17" l="1"/>
  <c r="D24" i="17" a="1"/>
  <c r="D24" i="17" l="1"/>
  <c r="D23" i="17" a="1"/>
  <c r="D23" i="17" l="1"/>
  <c r="D22" i="17" a="1"/>
  <c r="D22" i="17" l="1"/>
  <c r="D21" i="17" a="1"/>
  <c r="D21" i="17" l="1"/>
  <c r="D20" i="17" a="1"/>
  <c r="D20" i="17" l="1"/>
  <c r="D19" i="17" a="1"/>
  <c r="D19" i="17" l="1"/>
  <c r="D18" i="17" a="1"/>
  <c r="D18" i="17" l="1"/>
  <c r="D17" i="17" a="1"/>
  <c r="D17" i="17" l="1"/>
  <c r="D16" i="17" a="1"/>
  <c r="D16" i="17" l="1"/>
  <c r="D15" i="17" a="1"/>
  <c r="D15" i="17" l="1"/>
  <c r="D14" i="17" a="1"/>
  <c r="D14" i="17" l="1"/>
  <c r="D13" i="17" a="1"/>
  <c r="D13" i="17" l="1"/>
  <c r="D12" i="17" a="1"/>
  <c r="D12" i="17" l="1"/>
  <c r="D11" i="17" a="1"/>
  <c r="D11" i="17" l="1"/>
  <c r="D10" i="17" a="1"/>
  <c r="D10" i="17" l="1"/>
  <c r="D9" i="17" a="1"/>
  <c r="D9" i="17" l="1"/>
  <c r="D8" i="17" a="1"/>
  <c r="D8" i="17" l="1"/>
  <c r="D7" i="17" a="1"/>
  <c r="D7" i="17" l="1"/>
  <c r="D6" i="17" a="1"/>
  <c r="D6" i="17" l="1"/>
  <c r="D5" i="17" a="1"/>
  <c r="D5" i="17" l="1"/>
  <c r="D4" i="17" a="1"/>
  <c r="D4" i="17" l="1"/>
  <c r="D3" i="17" a="1"/>
  <c r="D3" i="17" l="1"/>
  <c r="D2" i="17" a="1"/>
  <c r="D2" i="17" l="1"/>
  <c r="A13" i="20" l="1"/>
  <c r="A3" i="20"/>
  <c r="A4" i="20" s="1"/>
  <c r="A13" i="14"/>
  <c r="A4" i="14"/>
  <c r="A5" i="14" s="1"/>
  <c r="A3" i="14"/>
  <c r="HW59" i="19" a="1"/>
  <c r="HW59" i="19" s="1"/>
  <c r="HV59" i="19" a="1"/>
  <c r="HV59" i="19" s="1"/>
  <c r="HU59" i="19" a="1"/>
  <c r="HU59" i="19" s="1"/>
  <c r="HT59" i="19" a="1"/>
  <c r="HT59" i="19" s="1"/>
  <c r="HS59" i="19" a="1"/>
  <c r="HS59" i="19" s="1"/>
  <c r="HR59" i="19" a="1"/>
  <c r="HR59" i="19" s="1"/>
  <c r="HQ59" i="19" a="1"/>
  <c r="HQ59" i="19" s="1"/>
  <c r="HP59" i="19" a="1"/>
  <c r="HP59" i="19" s="1"/>
  <c r="HO59" i="19" a="1"/>
  <c r="HO59" i="19" s="1"/>
  <c r="HN59" i="19" a="1"/>
  <c r="HN59" i="19" s="1"/>
  <c r="HM59" i="19" a="1"/>
  <c r="HM59" i="19" s="1"/>
  <c r="HL59" i="19" a="1"/>
  <c r="HL59" i="19" s="1"/>
  <c r="HW58" i="19" a="1"/>
  <c r="HW58" i="19" s="1"/>
  <c r="HV58" i="19" a="1"/>
  <c r="HV58" i="19" s="1"/>
  <c r="HU58" i="19" a="1"/>
  <c r="HU58" i="19" s="1"/>
  <c r="HT58" i="19" a="1"/>
  <c r="HT58" i="19" s="1"/>
  <c r="HS58" i="19" a="1"/>
  <c r="HS58" i="19" s="1"/>
  <c r="HR58" i="19" a="1"/>
  <c r="HR58" i="19" s="1"/>
  <c r="HQ58" i="19" a="1"/>
  <c r="HQ58" i="19" s="1"/>
  <c r="HP58" i="19" a="1"/>
  <c r="HP58" i="19" s="1"/>
  <c r="HO58" i="19" a="1"/>
  <c r="HO58" i="19" s="1"/>
  <c r="HN58" i="19" a="1"/>
  <c r="HN58" i="19" s="1"/>
  <c r="HM58" i="19" a="1"/>
  <c r="HM58" i="19" s="1"/>
  <c r="HL58" i="19" a="1"/>
  <c r="HL58" i="19" s="1"/>
  <c r="HW57" i="19" a="1"/>
  <c r="HW57" i="19" s="1"/>
  <c r="HV57" i="19" a="1"/>
  <c r="HV57" i="19" s="1"/>
  <c r="HU57" i="19" a="1"/>
  <c r="HU57" i="19" s="1"/>
  <c r="HT57" i="19" a="1"/>
  <c r="HT57" i="19" s="1"/>
  <c r="HS57" i="19" a="1"/>
  <c r="HS57" i="19" s="1"/>
  <c r="HR57" i="19" a="1"/>
  <c r="HR57" i="19" s="1"/>
  <c r="HQ57" i="19" a="1"/>
  <c r="HQ57" i="19" s="1"/>
  <c r="HP57" i="19" a="1"/>
  <c r="HP57" i="19" s="1"/>
  <c r="HO57" i="19" a="1"/>
  <c r="HO57" i="19" s="1"/>
  <c r="HN57" i="19" a="1"/>
  <c r="HN57" i="19" s="1"/>
  <c r="HM57" i="19" a="1"/>
  <c r="HM57" i="19" s="1"/>
  <c r="HL57" i="19" a="1"/>
  <c r="HL57" i="19" s="1"/>
  <c r="HW56" i="19" a="1"/>
  <c r="HW56" i="19" s="1"/>
  <c r="HV56" i="19" a="1"/>
  <c r="HV56" i="19" s="1"/>
  <c r="HU56" i="19" a="1"/>
  <c r="HU56" i="19" s="1"/>
  <c r="HT56" i="19" a="1"/>
  <c r="HT56" i="19" s="1"/>
  <c r="HS56" i="19" a="1"/>
  <c r="HS56" i="19" s="1"/>
  <c r="HR56" i="19" a="1"/>
  <c r="HR56" i="19" s="1"/>
  <c r="HQ56" i="19" a="1"/>
  <c r="HQ56" i="19" s="1"/>
  <c r="HP56" i="19" a="1"/>
  <c r="HP56" i="19" s="1"/>
  <c r="HO56" i="19" a="1"/>
  <c r="HO56" i="19" s="1"/>
  <c r="HN56" i="19" a="1"/>
  <c r="HN56" i="19" s="1"/>
  <c r="HM56" i="19" a="1"/>
  <c r="HM56" i="19" s="1"/>
  <c r="HL56" i="19" a="1"/>
  <c r="HL56" i="19" s="1"/>
  <c r="HW55" i="19" a="1"/>
  <c r="HW55" i="19" s="1"/>
  <c r="HV55" i="19" a="1"/>
  <c r="HV55" i="19" s="1"/>
  <c r="HU55" i="19" a="1"/>
  <c r="HU55" i="19" s="1"/>
  <c r="HT55" i="19" a="1"/>
  <c r="HT55" i="19" s="1"/>
  <c r="HS55" i="19" a="1"/>
  <c r="HS55" i="19" s="1"/>
  <c r="HR55" i="19" a="1"/>
  <c r="HR55" i="19" s="1"/>
  <c r="HQ55" i="19" a="1"/>
  <c r="HQ55" i="19" s="1"/>
  <c r="HP55" i="19" a="1"/>
  <c r="HP55" i="19" s="1"/>
  <c r="HO55" i="19" a="1"/>
  <c r="HO55" i="19" s="1"/>
  <c r="HN55" i="19" a="1"/>
  <c r="HN55" i="19" s="1"/>
  <c r="HM55" i="19" a="1"/>
  <c r="HM55" i="19" s="1"/>
  <c r="HL55" i="19" a="1"/>
  <c r="HL55" i="19" s="1"/>
  <c r="HW54" i="19" a="1"/>
  <c r="HW54" i="19" s="1"/>
  <c r="HV54" i="19" a="1"/>
  <c r="HV54" i="19" s="1"/>
  <c r="HU54" i="19" a="1"/>
  <c r="HU54" i="19" s="1"/>
  <c r="HT54" i="19" a="1"/>
  <c r="HT54" i="19" s="1"/>
  <c r="HS54" i="19" a="1"/>
  <c r="HS54" i="19" s="1"/>
  <c r="HR54" i="19" a="1"/>
  <c r="HR54" i="19" s="1"/>
  <c r="HQ54" i="19" a="1"/>
  <c r="HQ54" i="19" s="1"/>
  <c r="HP54" i="19" a="1"/>
  <c r="HP54" i="19" s="1"/>
  <c r="HO54" i="19" a="1"/>
  <c r="HO54" i="19" s="1"/>
  <c r="HN54" i="19" a="1"/>
  <c r="HN54" i="19" s="1"/>
  <c r="HM54" i="19" a="1"/>
  <c r="HM54" i="19" s="1"/>
  <c r="HL54" i="19" a="1"/>
  <c r="HL54" i="19" s="1"/>
  <c r="HW53" i="19" a="1"/>
  <c r="HW53" i="19" s="1"/>
  <c r="HV53" i="19" a="1"/>
  <c r="HV53" i="19" s="1"/>
  <c r="HU53" i="19" a="1"/>
  <c r="HU53" i="19" s="1"/>
  <c r="HT53" i="19" a="1"/>
  <c r="HT53" i="19" s="1"/>
  <c r="HS53" i="19" a="1"/>
  <c r="HS53" i="19" s="1"/>
  <c r="HR53" i="19" a="1"/>
  <c r="HR53" i="19" s="1"/>
  <c r="HQ53" i="19" a="1"/>
  <c r="HQ53" i="19" s="1"/>
  <c r="HP53" i="19" a="1"/>
  <c r="HP53" i="19" s="1"/>
  <c r="HO53" i="19" a="1"/>
  <c r="HO53" i="19" s="1"/>
  <c r="HN53" i="19" a="1"/>
  <c r="HN53" i="19" s="1"/>
  <c r="HM53" i="19" a="1"/>
  <c r="HM53" i="19" s="1"/>
  <c r="HL53" i="19" a="1"/>
  <c r="HL53" i="19" s="1"/>
  <c r="HW52" i="19" a="1"/>
  <c r="HW52" i="19" s="1"/>
  <c r="HV52" i="19" a="1"/>
  <c r="HV52" i="19" s="1"/>
  <c r="HU52" i="19" a="1"/>
  <c r="HU52" i="19" s="1"/>
  <c r="HT52" i="19" a="1"/>
  <c r="HT52" i="19" s="1"/>
  <c r="HS52" i="19" a="1"/>
  <c r="HS52" i="19" s="1"/>
  <c r="HR52" i="19" a="1"/>
  <c r="HR52" i="19" s="1"/>
  <c r="HQ52" i="19" a="1"/>
  <c r="HQ52" i="19" s="1"/>
  <c r="HP52" i="19" a="1"/>
  <c r="HP52" i="19" s="1"/>
  <c r="HO52" i="19" a="1"/>
  <c r="HO52" i="19" s="1"/>
  <c r="HN52" i="19" a="1"/>
  <c r="HN52" i="19" s="1"/>
  <c r="HM52" i="19" a="1"/>
  <c r="HM52" i="19" s="1"/>
  <c r="HL52" i="19" a="1"/>
  <c r="HL52" i="19" s="1"/>
  <c r="HW51" i="19" a="1"/>
  <c r="HW51" i="19" s="1"/>
  <c r="HV51" i="19" a="1"/>
  <c r="HV51" i="19" s="1"/>
  <c r="HU51" i="19" a="1"/>
  <c r="HU51" i="19" s="1"/>
  <c r="HT51" i="19" a="1"/>
  <c r="HT51" i="19" s="1"/>
  <c r="HS51" i="19" a="1"/>
  <c r="HS51" i="19" s="1"/>
  <c r="HR51" i="19" a="1"/>
  <c r="HR51" i="19" s="1"/>
  <c r="HQ51" i="19" a="1"/>
  <c r="HQ51" i="19" s="1"/>
  <c r="HP51" i="19" a="1"/>
  <c r="HP51" i="19" s="1"/>
  <c r="HO51" i="19" a="1"/>
  <c r="HO51" i="19" s="1"/>
  <c r="HN51" i="19" a="1"/>
  <c r="HN51" i="19" s="1"/>
  <c r="HM51" i="19" a="1"/>
  <c r="HM51" i="19" s="1"/>
  <c r="HL51" i="19" a="1"/>
  <c r="HL51" i="19" s="1"/>
  <c r="HW50" i="19" a="1"/>
  <c r="HW50" i="19" s="1"/>
  <c r="HV50" i="19" a="1"/>
  <c r="HV50" i="19" s="1"/>
  <c r="HU50" i="19" a="1"/>
  <c r="HU50" i="19" s="1"/>
  <c r="HT50" i="19" a="1"/>
  <c r="HT50" i="19" s="1"/>
  <c r="HS50" i="19" a="1"/>
  <c r="HS50" i="19" s="1"/>
  <c r="HR50" i="19" a="1"/>
  <c r="HR50" i="19" s="1"/>
  <c r="HQ50" i="19" a="1"/>
  <c r="HQ50" i="19" s="1"/>
  <c r="HP50" i="19" a="1"/>
  <c r="HP50" i="19" s="1"/>
  <c r="HO50" i="19" a="1"/>
  <c r="HO50" i="19" s="1"/>
  <c r="HN50" i="19" a="1"/>
  <c r="HN50" i="19" s="1"/>
  <c r="HM50" i="19" a="1"/>
  <c r="HM50" i="19" s="1"/>
  <c r="HL50" i="19" a="1"/>
  <c r="HL50" i="19" s="1"/>
  <c r="HW49" i="19" a="1"/>
  <c r="HW49" i="19" s="1"/>
  <c r="HV49" i="19" a="1"/>
  <c r="HV49" i="19" s="1"/>
  <c r="HU49" i="19" a="1"/>
  <c r="HU49" i="19" s="1"/>
  <c r="HT49" i="19" a="1"/>
  <c r="HT49" i="19" s="1"/>
  <c r="HS49" i="19" a="1"/>
  <c r="HS49" i="19" s="1"/>
  <c r="HR49" i="19" a="1"/>
  <c r="HR49" i="19" s="1"/>
  <c r="HQ49" i="19" a="1"/>
  <c r="HQ49" i="19" s="1"/>
  <c r="HP49" i="19" a="1"/>
  <c r="HP49" i="19" s="1"/>
  <c r="HO49" i="19" a="1"/>
  <c r="HO49" i="19" s="1"/>
  <c r="HN49" i="19" a="1"/>
  <c r="HN49" i="19" s="1"/>
  <c r="HM49" i="19" a="1"/>
  <c r="HM49" i="19" s="1"/>
  <c r="HL49" i="19" a="1"/>
  <c r="HL49" i="19" s="1"/>
  <c r="HW48" i="19" a="1"/>
  <c r="HW48" i="19" s="1"/>
  <c r="HV48" i="19" a="1"/>
  <c r="HV48" i="19" s="1"/>
  <c r="HU48" i="19" a="1"/>
  <c r="HU48" i="19" s="1"/>
  <c r="HT48" i="19" a="1"/>
  <c r="HT48" i="19" s="1"/>
  <c r="HS48" i="19" a="1"/>
  <c r="HS48" i="19" s="1"/>
  <c r="HR48" i="19" a="1"/>
  <c r="HR48" i="19" s="1"/>
  <c r="HQ48" i="19" a="1"/>
  <c r="HQ48" i="19" s="1"/>
  <c r="HP48" i="19" a="1"/>
  <c r="HP48" i="19" s="1"/>
  <c r="HO48" i="19" a="1"/>
  <c r="HO48" i="19" s="1"/>
  <c r="HN48" i="19" a="1"/>
  <c r="HN48" i="19" s="1"/>
  <c r="HM48" i="19" a="1"/>
  <c r="HM48" i="19" s="1"/>
  <c r="HL48" i="19" a="1"/>
  <c r="HL48" i="19" s="1"/>
  <c r="HW47" i="19" a="1"/>
  <c r="HW47" i="19" s="1"/>
  <c r="HV47" i="19" a="1"/>
  <c r="HV47" i="19" s="1"/>
  <c r="HU47" i="19" a="1"/>
  <c r="HU47" i="19" s="1"/>
  <c r="HT47" i="19" a="1"/>
  <c r="HT47" i="19" s="1"/>
  <c r="HS47" i="19" a="1"/>
  <c r="HS47" i="19" s="1"/>
  <c r="HR47" i="19" a="1"/>
  <c r="HR47" i="19" s="1"/>
  <c r="HQ47" i="19" a="1"/>
  <c r="HQ47" i="19" s="1"/>
  <c r="HP47" i="19" a="1"/>
  <c r="HP47" i="19" s="1"/>
  <c r="HO47" i="19" a="1"/>
  <c r="HO47" i="19" s="1"/>
  <c r="HN47" i="19" a="1"/>
  <c r="HN47" i="19" s="1"/>
  <c r="HM47" i="19" a="1"/>
  <c r="HM47" i="19" s="1"/>
  <c r="HL47" i="19" a="1"/>
  <c r="HL47" i="19" s="1"/>
  <c r="HW46" i="19" a="1"/>
  <c r="HW46" i="19" s="1"/>
  <c r="HV46" i="19" a="1"/>
  <c r="HV46" i="19" s="1"/>
  <c r="HU46" i="19" a="1"/>
  <c r="HU46" i="19" s="1"/>
  <c r="HT46" i="19" a="1"/>
  <c r="HT46" i="19" s="1"/>
  <c r="HS46" i="19" a="1"/>
  <c r="HS46" i="19" s="1"/>
  <c r="HR46" i="19" a="1"/>
  <c r="HR46" i="19" s="1"/>
  <c r="HQ46" i="19" a="1"/>
  <c r="HQ46" i="19" s="1"/>
  <c r="HP46" i="19" a="1"/>
  <c r="HP46" i="19" s="1"/>
  <c r="HO46" i="19" a="1"/>
  <c r="HO46" i="19" s="1"/>
  <c r="HN46" i="19" a="1"/>
  <c r="HN46" i="19" s="1"/>
  <c r="HM46" i="19" a="1"/>
  <c r="HM46" i="19" s="1"/>
  <c r="HL46" i="19" a="1"/>
  <c r="HL46" i="19" s="1"/>
  <c r="HW45" i="19" a="1"/>
  <c r="HW45" i="19" s="1"/>
  <c r="HV45" i="19" a="1"/>
  <c r="HV45" i="19" s="1"/>
  <c r="HU45" i="19" a="1"/>
  <c r="HU45" i="19" s="1"/>
  <c r="HT45" i="19" a="1"/>
  <c r="HT45" i="19" s="1"/>
  <c r="HS45" i="19" a="1"/>
  <c r="HS45" i="19" s="1"/>
  <c r="HR45" i="19" a="1"/>
  <c r="HR45" i="19" s="1"/>
  <c r="HQ45" i="19" a="1"/>
  <c r="HQ45" i="19" s="1"/>
  <c r="HP45" i="19" a="1"/>
  <c r="HP45" i="19" s="1"/>
  <c r="HO45" i="19" a="1"/>
  <c r="HO45" i="19" s="1"/>
  <c r="HN45" i="19" a="1"/>
  <c r="HN45" i="19" s="1"/>
  <c r="HM45" i="19" a="1"/>
  <c r="HM45" i="19" s="1"/>
  <c r="HL45" i="19" a="1"/>
  <c r="HL45" i="19" s="1"/>
  <c r="HW44" i="19" a="1"/>
  <c r="HW44" i="19" s="1"/>
  <c r="HV44" i="19" a="1"/>
  <c r="HV44" i="19" s="1"/>
  <c r="HU44" i="19" a="1"/>
  <c r="HU44" i="19" s="1"/>
  <c r="HT44" i="19" a="1"/>
  <c r="HT44" i="19" s="1"/>
  <c r="HS44" i="19" a="1"/>
  <c r="HS44" i="19" s="1"/>
  <c r="HR44" i="19" a="1"/>
  <c r="HR44" i="19" s="1"/>
  <c r="HQ44" i="19" a="1"/>
  <c r="HQ44" i="19" s="1"/>
  <c r="HP44" i="19" a="1"/>
  <c r="HP44" i="19" s="1"/>
  <c r="HO44" i="19" a="1"/>
  <c r="HO44" i="19" s="1"/>
  <c r="HN44" i="19" a="1"/>
  <c r="HN44" i="19" s="1"/>
  <c r="HM44" i="19" a="1"/>
  <c r="HM44" i="19" s="1"/>
  <c r="HL44" i="19" a="1"/>
  <c r="HL44" i="19" s="1"/>
  <c r="HW43" i="19" a="1"/>
  <c r="HW43" i="19" s="1"/>
  <c r="HV43" i="19" a="1"/>
  <c r="HV43" i="19" s="1"/>
  <c r="HU43" i="19" a="1"/>
  <c r="HU43" i="19" s="1"/>
  <c r="HT43" i="19" a="1"/>
  <c r="HT43" i="19" s="1"/>
  <c r="HS43" i="19" a="1"/>
  <c r="HS43" i="19" s="1"/>
  <c r="HR43" i="19" a="1"/>
  <c r="HR43" i="19" s="1"/>
  <c r="HQ43" i="19" a="1"/>
  <c r="HQ43" i="19" s="1"/>
  <c r="HP43" i="19" a="1"/>
  <c r="HP43" i="19" s="1"/>
  <c r="HO43" i="19" a="1"/>
  <c r="HO43" i="19" s="1"/>
  <c r="HN43" i="19" a="1"/>
  <c r="HN43" i="19" s="1"/>
  <c r="HM43" i="19" a="1"/>
  <c r="HM43" i="19" s="1"/>
  <c r="HL43" i="19" a="1"/>
  <c r="HL43" i="19" s="1"/>
  <c r="HW42" i="19" a="1"/>
  <c r="HW42" i="19" s="1"/>
  <c r="HV42" i="19" a="1"/>
  <c r="HV42" i="19" s="1"/>
  <c r="HU42" i="19" a="1"/>
  <c r="HU42" i="19" s="1"/>
  <c r="HT42" i="19" a="1"/>
  <c r="HT42" i="19" s="1"/>
  <c r="HS42" i="19" a="1"/>
  <c r="HS42" i="19" s="1"/>
  <c r="HR42" i="19" a="1"/>
  <c r="HR42" i="19" s="1"/>
  <c r="HQ42" i="19" a="1"/>
  <c r="HQ42" i="19" s="1"/>
  <c r="HP42" i="19" a="1"/>
  <c r="HP42" i="19" s="1"/>
  <c r="HO42" i="19" a="1"/>
  <c r="HO42" i="19" s="1"/>
  <c r="HN42" i="19" a="1"/>
  <c r="HN42" i="19" s="1"/>
  <c r="HM42" i="19" a="1"/>
  <c r="HM42" i="19" s="1"/>
  <c r="HL42" i="19" a="1"/>
  <c r="HL42" i="19" s="1"/>
  <c r="HW41" i="19" a="1"/>
  <c r="HW41" i="19" s="1"/>
  <c r="HV41" i="19" a="1"/>
  <c r="HV41" i="19" s="1"/>
  <c r="HU41" i="19" a="1"/>
  <c r="HU41" i="19" s="1"/>
  <c r="HT41" i="19" a="1"/>
  <c r="HT41" i="19" s="1"/>
  <c r="HS41" i="19" a="1"/>
  <c r="HS41" i="19" s="1"/>
  <c r="HR41" i="19" a="1"/>
  <c r="HR41" i="19" s="1"/>
  <c r="HQ41" i="19" a="1"/>
  <c r="HQ41" i="19" s="1"/>
  <c r="HP41" i="19" a="1"/>
  <c r="HP41" i="19" s="1"/>
  <c r="HO41" i="19" a="1"/>
  <c r="HO41" i="19" s="1"/>
  <c r="HN41" i="19" a="1"/>
  <c r="HN41" i="19" s="1"/>
  <c r="HM41" i="19" a="1"/>
  <c r="HM41" i="19" s="1"/>
  <c r="HL41" i="19" a="1"/>
  <c r="HL41" i="19" s="1"/>
  <c r="HW40" i="19" a="1"/>
  <c r="HW40" i="19" s="1"/>
  <c r="HV40" i="19" a="1"/>
  <c r="HV40" i="19" s="1"/>
  <c r="HU40" i="19" a="1"/>
  <c r="HU40" i="19" s="1"/>
  <c r="HT40" i="19" a="1"/>
  <c r="HT40" i="19" s="1"/>
  <c r="HS40" i="19" a="1"/>
  <c r="HS40" i="19" s="1"/>
  <c r="HR40" i="19" a="1"/>
  <c r="HR40" i="19" s="1"/>
  <c r="HQ40" i="19" a="1"/>
  <c r="HQ40" i="19" s="1"/>
  <c r="HP40" i="19" a="1"/>
  <c r="HP40" i="19" s="1"/>
  <c r="HO40" i="19" a="1"/>
  <c r="HO40" i="19" s="1"/>
  <c r="HN40" i="19" a="1"/>
  <c r="HN40" i="19" s="1"/>
  <c r="HM40" i="19" a="1"/>
  <c r="HM40" i="19" s="1"/>
  <c r="HL40" i="19" a="1"/>
  <c r="HL40" i="19" s="1"/>
  <c r="HW39" i="19" a="1"/>
  <c r="HW39" i="19" s="1"/>
  <c r="HV39" i="19" a="1"/>
  <c r="HV39" i="19" s="1"/>
  <c r="HU39" i="19" a="1"/>
  <c r="HU39" i="19" s="1"/>
  <c r="HT39" i="19" a="1"/>
  <c r="HT39" i="19" s="1"/>
  <c r="HS39" i="19" a="1"/>
  <c r="HS39" i="19" s="1"/>
  <c r="HR39" i="19" a="1"/>
  <c r="HR39" i="19" s="1"/>
  <c r="HQ39" i="19" a="1"/>
  <c r="HQ39" i="19" s="1"/>
  <c r="HP39" i="19" a="1"/>
  <c r="HP39" i="19" s="1"/>
  <c r="HO39" i="19" a="1"/>
  <c r="HO39" i="19" s="1"/>
  <c r="HN39" i="19" a="1"/>
  <c r="HN39" i="19" s="1"/>
  <c r="HM39" i="19" a="1"/>
  <c r="HM39" i="19" s="1"/>
  <c r="HL39" i="19" a="1"/>
  <c r="HL39" i="19" s="1"/>
  <c r="HW38" i="19" a="1"/>
  <c r="HW38" i="19" s="1"/>
  <c r="HV38" i="19" a="1"/>
  <c r="HV38" i="19" s="1"/>
  <c r="HU38" i="19" a="1"/>
  <c r="HU38" i="19" s="1"/>
  <c r="HT38" i="19" a="1"/>
  <c r="HT38" i="19" s="1"/>
  <c r="HS38" i="19" a="1"/>
  <c r="HS38" i="19" s="1"/>
  <c r="HR38" i="19" a="1"/>
  <c r="HR38" i="19" s="1"/>
  <c r="HQ38" i="19" a="1"/>
  <c r="HQ38" i="19" s="1"/>
  <c r="HP38" i="19" a="1"/>
  <c r="HP38" i="19" s="1"/>
  <c r="HO38" i="19" a="1"/>
  <c r="HO38" i="19" s="1"/>
  <c r="HN38" i="19" a="1"/>
  <c r="HN38" i="19" s="1"/>
  <c r="HM38" i="19" a="1"/>
  <c r="HM38" i="19" s="1"/>
  <c r="HL38" i="19" a="1"/>
  <c r="HL38" i="19" s="1"/>
  <c r="HW37" i="19" a="1"/>
  <c r="HW37" i="19" s="1"/>
  <c r="HV37" i="19" a="1"/>
  <c r="HV37" i="19" s="1"/>
  <c r="HU37" i="19" a="1"/>
  <c r="HU37" i="19" s="1"/>
  <c r="HT37" i="19" a="1"/>
  <c r="HT37" i="19" s="1"/>
  <c r="HS37" i="19" a="1"/>
  <c r="HS37" i="19" s="1"/>
  <c r="HR37" i="19" a="1"/>
  <c r="HR37" i="19" s="1"/>
  <c r="HQ37" i="19" a="1"/>
  <c r="HQ37" i="19" s="1"/>
  <c r="HP37" i="19" a="1"/>
  <c r="HP37" i="19" s="1"/>
  <c r="HO37" i="19" a="1"/>
  <c r="HO37" i="19" s="1"/>
  <c r="HN37" i="19" a="1"/>
  <c r="HN37" i="19" s="1"/>
  <c r="HM37" i="19" a="1"/>
  <c r="HM37" i="19" s="1"/>
  <c r="HL37" i="19" a="1"/>
  <c r="HL37" i="19" s="1"/>
  <c r="HW36" i="19" a="1"/>
  <c r="HW36" i="19" s="1"/>
  <c r="HV36" i="19" a="1"/>
  <c r="HV36" i="19" s="1"/>
  <c r="HU36" i="19" a="1"/>
  <c r="HU36" i="19" s="1"/>
  <c r="HT36" i="19" a="1"/>
  <c r="HT36" i="19" s="1"/>
  <c r="HS36" i="19" a="1"/>
  <c r="HS36" i="19" s="1"/>
  <c r="HR36" i="19" a="1"/>
  <c r="HR36" i="19" s="1"/>
  <c r="HQ36" i="19" a="1"/>
  <c r="HQ36" i="19" s="1"/>
  <c r="HP36" i="19" a="1"/>
  <c r="HP36" i="19" s="1"/>
  <c r="HO36" i="19" a="1"/>
  <c r="HO36" i="19" s="1"/>
  <c r="HN36" i="19" a="1"/>
  <c r="HN36" i="19" s="1"/>
  <c r="HM36" i="19" a="1"/>
  <c r="HM36" i="19" s="1"/>
  <c r="HL36" i="19" a="1"/>
  <c r="HL36" i="19" s="1"/>
  <c r="HW35" i="19" a="1"/>
  <c r="HW35" i="19" s="1"/>
  <c r="HV35" i="19" a="1"/>
  <c r="HV35" i="19" s="1"/>
  <c r="HU35" i="19" a="1"/>
  <c r="HU35" i="19" s="1"/>
  <c r="HT35" i="19" a="1"/>
  <c r="HT35" i="19" s="1"/>
  <c r="HS35" i="19" a="1"/>
  <c r="HS35" i="19" s="1"/>
  <c r="HR35" i="19" a="1"/>
  <c r="HR35" i="19" s="1"/>
  <c r="HQ35" i="19" a="1"/>
  <c r="HQ35" i="19" s="1"/>
  <c r="HP35" i="19" a="1"/>
  <c r="HP35" i="19" s="1"/>
  <c r="HO35" i="19" a="1"/>
  <c r="HO35" i="19" s="1"/>
  <c r="HN35" i="19" a="1"/>
  <c r="HN35" i="19" s="1"/>
  <c r="HM35" i="19" a="1"/>
  <c r="HM35" i="19" s="1"/>
  <c r="HL35" i="19" a="1"/>
  <c r="HL35" i="19" s="1"/>
  <c r="HW34" i="19" a="1"/>
  <c r="HW34" i="19" s="1"/>
  <c r="HV34" i="19" a="1"/>
  <c r="HV34" i="19" s="1"/>
  <c r="HU34" i="19" a="1"/>
  <c r="HU34" i="19" s="1"/>
  <c r="HT34" i="19" a="1"/>
  <c r="HT34" i="19" s="1"/>
  <c r="HS34" i="19" a="1"/>
  <c r="HS34" i="19" s="1"/>
  <c r="HR34" i="19" a="1"/>
  <c r="HR34" i="19" s="1"/>
  <c r="HQ34" i="19" a="1"/>
  <c r="HQ34" i="19" s="1"/>
  <c r="HP34" i="19" a="1"/>
  <c r="HP34" i="19" s="1"/>
  <c r="HO34" i="19" a="1"/>
  <c r="HO34" i="19" s="1"/>
  <c r="HN34" i="19" a="1"/>
  <c r="HN34" i="19" s="1"/>
  <c r="HM34" i="19" a="1"/>
  <c r="HM34" i="19" s="1"/>
  <c r="HL34" i="19" a="1"/>
  <c r="HL34" i="19" s="1"/>
  <c r="HW33" i="19" a="1"/>
  <c r="HW33" i="19" s="1"/>
  <c r="HV33" i="19" a="1"/>
  <c r="HV33" i="19" s="1"/>
  <c r="HU33" i="19" a="1"/>
  <c r="HU33" i="19" s="1"/>
  <c r="HT33" i="19" a="1"/>
  <c r="HT33" i="19" s="1"/>
  <c r="HS33" i="19" a="1"/>
  <c r="HS33" i="19" s="1"/>
  <c r="HR33" i="19" a="1"/>
  <c r="HR33" i="19" s="1"/>
  <c r="HQ33" i="19" a="1"/>
  <c r="HQ33" i="19" s="1"/>
  <c r="HP33" i="19" a="1"/>
  <c r="HP33" i="19" s="1"/>
  <c r="HO33" i="19" a="1"/>
  <c r="HO33" i="19" s="1"/>
  <c r="HN33" i="19" a="1"/>
  <c r="HN33" i="19" s="1"/>
  <c r="HM33" i="19" a="1"/>
  <c r="HM33" i="19" s="1"/>
  <c r="HL33" i="19" a="1"/>
  <c r="HL33" i="19" s="1"/>
  <c r="HW32" i="19" a="1"/>
  <c r="HW32" i="19" s="1"/>
  <c r="HV32" i="19" a="1"/>
  <c r="HV32" i="19" s="1"/>
  <c r="HU32" i="19" a="1"/>
  <c r="HU32" i="19" s="1"/>
  <c r="HT32" i="19" a="1"/>
  <c r="HT32" i="19" s="1"/>
  <c r="HS32" i="19" a="1"/>
  <c r="HS32" i="19" s="1"/>
  <c r="HR32" i="19" a="1"/>
  <c r="HR32" i="19" s="1"/>
  <c r="HQ32" i="19" a="1"/>
  <c r="HQ32" i="19" s="1"/>
  <c r="HP32" i="19" a="1"/>
  <c r="HP32" i="19" s="1"/>
  <c r="HO32" i="19" a="1"/>
  <c r="HO32" i="19" s="1"/>
  <c r="HN32" i="19" a="1"/>
  <c r="HN32" i="19" s="1"/>
  <c r="HM32" i="19" a="1"/>
  <c r="HM32" i="19" s="1"/>
  <c r="HL32" i="19" a="1"/>
  <c r="HL32" i="19" s="1"/>
  <c r="HW31" i="19" a="1"/>
  <c r="HW31" i="19" s="1"/>
  <c r="HV31" i="19" a="1"/>
  <c r="HV31" i="19" s="1"/>
  <c r="HU31" i="19" a="1"/>
  <c r="HU31" i="19" s="1"/>
  <c r="HT31" i="19" a="1"/>
  <c r="HT31" i="19" s="1"/>
  <c r="HS31" i="19" a="1"/>
  <c r="HS31" i="19" s="1"/>
  <c r="HR31" i="19" a="1"/>
  <c r="HR31" i="19" s="1"/>
  <c r="HQ31" i="19" a="1"/>
  <c r="HQ31" i="19" s="1"/>
  <c r="HP31" i="19" a="1"/>
  <c r="HP31" i="19" s="1"/>
  <c r="HO31" i="19" a="1"/>
  <c r="HO31" i="19" s="1"/>
  <c r="HN31" i="19" a="1"/>
  <c r="HN31" i="19" s="1"/>
  <c r="HM31" i="19" a="1"/>
  <c r="HM31" i="19" s="1"/>
  <c r="HL31" i="19" a="1"/>
  <c r="HL31" i="19" s="1"/>
  <c r="HW30" i="19" a="1"/>
  <c r="HW30" i="19" s="1"/>
  <c r="HV30" i="19" a="1"/>
  <c r="HV30" i="19" s="1"/>
  <c r="HU30" i="19" a="1"/>
  <c r="HU30" i="19" s="1"/>
  <c r="HT30" i="19" a="1"/>
  <c r="HT30" i="19" s="1"/>
  <c r="HS30" i="19" a="1"/>
  <c r="HS30" i="19" s="1"/>
  <c r="HR30" i="19" a="1"/>
  <c r="HR30" i="19" s="1"/>
  <c r="HQ30" i="19" a="1"/>
  <c r="HQ30" i="19" s="1"/>
  <c r="HP30" i="19" a="1"/>
  <c r="HP30" i="19" s="1"/>
  <c r="HO30" i="19" a="1"/>
  <c r="HO30" i="19" s="1"/>
  <c r="HN30" i="19" a="1"/>
  <c r="HN30" i="19" s="1"/>
  <c r="HM30" i="19" a="1"/>
  <c r="HM30" i="19" s="1"/>
  <c r="HL30" i="19" a="1"/>
  <c r="HL30" i="19" s="1"/>
  <c r="HW29" i="19" a="1"/>
  <c r="HW29" i="19" s="1"/>
  <c r="HV29" i="19" a="1"/>
  <c r="HV29" i="19" s="1"/>
  <c r="HU29" i="19" a="1"/>
  <c r="HU29" i="19" s="1"/>
  <c r="HT29" i="19" a="1"/>
  <c r="HT29" i="19" s="1"/>
  <c r="HS29" i="19" a="1"/>
  <c r="HS29" i="19" s="1"/>
  <c r="HR29" i="19" a="1"/>
  <c r="HR29" i="19" s="1"/>
  <c r="HQ29" i="19" a="1"/>
  <c r="HQ29" i="19" s="1"/>
  <c r="HP29" i="19" a="1"/>
  <c r="HP29" i="19" s="1"/>
  <c r="HO29" i="19" a="1"/>
  <c r="HO29" i="19" s="1"/>
  <c r="HN29" i="19" a="1"/>
  <c r="HN29" i="19" s="1"/>
  <c r="HM29" i="19" a="1"/>
  <c r="HM29" i="19" s="1"/>
  <c r="HL29" i="19" a="1"/>
  <c r="HL29" i="19" s="1"/>
  <c r="HW28" i="19" a="1"/>
  <c r="HW28" i="19" s="1"/>
  <c r="HV28" i="19" a="1"/>
  <c r="HV28" i="19" s="1"/>
  <c r="HU28" i="19" a="1"/>
  <c r="HU28" i="19" s="1"/>
  <c r="HT28" i="19" a="1"/>
  <c r="HT28" i="19" s="1"/>
  <c r="HS28" i="19" a="1"/>
  <c r="HS28" i="19" s="1"/>
  <c r="HR28" i="19" a="1"/>
  <c r="HR28" i="19" s="1"/>
  <c r="HQ28" i="19" a="1"/>
  <c r="HQ28" i="19" s="1"/>
  <c r="HP28" i="19" a="1"/>
  <c r="HP28" i="19" s="1"/>
  <c r="HO28" i="19" a="1"/>
  <c r="HO28" i="19" s="1"/>
  <c r="HN28" i="19" a="1"/>
  <c r="HN28" i="19" s="1"/>
  <c r="HM28" i="19" a="1"/>
  <c r="HM28" i="19" s="1"/>
  <c r="HL28" i="19" a="1"/>
  <c r="HL28" i="19" s="1"/>
  <c r="HW27" i="19" a="1"/>
  <c r="HW27" i="19" s="1"/>
  <c r="HV27" i="19" a="1"/>
  <c r="HV27" i="19" s="1"/>
  <c r="HU27" i="19" a="1"/>
  <c r="HU27" i="19" s="1"/>
  <c r="HT27" i="19" a="1"/>
  <c r="HT27" i="19" s="1"/>
  <c r="HS27" i="19" a="1"/>
  <c r="HS27" i="19" s="1"/>
  <c r="HR27" i="19" a="1"/>
  <c r="HR27" i="19" s="1"/>
  <c r="HQ27" i="19" a="1"/>
  <c r="HQ27" i="19" s="1"/>
  <c r="HP27" i="19" a="1"/>
  <c r="HP27" i="19" s="1"/>
  <c r="HO27" i="19" a="1"/>
  <c r="HO27" i="19" s="1"/>
  <c r="HN27" i="19" a="1"/>
  <c r="HN27" i="19" s="1"/>
  <c r="HM27" i="19" a="1"/>
  <c r="HM27" i="19" s="1"/>
  <c r="HL27" i="19" a="1"/>
  <c r="HL27" i="19" s="1"/>
  <c r="HW26" i="19" a="1"/>
  <c r="HW26" i="19" s="1"/>
  <c r="HV26" i="19" a="1"/>
  <c r="HV26" i="19" s="1"/>
  <c r="HU26" i="19" a="1"/>
  <c r="HU26" i="19" s="1"/>
  <c r="HT26" i="19" a="1"/>
  <c r="HT26" i="19" s="1"/>
  <c r="HS26" i="19" a="1"/>
  <c r="HS26" i="19" s="1"/>
  <c r="HR26" i="19" a="1"/>
  <c r="HR26" i="19" s="1"/>
  <c r="HQ26" i="19" a="1"/>
  <c r="HQ26" i="19" s="1"/>
  <c r="HP26" i="19" a="1"/>
  <c r="HP26" i="19" s="1"/>
  <c r="HO26" i="19" a="1"/>
  <c r="HO26" i="19" s="1"/>
  <c r="HN26" i="19" a="1"/>
  <c r="HN26" i="19" s="1"/>
  <c r="HM26" i="19" a="1"/>
  <c r="HM26" i="19" s="1"/>
  <c r="HL26" i="19" a="1"/>
  <c r="HL26" i="19" s="1"/>
  <c r="HW25" i="19" a="1"/>
  <c r="HW25" i="19" s="1"/>
  <c r="HV25" i="19" a="1"/>
  <c r="HV25" i="19" s="1"/>
  <c r="HU25" i="19" a="1"/>
  <c r="HU25" i="19" s="1"/>
  <c r="HT25" i="19" a="1"/>
  <c r="HT25" i="19" s="1"/>
  <c r="HS25" i="19" a="1"/>
  <c r="HS25" i="19" s="1"/>
  <c r="HR25" i="19" a="1"/>
  <c r="HR25" i="19" s="1"/>
  <c r="HQ25" i="19" a="1"/>
  <c r="HQ25" i="19" s="1"/>
  <c r="HP25" i="19" a="1"/>
  <c r="HP25" i="19" s="1"/>
  <c r="HO25" i="19" a="1"/>
  <c r="HO25" i="19" s="1"/>
  <c r="HN25" i="19" a="1"/>
  <c r="HN25" i="19" s="1"/>
  <c r="HM25" i="19" a="1"/>
  <c r="HM25" i="19" s="1"/>
  <c r="HL25" i="19" a="1"/>
  <c r="HL25" i="19" s="1"/>
  <c r="HW24" i="19" a="1"/>
  <c r="HW24" i="19" s="1"/>
  <c r="HV24" i="19" a="1"/>
  <c r="HV24" i="19" s="1"/>
  <c r="HU24" i="19" a="1"/>
  <c r="HU24" i="19" s="1"/>
  <c r="HT24" i="19" a="1"/>
  <c r="HT24" i="19" s="1"/>
  <c r="HS24" i="19" a="1"/>
  <c r="HS24" i="19" s="1"/>
  <c r="HR24" i="19" a="1"/>
  <c r="HR24" i="19" s="1"/>
  <c r="HQ24" i="19" a="1"/>
  <c r="HQ24" i="19" s="1"/>
  <c r="HP24" i="19" a="1"/>
  <c r="HP24" i="19" s="1"/>
  <c r="HO24" i="19" a="1"/>
  <c r="HO24" i="19" s="1"/>
  <c r="HN24" i="19" a="1"/>
  <c r="HN24" i="19" s="1"/>
  <c r="HM24" i="19" a="1"/>
  <c r="HM24" i="19" s="1"/>
  <c r="HL24" i="19" a="1"/>
  <c r="HL24" i="19" s="1"/>
  <c r="HW23" i="19" a="1"/>
  <c r="HW23" i="19" s="1"/>
  <c r="HV23" i="19" a="1"/>
  <c r="HV23" i="19" s="1"/>
  <c r="HU23" i="19" a="1"/>
  <c r="HU23" i="19" s="1"/>
  <c r="HT23" i="19" a="1"/>
  <c r="HT23" i="19" s="1"/>
  <c r="HS23" i="19" a="1"/>
  <c r="HS23" i="19" s="1"/>
  <c r="HR23" i="19" a="1"/>
  <c r="HR23" i="19" s="1"/>
  <c r="HQ23" i="19" a="1"/>
  <c r="HQ23" i="19" s="1"/>
  <c r="HP23" i="19" a="1"/>
  <c r="HP23" i="19" s="1"/>
  <c r="HO23" i="19" a="1"/>
  <c r="HO23" i="19" s="1"/>
  <c r="HN23" i="19" a="1"/>
  <c r="HN23" i="19" s="1"/>
  <c r="HM23" i="19" a="1"/>
  <c r="HM23" i="19" s="1"/>
  <c r="HL23" i="19" a="1"/>
  <c r="HL23" i="19" s="1"/>
  <c r="HW22" i="19" a="1"/>
  <c r="HW22" i="19" s="1"/>
  <c r="HV22" i="19" a="1"/>
  <c r="HV22" i="19" s="1"/>
  <c r="HU22" i="19" a="1"/>
  <c r="HU22" i="19" s="1"/>
  <c r="HT22" i="19" a="1"/>
  <c r="HT22" i="19" s="1"/>
  <c r="HS22" i="19" a="1"/>
  <c r="HS22" i="19" s="1"/>
  <c r="HR22" i="19" a="1"/>
  <c r="HR22" i="19" s="1"/>
  <c r="HQ22" i="19" a="1"/>
  <c r="HQ22" i="19" s="1"/>
  <c r="HP22" i="19" a="1"/>
  <c r="HP22" i="19" s="1"/>
  <c r="HO22" i="19" a="1"/>
  <c r="HO22" i="19" s="1"/>
  <c r="HN22" i="19" a="1"/>
  <c r="HN22" i="19" s="1"/>
  <c r="HM22" i="19" a="1"/>
  <c r="HM22" i="19" s="1"/>
  <c r="HL22" i="19" a="1"/>
  <c r="HL22" i="19" s="1"/>
  <c r="HW21" i="19" a="1"/>
  <c r="HW21" i="19" s="1"/>
  <c r="HV21" i="19" a="1"/>
  <c r="HV21" i="19" s="1"/>
  <c r="HU21" i="19" a="1"/>
  <c r="HU21" i="19" s="1"/>
  <c r="HT21" i="19" a="1"/>
  <c r="HT21" i="19" s="1"/>
  <c r="HS21" i="19" a="1"/>
  <c r="HS21" i="19" s="1"/>
  <c r="HR21" i="19" a="1"/>
  <c r="HR21" i="19" s="1"/>
  <c r="HQ21" i="19" a="1"/>
  <c r="HQ21" i="19" s="1"/>
  <c r="HP21" i="19" a="1"/>
  <c r="HP21" i="19" s="1"/>
  <c r="HO21" i="19" a="1"/>
  <c r="HO21" i="19" s="1"/>
  <c r="HN21" i="19" a="1"/>
  <c r="HN21" i="19" s="1"/>
  <c r="HM21" i="19" a="1"/>
  <c r="HM21" i="19" s="1"/>
  <c r="HL21" i="19" a="1"/>
  <c r="HL21" i="19" s="1"/>
  <c r="HW20" i="19" a="1"/>
  <c r="HW20" i="19" s="1"/>
  <c r="HV20" i="19" a="1"/>
  <c r="HV20" i="19" s="1"/>
  <c r="HU20" i="19" a="1"/>
  <c r="HU20" i="19" s="1"/>
  <c r="HT20" i="19" a="1"/>
  <c r="HT20" i="19" s="1"/>
  <c r="HS20" i="19" a="1"/>
  <c r="HS20" i="19" s="1"/>
  <c r="HR20" i="19" a="1"/>
  <c r="HR20" i="19" s="1"/>
  <c r="HQ20" i="19" a="1"/>
  <c r="HQ20" i="19" s="1"/>
  <c r="HP20" i="19" a="1"/>
  <c r="HP20" i="19" s="1"/>
  <c r="HO20" i="19" a="1"/>
  <c r="HO20" i="19" s="1"/>
  <c r="HN20" i="19" a="1"/>
  <c r="HN20" i="19" s="1"/>
  <c r="HM20" i="19" a="1"/>
  <c r="HM20" i="19" s="1"/>
  <c r="HL20" i="19" a="1"/>
  <c r="HL20" i="19" s="1"/>
  <c r="HW19" i="19" a="1"/>
  <c r="HW19" i="19" s="1"/>
  <c r="HV19" i="19" a="1"/>
  <c r="HV19" i="19" s="1"/>
  <c r="HU19" i="19" a="1"/>
  <c r="HU19" i="19" s="1"/>
  <c r="HT19" i="19" a="1"/>
  <c r="HT19" i="19" s="1"/>
  <c r="HS19" i="19" a="1"/>
  <c r="HS19" i="19" s="1"/>
  <c r="HR19" i="19" a="1"/>
  <c r="HR19" i="19" s="1"/>
  <c r="HQ19" i="19" a="1"/>
  <c r="HQ19" i="19" s="1"/>
  <c r="HP19" i="19" a="1"/>
  <c r="HP19" i="19" s="1"/>
  <c r="HO19" i="19" a="1"/>
  <c r="HO19" i="19" s="1"/>
  <c r="HN19" i="19" a="1"/>
  <c r="HN19" i="19" s="1"/>
  <c r="HM19" i="19" a="1"/>
  <c r="HM19" i="19" s="1"/>
  <c r="HL19" i="19" a="1"/>
  <c r="HL19" i="19" s="1"/>
  <c r="HW18" i="19" a="1"/>
  <c r="HW18" i="19" s="1"/>
  <c r="HV18" i="19" a="1"/>
  <c r="HV18" i="19" s="1"/>
  <c r="HU18" i="19" a="1"/>
  <c r="HU18" i="19" s="1"/>
  <c r="HT18" i="19" a="1"/>
  <c r="HT18" i="19" s="1"/>
  <c r="HS18" i="19" a="1"/>
  <c r="HS18" i="19" s="1"/>
  <c r="HR18" i="19" a="1"/>
  <c r="HR18" i="19" s="1"/>
  <c r="HQ18" i="19" a="1"/>
  <c r="HQ18" i="19" s="1"/>
  <c r="HP18" i="19" a="1"/>
  <c r="HP18" i="19" s="1"/>
  <c r="HO18" i="19" a="1"/>
  <c r="HO18" i="19" s="1"/>
  <c r="HN18" i="19" a="1"/>
  <c r="HN18" i="19" s="1"/>
  <c r="HM18" i="19" a="1"/>
  <c r="HM18" i="19" s="1"/>
  <c r="HL18" i="19" a="1"/>
  <c r="HL18" i="19" s="1"/>
  <c r="HW17" i="19" a="1"/>
  <c r="HW17" i="19" s="1"/>
  <c r="HV17" i="19" a="1"/>
  <c r="HV17" i="19" s="1"/>
  <c r="HU17" i="19" a="1"/>
  <c r="HU17" i="19" s="1"/>
  <c r="HT17" i="19" a="1"/>
  <c r="HT17" i="19" s="1"/>
  <c r="HS17" i="19" a="1"/>
  <c r="HS17" i="19" s="1"/>
  <c r="HR17" i="19" a="1"/>
  <c r="HR17" i="19" s="1"/>
  <c r="HQ17" i="19" a="1"/>
  <c r="HQ17" i="19" s="1"/>
  <c r="HP17" i="19" a="1"/>
  <c r="HP17" i="19" s="1"/>
  <c r="HO17" i="19" a="1"/>
  <c r="HO17" i="19" s="1"/>
  <c r="HN17" i="19" a="1"/>
  <c r="HN17" i="19" s="1"/>
  <c r="HM17" i="19" a="1"/>
  <c r="HM17" i="19" s="1"/>
  <c r="HL17" i="19" a="1"/>
  <c r="HL17" i="19" s="1"/>
  <c r="HW16" i="19" a="1"/>
  <c r="HW16" i="19" s="1"/>
  <c r="HV16" i="19" a="1"/>
  <c r="HV16" i="19" s="1"/>
  <c r="HU16" i="19" a="1"/>
  <c r="HU16" i="19" s="1"/>
  <c r="HT16" i="19" a="1"/>
  <c r="HT16" i="19" s="1"/>
  <c r="HS16" i="19" a="1"/>
  <c r="HS16" i="19" s="1"/>
  <c r="HR16" i="19" a="1"/>
  <c r="HR16" i="19" s="1"/>
  <c r="HQ16" i="19" a="1"/>
  <c r="HQ16" i="19" s="1"/>
  <c r="HP16" i="19" a="1"/>
  <c r="HP16" i="19" s="1"/>
  <c r="HO16" i="19" a="1"/>
  <c r="HO16" i="19" s="1"/>
  <c r="HN16" i="19" a="1"/>
  <c r="HN16" i="19" s="1"/>
  <c r="HM16" i="19" a="1"/>
  <c r="HM16" i="19" s="1"/>
  <c r="HL16" i="19" a="1"/>
  <c r="HL16" i="19" s="1"/>
  <c r="HW15" i="19" a="1"/>
  <c r="HW15" i="19" s="1"/>
  <c r="HV15" i="19" a="1"/>
  <c r="HV15" i="19" s="1"/>
  <c r="HU15" i="19" a="1"/>
  <c r="HU15" i="19" s="1"/>
  <c r="HT15" i="19" a="1"/>
  <c r="HT15" i="19" s="1"/>
  <c r="HS15" i="19" a="1"/>
  <c r="HS15" i="19" s="1"/>
  <c r="HR15" i="19" a="1"/>
  <c r="HR15" i="19" s="1"/>
  <c r="HQ15" i="19" a="1"/>
  <c r="HQ15" i="19" s="1"/>
  <c r="HP15" i="19" a="1"/>
  <c r="HP15" i="19" s="1"/>
  <c r="HO15" i="19" a="1"/>
  <c r="HO15" i="19" s="1"/>
  <c r="HN15" i="19" a="1"/>
  <c r="HN15" i="19" s="1"/>
  <c r="HM15" i="19" a="1"/>
  <c r="HM15" i="19" s="1"/>
  <c r="HL15" i="19" a="1"/>
  <c r="HL15" i="19" s="1"/>
  <c r="HW14" i="19" a="1"/>
  <c r="HW14" i="19" s="1"/>
  <c r="HV14" i="19" a="1"/>
  <c r="HV14" i="19" s="1"/>
  <c r="HU14" i="19" a="1"/>
  <c r="HU14" i="19" s="1"/>
  <c r="HT14" i="19" a="1"/>
  <c r="HT14" i="19" s="1"/>
  <c r="HS14" i="19" a="1"/>
  <c r="HS14" i="19" s="1"/>
  <c r="HR14" i="19" a="1"/>
  <c r="HR14" i="19" s="1"/>
  <c r="HQ14" i="19" a="1"/>
  <c r="HQ14" i="19" s="1"/>
  <c r="HP14" i="19" a="1"/>
  <c r="HP14" i="19" s="1"/>
  <c r="HO14" i="19" a="1"/>
  <c r="HO14" i="19" s="1"/>
  <c r="HN14" i="19" a="1"/>
  <c r="HN14" i="19" s="1"/>
  <c r="HM14" i="19" a="1"/>
  <c r="HM14" i="19" s="1"/>
  <c r="HL14" i="19" a="1"/>
  <c r="HL14" i="19" s="1"/>
  <c r="HW13" i="19" a="1"/>
  <c r="HW13" i="19" s="1"/>
  <c r="HV13" i="19" a="1"/>
  <c r="HV13" i="19" s="1"/>
  <c r="HU13" i="19" a="1"/>
  <c r="HU13" i="19" s="1"/>
  <c r="HT13" i="19" a="1"/>
  <c r="HT13" i="19" s="1"/>
  <c r="HS13" i="19" a="1"/>
  <c r="HS13" i="19" s="1"/>
  <c r="HR13" i="19" a="1"/>
  <c r="HR13" i="19" s="1"/>
  <c r="HQ13" i="19" a="1"/>
  <c r="HQ13" i="19" s="1"/>
  <c r="HP13" i="19" a="1"/>
  <c r="HP13" i="19" s="1"/>
  <c r="HO13" i="19" a="1"/>
  <c r="HO13" i="19" s="1"/>
  <c r="HN13" i="19" a="1"/>
  <c r="HN13" i="19" s="1"/>
  <c r="HM13" i="19" a="1"/>
  <c r="HM13" i="19" s="1"/>
  <c r="HL13" i="19" a="1"/>
  <c r="HL13" i="19" s="1"/>
  <c r="HW12" i="19" a="1"/>
  <c r="HW12" i="19" s="1"/>
  <c r="HV12" i="19" a="1"/>
  <c r="HV12" i="19" s="1"/>
  <c r="HU12" i="19" a="1"/>
  <c r="HU12" i="19" s="1"/>
  <c r="HT12" i="19" a="1"/>
  <c r="HT12" i="19" s="1"/>
  <c r="HS12" i="19" a="1"/>
  <c r="HS12" i="19" s="1"/>
  <c r="HR12" i="19" a="1"/>
  <c r="HR12" i="19" s="1"/>
  <c r="HQ12" i="19" a="1"/>
  <c r="HQ12" i="19" s="1"/>
  <c r="HP12" i="19" a="1"/>
  <c r="HP12" i="19" s="1"/>
  <c r="HO12" i="19" a="1"/>
  <c r="HO12" i="19" s="1"/>
  <c r="HN12" i="19" a="1"/>
  <c r="HN12" i="19" s="1"/>
  <c r="HM12" i="19" a="1"/>
  <c r="HM12" i="19" s="1"/>
  <c r="HL12" i="19" a="1"/>
  <c r="HL12" i="19" s="1"/>
  <c r="HW11" i="19" a="1"/>
  <c r="HW11" i="19" s="1"/>
  <c r="HV11" i="19" a="1"/>
  <c r="HV11" i="19" s="1"/>
  <c r="HU11" i="19" a="1"/>
  <c r="HU11" i="19" s="1"/>
  <c r="HT11" i="19" a="1"/>
  <c r="HT11" i="19" s="1"/>
  <c r="HS11" i="19" a="1"/>
  <c r="HS11" i="19" s="1"/>
  <c r="HR11" i="19" a="1"/>
  <c r="HR11" i="19" s="1"/>
  <c r="HQ11" i="19" a="1"/>
  <c r="HQ11" i="19" s="1"/>
  <c r="HP11" i="19" a="1"/>
  <c r="HP11" i="19" s="1"/>
  <c r="HO11" i="19" a="1"/>
  <c r="HO11" i="19" s="1"/>
  <c r="HN11" i="19" a="1"/>
  <c r="HN11" i="19" s="1"/>
  <c r="HM11" i="19" a="1"/>
  <c r="HM11" i="19" s="1"/>
  <c r="HL11" i="19" a="1"/>
  <c r="HL11" i="19" s="1"/>
  <c r="HW10" i="19" a="1"/>
  <c r="HW10" i="19" s="1"/>
  <c r="HV10" i="19" a="1"/>
  <c r="HV10" i="19" s="1"/>
  <c r="HU10" i="19" a="1"/>
  <c r="HU10" i="19" s="1"/>
  <c r="HT10" i="19" a="1"/>
  <c r="HT10" i="19" s="1"/>
  <c r="HS10" i="19" a="1"/>
  <c r="HS10" i="19" s="1"/>
  <c r="HR10" i="19" a="1"/>
  <c r="HR10" i="19" s="1"/>
  <c r="HQ10" i="19" a="1"/>
  <c r="HQ10" i="19" s="1"/>
  <c r="HP10" i="19" a="1"/>
  <c r="HP10" i="19" s="1"/>
  <c r="HO10" i="19" a="1"/>
  <c r="HO10" i="19" s="1"/>
  <c r="HN10" i="19" a="1"/>
  <c r="HN10" i="19" s="1"/>
  <c r="HM10" i="19" a="1"/>
  <c r="HM10" i="19" s="1"/>
  <c r="HL10" i="19" a="1"/>
  <c r="HL10" i="19" s="1"/>
  <c r="HW9" i="19" a="1"/>
  <c r="HW9" i="19" s="1"/>
  <c r="HV9" i="19" a="1"/>
  <c r="HV9" i="19" s="1"/>
  <c r="HU9" i="19" a="1"/>
  <c r="HU9" i="19" s="1"/>
  <c r="HT9" i="19" a="1"/>
  <c r="HT9" i="19" s="1"/>
  <c r="HS9" i="19" a="1"/>
  <c r="HS9" i="19" s="1"/>
  <c r="HR9" i="19" a="1"/>
  <c r="HR9" i="19" s="1"/>
  <c r="HQ9" i="19" a="1"/>
  <c r="HQ9" i="19" s="1"/>
  <c r="HP9" i="19" a="1"/>
  <c r="HP9" i="19" s="1"/>
  <c r="HO9" i="19" a="1"/>
  <c r="HO9" i="19" s="1"/>
  <c r="HN9" i="19" a="1"/>
  <c r="HN9" i="19" s="1"/>
  <c r="HM9" i="19" a="1"/>
  <c r="HM9" i="19" s="1"/>
  <c r="HL9" i="19" a="1"/>
  <c r="HL9" i="19" s="1"/>
  <c r="HW8" i="19" a="1"/>
  <c r="HW8" i="19" s="1"/>
  <c r="HV8" i="19" a="1"/>
  <c r="HV8" i="19" s="1"/>
  <c r="HU8" i="19" a="1"/>
  <c r="HU8" i="19" s="1"/>
  <c r="HT8" i="19" a="1"/>
  <c r="HT8" i="19" s="1"/>
  <c r="HS8" i="19" a="1"/>
  <c r="HS8" i="19" s="1"/>
  <c r="HR8" i="19" a="1"/>
  <c r="HR8" i="19" s="1"/>
  <c r="HQ8" i="19" a="1"/>
  <c r="HQ8" i="19" s="1"/>
  <c r="HP8" i="19" a="1"/>
  <c r="HP8" i="19" s="1"/>
  <c r="HO8" i="19" a="1"/>
  <c r="HO8" i="19" s="1"/>
  <c r="HN8" i="19" a="1"/>
  <c r="HN8" i="19" s="1"/>
  <c r="HM8" i="19" a="1"/>
  <c r="HM8" i="19" s="1"/>
  <c r="HL8" i="19" a="1"/>
  <c r="HL8" i="19" s="1"/>
  <c r="HW7" i="19" a="1"/>
  <c r="HW7" i="19" s="1"/>
  <c r="HV7" i="19" a="1"/>
  <c r="HV7" i="19" s="1"/>
  <c r="HU7" i="19" a="1"/>
  <c r="HU7" i="19" s="1"/>
  <c r="HT7" i="19" a="1"/>
  <c r="HT7" i="19" s="1"/>
  <c r="HS7" i="19" a="1"/>
  <c r="HS7" i="19" s="1"/>
  <c r="HR7" i="19" a="1"/>
  <c r="HR7" i="19" s="1"/>
  <c r="HQ7" i="19" a="1"/>
  <c r="HQ7" i="19" s="1"/>
  <c r="HP7" i="19" a="1"/>
  <c r="HP7" i="19" s="1"/>
  <c r="HO7" i="19" a="1"/>
  <c r="HO7" i="19" s="1"/>
  <c r="HN7" i="19" a="1"/>
  <c r="HN7" i="19" s="1"/>
  <c r="HM7" i="19" a="1"/>
  <c r="HM7" i="19" s="1"/>
  <c r="HL7" i="19" a="1"/>
  <c r="HL7" i="19" s="1"/>
  <c r="HW6" i="19" a="1"/>
  <c r="HW6" i="19" s="1"/>
  <c r="HV6" i="19" a="1"/>
  <c r="HV6" i="19" s="1"/>
  <c r="HU6" i="19" a="1"/>
  <c r="HU6" i="19" s="1"/>
  <c r="HT6" i="19" a="1"/>
  <c r="HT6" i="19" s="1"/>
  <c r="HS6" i="19" a="1"/>
  <c r="HS6" i="19" s="1"/>
  <c r="HR6" i="19" a="1"/>
  <c r="HR6" i="19" s="1"/>
  <c r="HQ6" i="19" a="1"/>
  <c r="HQ6" i="19" s="1"/>
  <c r="HP6" i="19" a="1"/>
  <c r="HP6" i="19" s="1"/>
  <c r="HO6" i="19" a="1"/>
  <c r="HO6" i="19" s="1"/>
  <c r="HN6" i="19" a="1"/>
  <c r="HN6" i="19" s="1"/>
  <c r="HM6" i="19" a="1"/>
  <c r="HM6" i="19" s="1"/>
  <c r="HL6" i="19" a="1"/>
  <c r="HL6" i="19" s="1"/>
  <c r="HW5" i="19" a="1"/>
  <c r="HW5" i="19" s="1"/>
  <c r="HV5" i="19" a="1"/>
  <c r="HV5" i="19" s="1"/>
  <c r="HU5" i="19" a="1"/>
  <c r="HU5" i="19" s="1"/>
  <c r="HT5" i="19" a="1"/>
  <c r="HT5" i="19" s="1"/>
  <c r="HS5" i="19" a="1"/>
  <c r="HS5" i="19" s="1"/>
  <c r="HR5" i="19" a="1"/>
  <c r="HR5" i="19" s="1"/>
  <c r="HQ5" i="19" a="1"/>
  <c r="HQ5" i="19" s="1"/>
  <c r="HP5" i="19" a="1"/>
  <c r="HP5" i="19" s="1"/>
  <c r="HO5" i="19" a="1"/>
  <c r="HO5" i="19" s="1"/>
  <c r="HN5" i="19" a="1"/>
  <c r="HN5" i="19" s="1"/>
  <c r="HM5" i="19" a="1"/>
  <c r="HM5" i="19" s="1"/>
  <c r="HL5" i="19" a="1"/>
  <c r="HL5" i="19" s="1"/>
  <c r="HW4" i="19" a="1"/>
  <c r="HW4" i="19" s="1"/>
  <c r="HV4" i="19" a="1"/>
  <c r="HV4" i="19" s="1"/>
  <c r="HU4" i="19" a="1"/>
  <c r="HU4" i="19" s="1"/>
  <c r="HT4" i="19" a="1"/>
  <c r="HT4" i="19" s="1"/>
  <c r="HS4" i="19" a="1"/>
  <c r="HS4" i="19" s="1"/>
  <c r="HR4" i="19" a="1"/>
  <c r="HR4" i="19" s="1"/>
  <c r="HQ4" i="19" a="1"/>
  <c r="HQ4" i="19" s="1"/>
  <c r="HP4" i="19" a="1"/>
  <c r="HP4" i="19" s="1"/>
  <c r="HO4" i="19" a="1"/>
  <c r="HO4" i="19" s="1"/>
  <c r="HN4" i="19" a="1"/>
  <c r="HN4" i="19" s="1"/>
  <c r="HM4" i="19" a="1"/>
  <c r="HM4" i="19" s="1"/>
  <c r="HL4" i="19" a="1"/>
  <c r="HL4" i="19" s="1"/>
  <c r="HW3" i="19" a="1"/>
  <c r="HW3" i="19" s="1"/>
  <c r="HV3" i="19" a="1"/>
  <c r="HV3" i="19" s="1"/>
  <c r="HU3" i="19" a="1"/>
  <c r="HU3" i="19" s="1"/>
  <c r="HT3" i="19" a="1"/>
  <c r="HT3" i="19" s="1"/>
  <c r="HS3" i="19" a="1"/>
  <c r="HS3" i="19" s="1"/>
  <c r="HR3" i="19" a="1"/>
  <c r="HR3" i="19" s="1"/>
  <c r="HQ3" i="19" a="1"/>
  <c r="HQ3" i="19" s="1"/>
  <c r="HP3" i="19" a="1"/>
  <c r="HP3" i="19" s="1"/>
  <c r="HO3" i="19" a="1"/>
  <c r="HO3" i="19" s="1"/>
  <c r="HN3" i="19" a="1"/>
  <c r="HN3" i="19" s="1"/>
  <c r="HM3" i="19" a="1"/>
  <c r="HM3" i="19" s="1"/>
  <c r="HL3" i="19" a="1"/>
  <c r="HL3" i="19" s="1"/>
  <c r="HH59" i="19" a="1"/>
  <c r="HH59" i="19" s="1"/>
  <c r="HG59" i="19" a="1"/>
  <c r="HG59" i="19" s="1"/>
  <c r="HF59" i="19" a="1"/>
  <c r="HF59" i="19" s="1"/>
  <c r="HE59" i="19" a="1"/>
  <c r="HE59" i="19" s="1"/>
  <c r="HD59" i="19" a="1"/>
  <c r="HD59" i="19" s="1"/>
  <c r="HC59" i="19" a="1"/>
  <c r="HC59" i="19" s="1"/>
  <c r="HB59" i="19" a="1"/>
  <c r="HB59" i="19" s="1"/>
  <c r="HA59" i="19" a="1"/>
  <c r="HA59" i="19" s="1"/>
  <c r="GZ59" i="19" a="1"/>
  <c r="GZ59" i="19" s="1"/>
  <c r="GY59" i="19" a="1"/>
  <c r="GY59" i="19" s="1"/>
  <c r="GX59" i="19" a="1"/>
  <c r="GX59" i="19" s="1"/>
  <c r="GW59" i="19" a="1"/>
  <c r="GW59" i="19" s="1"/>
  <c r="GV59" i="19" a="1"/>
  <c r="GV59" i="19" s="1"/>
  <c r="GU59" i="19" a="1"/>
  <c r="GU59" i="19" s="1"/>
  <c r="GT59" i="19" a="1"/>
  <c r="GT59" i="19" s="1"/>
  <c r="GS59" i="19" a="1"/>
  <c r="GS59" i="19" s="1"/>
  <c r="GR59" i="19" a="1"/>
  <c r="GR59" i="19" s="1"/>
  <c r="GQ59" i="19" a="1"/>
  <c r="GQ59" i="19" s="1"/>
  <c r="GP59" i="19" a="1"/>
  <c r="GP59" i="19" s="1"/>
  <c r="GO59" i="19" a="1"/>
  <c r="GO59" i="19" s="1"/>
  <c r="GN59" i="19" a="1"/>
  <c r="GN59" i="19" s="1"/>
  <c r="GM59" i="19" a="1"/>
  <c r="GM59" i="19" s="1"/>
  <c r="GL59" i="19" a="1"/>
  <c r="GL59" i="19" s="1"/>
  <c r="GK59" i="19" a="1"/>
  <c r="GK59" i="19" s="1"/>
  <c r="GJ59" i="19" a="1"/>
  <c r="GJ59" i="19" s="1"/>
  <c r="GI59" i="19" a="1"/>
  <c r="GI59" i="19" s="1"/>
  <c r="GH59" i="19" a="1"/>
  <c r="GH59" i="19" s="1"/>
  <c r="GG59" i="19" a="1"/>
  <c r="GG59" i="19" s="1"/>
  <c r="GF59" i="19" a="1"/>
  <c r="GF59" i="19" s="1"/>
  <c r="GE59" i="19" a="1"/>
  <c r="GE59" i="19" s="1"/>
  <c r="GD59" i="19" a="1"/>
  <c r="GD59" i="19" s="1"/>
  <c r="GC59" i="19" a="1"/>
  <c r="GC59" i="19" s="1"/>
  <c r="GB59" i="19" a="1"/>
  <c r="GB59" i="19" s="1"/>
  <c r="GA59" i="19" a="1"/>
  <c r="GA59" i="19" s="1"/>
  <c r="FZ59" i="19" a="1"/>
  <c r="FZ59" i="19" s="1"/>
  <c r="FY59" i="19" a="1"/>
  <c r="FY59" i="19" s="1"/>
  <c r="FX59" i="19" a="1"/>
  <c r="FX59" i="19" s="1"/>
  <c r="FW59" i="19" a="1"/>
  <c r="FW59" i="19" s="1"/>
  <c r="FV59" i="19" a="1"/>
  <c r="FV59" i="19" s="1"/>
  <c r="FU59" i="19" a="1"/>
  <c r="FU59" i="19" s="1"/>
  <c r="FT59" i="19" a="1"/>
  <c r="FT59" i="19" s="1"/>
  <c r="FS59" i="19" a="1"/>
  <c r="FS59" i="19" s="1"/>
  <c r="FR59" i="19" a="1"/>
  <c r="FR59" i="19" s="1"/>
  <c r="FQ59" i="19" a="1"/>
  <c r="FQ59" i="19" s="1"/>
  <c r="FP59" i="19" a="1"/>
  <c r="FP59" i="19" s="1"/>
  <c r="FO59" i="19" a="1"/>
  <c r="FO59" i="19" s="1"/>
  <c r="FN59" i="19" a="1"/>
  <c r="FN59" i="19" s="1"/>
  <c r="FM59" i="19" a="1"/>
  <c r="FM59" i="19" s="1"/>
  <c r="ES59" i="19" a="1"/>
  <c r="ES59" i="19" s="1"/>
  <c r="DP59" i="19"/>
  <c r="DP59" i="19" a="1"/>
  <c r="DH59" i="19"/>
  <c r="DH59" i="19" a="1"/>
  <c r="DB59" i="19"/>
  <c r="DB59" i="19" a="1"/>
  <c r="DA59" i="19"/>
  <c r="DA59" i="19" a="1"/>
  <c r="CZ59" i="19"/>
  <c r="CZ59" i="19" a="1"/>
  <c r="CY59" i="19"/>
  <c r="CY59" i="19" a="1"/>
  <c r="CX59" i="19"/>
  <c r="CX59" i="19" a="1"/>
  <c r="CW59" i="19" a="1"/>
  <c r="CW59" i="19" s="1"/>
  <c r="CV59" i="19" a="1"/>
  <c r="CV59" i="19" s="1"/>
  <c r="CU59" i="19" a="1"/>
  <c r="CU59" i="19" s="1"/>
  <c r="CT59" i="19" a="1"/>
  <c r="CT59" i="19" s="1"/>
  <c r="CS59" i="19" a="1"/>
  <c r="CS59" i="19" s="1"/>
  <c r="CR59" i="19" a="1"/>
  <c r="CR59" i="19" s="1"/>
  <c r="CQ59" i="19" a="1"/>
  <c r="CQ59" i="19" s="1"/>
  <c r="CP59" i="19" a="1"/>
  <c r="CP59" i="19" s="1"/>
  <c r="CO59" i="19" a="1"/>
  <c r="CO59" i="19" s="1"/>
  <c r="CN59" i="19" a="1"/>
  <c r="CN59" i="19" s="1"/>
  <c r="CM59" i="19" a="1"/>
  <c r="CM59" i="19" s="1"/>
  <c r="CL59" i="19" a="1"/>
  <c r="CL59" i="19" s="1"/>
  <c r="CK59" i="19" a="1"/>
  <c r="CK59" i="19" s="1"/>
  <c r="CJ59" i="19" a="1"/>
  <c r="CJ59" i="19" s="1"/>
  <c r="CI59" i="19" a="1"/>
  <c r="CI59" i="19" s="1"/>
  <c r="A5" i="20" l="1"/>
  <c r="A14" i="20"/>
  <c r="A6" i="14"/>
  <c r="A14" i="14"/>
  <c r="A15" i="20" l="1"/>
  <c r="A6" i="20"/>
  <c r="A15" i="14"/>
  <c r="A7" i="14"/>
  <c r="A7" i="20" l="1"/>
  <c r="A16" i="20"/>
  <c r="A16" i="14"/>
  <c r="A8" i="14"/>
  <c r="CE59" i="19" a="1"/>
  <c r="CE59" i="19" s="1"/>
  <c r="CD59" i="19" a="1"/>
  <c r="CD59" i="19" s="1"/>
  <c r="A17" i="20" l="1"/>
  <c r="A8" i="20"/>
  <c r="A9" i="14"/>
  <c r="A17" i="14"/>
  <c r="F59" i="19" a="1"/>
  <c r="F59" i="19" s="1"/>
  <c r="C59" i="19" a="1"/>
  <c r="C59" i="19" s="1"/>
  <c r="B59" i="19" a="1"/>
  <c r="A9" i="20" l="1"/>
  <c r="A18" i="20"/>
  <c r="A18" i="14"/>
  <c r="A10" i="14"/>
  <c r="B59" i="19"/>
  <c r="HH58" i="19" a="1"/>
  <c r="HH58" i="19" s="1"/>
  <c r="HG58" i="19" a="1"/>
  <c r="HG58" i="19" s="1"/>
  <c r="HF58" i="19" a="1"/>
  <c r="HF58" i="19" s="1"/>
  <c r="HE58" i="19" a="1"/>
  <c r="HE58" i="19" s="1"/>
  <c r="HD58" i="19" a="1"/>
  <c r="HD58" i="19" s="1"/>
  <c r="HC58" i="19" a="1"/>
  <c r="HC58" i="19" s="1"/>
  <c r="HB58" i="19" a="1"/>
  <c r="HB58" i="19" s="1"/>
  <c r="HA58" i="19" a="1"/>
  <c r="HA58" i="19" s="1"/>
  <c r="GZ58" i="19" a="1"/>
  <c r="GZ58" i="19" s="1"/>
  <c r="GY58" i="19" a="1"/>
  <c r="GY58" i="19" s="1"/>
  <c r="GX58" i="19" a="1"/>
  <c r="GX58" i="19" s="1"/>
  <c r="GW58" i="19" a="1"/>
  <c r="GW58" i="19" s="1"/>
  <c r="GV58" i="19" a="1"/>
  <c r="GV58" i="19" s="1"/>
  <c r="GU58" i="19" a="1"/>
  <c r="GU58" i="19" s="1"/>
  <c r="GT58" i="19" a="1"/>
  <c r="GT58" i="19" s="1"/>
  <c r="GS58" i="19" a="1"/>
  <c r="GS58" i="19" s="1"/>
  <c r="GR58" i="19" a="1"/>
  <c r="GR58" i="19" s="1"/>
  <c r="GQ58" i="19" a="1"/>
  <c r="GQ58" i="19" s="1"/>
  <c r="GP58" i="19" a="1"/>
  <c r="GP58" i="19" s="1"/>
  <c r="GO58" i="19" a="1"/>
  <c r="GO58" i="19" s="1"/>
  <c r="GN58" i="19" a="1"/>
  <c r="GN58" i="19" s="1"/>
  <c r="GM58" i="19" a="1"/>
  <c r="GM58" i="19" s="1"/>
  <c r="GL58" i="19" a="1"/>
  <c r="GL58" i="19" s="1"/>
  <c r="GK58" i="19" a="1"/>
  <c r="GK58" i="19" s="1"/>
  <c r="GJ58" i="19" a="1"/>
  <c r="GJ58" i="19" s="1"/>
  <c r="GI58" i="19" a="1"/>
  <c r="GI58" i="19" s="1"/>
  <c r="GH58" i="19" a="1"/>
  <c r="GH58" i="19" s="1"/>
  <c r="GG58" i="19" a="1"/>
  <c r="GG58" i="19" s="1"/>
  <c r="GF58" i="19" a="1"/>
  <c r="GF58" i="19" s="1"/>
  <c r="GE58" i="19" a="1"/>
  <c r="GE58" i="19" s="1"/>
  <c r="GD58" i="19" a="1"/>
  <c r="GD58" i="19" s="1"/>
  <c r="GC58" i="19" a="1"/>
  <c r="GC58" i="19" s="1"/>
  <c r="GB58" i="19" a="1"/>
  <c r="GB58" i="19" s="1"/>
  <c r="GA58" i="19" a="1"/>
  <c r="GA58" i="19" s="1"/>
  <c r="FZ58" i="19" a="1"/>
  <c r="FZ58" i="19" s="1"/>
  <c r="FY58" i="19" a="1"/>
  <c r="FY58" i="19" s="1"/>
  <c r="FX58" i="19" a="1"/>
  <c r="FX58" i="19" s="1"/>
  <c r="FW58" i="19" a="1"/>
  <c r="FW58" i="19" s="1"/>
  <c r="FV58" i="19" a="1"/>
  <c r="FV58" i="19" s="1"/>
  <c r="FU58" i="19" a="1"/>
  <c r="FU58" i="19" s="1"/>
  <c r="FT58" i="19" a="1"/>
  <c r="FT58" i="19" s="1"/>
  <c r="FS58" i="19" a="1"/>
  <c r="FS58" i="19" s="1"/>
  <c r="FR58" i="19" a="1"/>
  <c r="FR58" i="19" s="1"/>
  <c r="FQ58" i="19" a="1"/>
  <c r="FQ58" i="19" s="1"/>
  <c r="FP58" i="19" a="1"/>
  <c r="FP58" i="19" s="1"/>
  <c r="FO58" i="19" a="1"/>
  <c r="FO58" i="19" s="1"/>
  <c r="FN58" i="19" a="1"/>
  <c r="FN58" i="19" s="1"/>
  <c r="FM58" i="19" a="1"/>
  <c r="FM58" i="19" s="1"/>
  <c r="ES58" i="19" a="1"/>
  <c r="ES58" i="19" s="1"/>
  <c r="DP58" i="19" a="1"/>
  <c r="DP58" i="19" s="1"/>
  <c r="DH58" i="19" a="1"/>
  <c r="DH58" i="19" s="1"/>
  <c r="DB58" i="19" a="1"/>
  <c r="DB58" i="19" s="1"/>
  <c r="DA58" i="19" a="1"/>
  <c r="DA58" i="19" s="1"/>
  <c r="CZ58" i="19" a="1"/>
  <c r="CZ58" i="19" s="1"/>
  <c r="CY58" i="19" a="1"/>
  <c r="CY58" i="19" s="1"/>
  <c r="CX58" i="19" a="1"/>
  <c r="CX58" i="19" s="1"/>
  <c r="CW58" i="19" a="1"/>
  <c r="CW58" i="19" s="1"/>
  <c r="CV58" i="19" a="1"/>
  <c r="CV58" i="19" s="1"/>
  <c r="CU58" i="19" a="1"/>
  <c r="CU58" i="19" s="1"/>
  <c r="CT58" i="19" a="1"/>
  <c r="CT58" i="19" s="1"/>
  <c r="CS58" i="19" a="1"/>
  <c r="CS58" i="19" s="1"/>
  <c r="CR58" i="19" a="1"/>
  <c r="CR58" i="19" s="1"/>
  <c r="CQ58" i="19" a="1"/>
  <c r="CQ58" i="19" s="1"/>
  <c r="CP58" i="19" a="1"/>
  <c r="CP58" i="19" s="1"/>
  <c r="CO58" i="19" a="1"/>
  <c r="CO58" i="19" s="1"/>
  <c r="CN58" i="19" a="1"/>
  <c r="CN58" i="19" s="1"/>
  <c r="CM58" i="19" a="1"/>
  <c r="CM58" i="19" s="1"/>
  <c r="CL58" i="19" a="1"/>
  <c r="CL58" i="19" s="1"/>
  <c r="CK58" i="19" a="1"/>
  <c r="CK58" i="19" s="1"/>
  <c r="CJ58" i="19" a="1"/>
  <c r="CJ58" i="19" s="1"/>
  <c r="CI58" i="19" a="1"/>
  <c r="CI58" i="19" s="1"/>
  <c r="A19" i="20" l="1"/>
  <c r="A10" i="20"/>
  <c r="A11" i="14"/>
  <c r="A19" i="14"/>
  <c r="A11" i="20" l="1"/>
  <c r="A20" i="20"/>
  <c r="A20" i="14"/>
  <c r="A21" i="20" l="1"/>
  <c r="A21" i="14"/>
  <c r="CE58" i="19" a="1"/>
  <c r="CE58" i="19" s="1"/>
  <c r="CD58" i="19" a="1"/>
  <c r="CD58" i="19" s="1"/>
  <c r="F58" i="19" l="1" a="1"/>
  <c r="F58" i="19" s="1"/>
  <c r="C58" i="19" a="1"/>
  <c r="C58" i="19" s="1"/>
  <c r="B58" i="19" a="1"/>
  <c r="B58" i="19" l="1"/>
  <c r="HH57" i="19" a="1"/>
  <c r="HH57" i="19" s="1"/>
  <c r="HG57" i="19" a="1"/>
  <c r="HG57" i="19" s="1"/>
  <c r="HF57" i="19" a="1"/>
  <c r="HF57" i="19" s="1"/>
  <c r="HE57" i="19" a="1"/>
  <c r="HE57" i="19" s="1"/>
  <c r="HD57" i="19" a="1"/>
  <c r="HD57" i="19" s="1"/>
  <c r="HC57" i="19" a="1"/>
  <c r="HC57" i="19" s="1"/>
  <c r="HB57" i="19" a="1"/>
  <c r="HB57" i="19" s="1"/>
  <c r="HA57" i="19" a="1"/>
  <c r="HA57" i="19" s="1"/>
  <c r="GZ57" i="19" a="1"/>
  <c r="GZ57" i="19" s="1"/>
  <c r="GY57" i="19" a="1"/>
  <c r="GY57" i="19" s="1"/>
  <c r="GX57" i="19" a="1"/>
  <c r="GX57" i="19" s="1"/>
  <c r="GW57" i="19" a="1"/>
  <c r="GW57" i="19" s="1"/>
  <c r="GV57" i="19" a="1"/>
  <c r="GV57" i="19" s="1"/>
  <c r="GU57" i="19" a="1"/>
  <c r="GU57" i="19" s="1"/>
  <c r="GT57" i="19" a="1"/>
  <c r="GT57" i="19" s="1"/>
  <c r="GS57" i="19" a="1"/>
  <c r="GS57" i="19" s="1"/>
  <c r="GR57" i="19" a="1"/>
  <c r="GR57" i="19" s="1"/>
  <c r="GQ57" i="19" a="1"/>
  <c r="GQ57" i="19" s="1"/>
  <c r="GP57" i="19" a="1"/>
  <c r="GP57" i="19" s="1"/>
  <c r="GO57" i="19" a="1"/>
  <c r="GO57" i="19" s="1"/>
  <c r="GN57" i="19" a="1"/>
  <c r="GN57" i="19" s="1"/>
  <c r="GM57" i="19" a="1"/>
  <c r="GM57" i="19" s="1"/>
  <c r="GL57" i="19" a="1"/>
  <c r="GL57" i="19" s="1"/>
  <c r="GK57" i="19" a="1"/>
  <c r="GK57" i="19" s="1"/>
  <c r="GJ57" i="19" a="1"/>
  <c r="GJ57" i="19" s="1"/>
  <c r="GI57" i="19" a="1"/>
  <c r="GI57" i="19" s="1"/>
  <c r="GH57" i="19" a="1"/>
  <c r="GH57" i="19" s="1"/>
  <c r="GG57" i="19" a="1"/>
  <c r="GG57" i="19" s="1"/>
  <c r="GF57" i="19" a="1"/>
  <c r="GF57" i="19" s="1"/>
  <c r="GE57" i="19" a="1"/>
  <c r="GE57" i="19" s="1"/>
  <c r="GD57" i="19" a="1"/>
  <c r="GD57" i="19" s="1"/>
  <c r="GC57" i="19" a="1"/>
  <c r="GC57" i="19" s="1"/>
  <c r="GB57" i="19" a="1"/>
  <c r="GB57" i="19" s="1"/>
  <c r="GA57" i="19" a="1"/>
  <c r="GA57" i="19" s="1"/>
  <c r="FZ57" i="19" a="1"/>
  <c r="FZ57" i="19" s="1"/>
  <c r="FY57" i="19" a="1"/>
  <c r="FY57" i="19" s="1"/>
  <c r="FX57" i="19" a="1"/>
  <c r="FX57" i="19" s="1"/>
  <c r="FW57" i="19" a="1"/>
  <c r="FW57" i="19" s="1"/>
  <c r="FV57" i="19" a="1"/>
  <c r="FV57" i="19" s="1"/>
  <c r="FU57" i="19" a="1"/>
  <c r="FU57" i="19" s="1"/>
  <c r="FT57" i="19" a="1"/>
  <c r="FT57" i="19" s="1"/>
  <c r="FS57" i="19" a="1"/>
  <c r="FS57" i="19" s="1"/>
  <c r="FR57" i="19" a="1"/>
  <c r="FR57" i="19" s="1"/>
  <c r="FQ57" i="19" a="1"/>
  <c r="FQ57" i="19" s="1"/>
  <c r="FP57" i="19" a="1"/>
  <c r="FP57" i="19" s="1"/>
  <c r="FO57" i="19" a="1"/>
  <c r="FO57" i="19" s="1"/>
  <c r="FN57" i="19" a="1"/>
  <c r="FN57" i="19" s="1"/>
  <c r="FM57" i="19" a="1"/>
  <c r="FM57" i="19" s="1"/>
  <c r="ES57" i="19" a="1"/>
  <c r="ES57" i="19" s="1"/>
  <c r="DP57" i="19" a="1"/>
  <c r="DP57" i="19" s="1"/>
  <c r="DH57" i="19" a="1"/>
  <c r="DH57" i="19" s="1"/>
  <c r="DB57" i="19" a="1"/>
  <c r="DB57" i="19" s="1"/>
  <c r="DA57" i="19" a="1"/>
  <c r="DA57" i="19" s="1"/>
  <c r="CZ57" i="19" a="1"/>
  <c r="CZ57" i="19" s="1"/>
  <c r="CY57" i="19" a="1"/>
  <c r="CY57" i="19" s="1"/>
  <c r="CX57" i="19" a="1"/>
  <c r="CX57" i="19" s="1"/>
  <c r="CW57" i="19" a="1"/>
  <c r="CW57" i="19" s="1"/>
  <c r="CV57" i="19" a="1"/>
  <c r="CV57" i="19" s="1"/>
  <c r="CU57" i="19" a="1"/>
  <c r="CU57" i="19" s="1"/>
  <c r="CT57" i="19" a="1"/>
  <c r="CT57" i="19" s="1"/>
  <c r="CS57" i="19" a="1"/>
  <c r="CS57" i="19" s="1"/>
  <c r="CR57" i="19" a="1"/>
  <c r="CR57" i="19" s="1"/>
  <c r="CQ57" i="19" a="1"/>
  <c r="CQ57" i="19" s="1"/>
  <c r="CP57" i="19" a="1"/>
  <c r="CP57" i="19" s="1"/>
  <c r="CO57" i="19" a="1"/>
  <c r="CO57" i="19" s="1"/>
  <c r="CN57" i="19" a="1"/>
  <c r="CN57" i="19" s="1"/>
  <c r="CM57" i="19" a="1"/>
  <c r="CM57" i="19" s="1"/>
  <c r="CL57" i="19" a="1"/>
  <c r="CL57" i="19" s="1"/>
  <c r="CK57" i="19" a="1"/>
  <c r="CK57" i="19" s="1"/>
  <c r="CJ57" i="19" a="1"/>
  <c r="CJ57" i="19" s="1"/>
  <c r="CI57" i="19" a="1"/>
  <c r="CI57" i="19" s="1"/>
  <c r="CE57" i="19" l="1" a="1"/>
  <c r="CE57" i="19" s="1"/>
  <c r="CD57" i="19" a="1"/>
  <c r="CD57" i="19" s="1"/>
  <c r="F57" i="19" l="1" a="1"/>
  <c r="F57" i="19" s="1"/>
  <c r="C57" i="19" a="1"/>
  <c r="C57" i="19" s="1"/>
  <c r="B57" i="19" a="1"/>
  <c r="B57" i="19" l="1"/>
  <c r="HH56" i="19" a="1"/>
  <c r="HH56" i="19" s="1"/>
  <c r="HG56" i="19" a="1"/>
  <c r="HG56" i="19" s="1"/>
  <c r="HF56" i="19" a="1"/>
  <c r="HF56" i="19" s="1"/>
  <c r="HE56" i="19" a="1"/>
  <c r="HE56" i="19" s="1"/>
  <c r="HD56" i="19" a="1"/>
  <c r="HD56" i="19" s="1"/>
  <c r="HC56" i="19" a="1"/>
  <c r="HC56" i="19" s="1"/>
  <c r="HB56" i="19" a="1"/>
  <c r="HB56" i="19" s="1"/>
  <c r="HA56" i="19" a="1"/>
  <c r="HA56" i="19" s="1"/>
  <c r="GZ56" i="19" a="1"/>
  <c r="GZ56" i="19" s="1"/>
  <c r="GY56" i="19" a="1"/>
  <c r="GY56" i="19" s="1"/>
  <c r="GX56" i="19" a="1"/>
  <c r="GX56" i="19" s="1"/>
  <c r="GW56" i="19" a="1"/>
  <c r="GW56" i="19" s="1"/>
  <c r="GV56" i="19" a="1"/>
  <c r="GV56" i="19" s="1"/>
  <c r="GU56" i="19" a="1"/>
  <c r="GU56" i="19" s="1"/>
  <c r="GT56" i="19" a="1"/>
  <c r="GT56" i="19" s="1"/>
  <c r="GS56" i="19" a="1"/>
  <c r="GS56" i="19" s="1"/>
  <c r="GR56" i="19" a="1"/>
  <c r="GR56" i="19" s="1"/>
  <c r="GQ56" i="19" a="1"/>
  <c r="GQ56" i="19" s="1"/>
  <c r="GP56" i="19" a="1"/>
  <c r="GP56" i="19" s="1"/>
  <c r="GO56" i="19" a="1"/>
  <c r="GO56" i="19" s="1"/>
  <c r="GN56" i="19" a="1"/>
  <c r="GN56" i="19" s="1"/>
  <c r="GM56" i="19" a="1"/>
  <c r="GM56" i="19" s="1"/>
  <c r="GL56" i="19" a="1"/>
  <c r="GL56" i="19" s="1"/>
  <c r="GK56" i="19" a="1"/>
  <c r="GK56" i="19" s="1"/>
  <c r="GJ56" i="19" a="1"/>
  <c r="GJ56" i="19" s="1"/>
  <c r="GI56" i="19" a="1"/>
  <c r="GI56" i="19" s="1"/>
  <c r="GH56" i="19" a="1"/>
  <c r="GH56" i="19" s="1"/>
  <c r="GG56" i="19" a="1"/>
  <c r="GG56" i="19" s="1"/>
  <c r="GF56" i="19" a="1"/>
  <c r="GF56" i="19" s="1"/>
  <c r="GE56" i="19" a="1"/>
  <c r="GE56" i="19" s="1"/>
  <c r="GD56" i="19" a="1"/>
  <c r="GD56" i="19" s="1"/>
  <c r="GC56" i="19" a="1"/>
  <c r="GC56" i="19" s="1"/>
  <c r="GB56" i="19" a="1"/>
  <c r="GB56" i="19" s="1"/>
  <c r="GA56" i="19" a="1"/>
  <c r="GA56" i="19" s="1"/>
  <c r="FZ56" i="19" a="1"/>
  <c r="FZ56" i="19" s="1"/>
  <c r="FY56" i="19" a="1"/>
  <c r="FY56" i="19" s="1"/>
  <c r="FX56" i="19" a="1"/>
  <c r="FX56" i="19" s="1"/>
  <c r="FW56" i="19" a="1"/>
  <c r="FW56" i="19" s="1"/>
  <c r="FV56" i="19" a="1"/>
  <c r="FV56" i="19" s="1"/>
  <c r="FU56" i="19" a="1"/>
  <c r="FU56" i="19" s="1"/>
  <c r="FT56" i="19" a="1"/>
  <c r="FT56" i="19" s="1"/>
  <c r="FS56" i="19" a="1"/>
  <c r="FS56" i="19" s="1"/>
  <c r="FR56" i="19" a="1"/>
  <c r="FR56" i="19" s="1"/>
  <c r="FQ56" i="19" a="1"/>
  <c r="FQ56" i="19" s="1"/>
  <c r="FP56" i="19" a="1"/>
  <c r="FP56" i="19" s="1"/>
  <c r="FO56" i="19" a="1"/>
  <c r="FO56" i="19" s="1"/>
  <c r="FN56" i="19" a="1"/>
  <c r="FN56" i="19" s="1"/>
  <c r="FM56" i="19" a="1"/>
  <c r="FM56" i="19" s="1"/>
  <c r="ES56" i="19" a="1"/>
  <c r="ES56" i="19" s="1"/>
  <c r="DP56" i="19" a="1"/>
  <c r="DP56" i="19" s="1"/>
  <c r="DH56" i="19" a="1"/>
  <c r="DH56" i="19" s="1"/>
  <c r="DB56" i="19" a="1"/>
  <c r="DB56" i="19" s="1"/>
  <c r="DA56" i="19" a="1"/>
  <c r="DA56" i="19" s="1"/>
  <c r="CZ56" i="19" a="1"/>
  <c r="CZ56" i="19" s="1"/>
  <c r="CY56" i="19" a="1"/>
  <c r="CY56" i="19" s="1"/>
  <c r="CX56" i="19" a="1"/>
  <c r="CX56" i="19" s="1"/>
  <c r="CW56" i="19" a="1"/>
  <c r="CW56" i="19" s="1"/>
  <c r="CV56" i="19" a="1"/>
  <c r="CV56" i="19" s="1"/>
  <c r="CU56" i="19" a="1"/>
  <c r="CU56" i="19" s="1"/>
  <c r="CT56" i="19" a="1"/>
  <c r="CT56" i="19" s="1"/>
  <c r="CS56" i="19" a="1"/>
  <c r="CS56" i="19" s="1"/>
  <c r="CR56" i="19" a="1"/>
  <c r="CR56" i="19" s="1"/>
  <c r="CQ56" i="19" a="1"/>
  <c r="CQ56" i="19" s="1"/>
  <c r="CP56" i="19" a="1"/>
  <c r="CP56" i="19" s="1"/>
  <c r="CO56" i="19" a="1"/>
  <c r="CO56" i="19" s="1"/>
  <c r="CN56" i="19" a="1"/>
  <c r="CN56" i="19" s="1"/>
  <c r="CM56" i="19" a="1"/>
  <c r="CM56" i="19" s="1"/>
  <c r="CL56" i="19" a="1"/>
  <c r="CL56" i="19" s="1"/>
  <c r="CK56" i="19" a="1"/>
  <c r="CK56" i="19" s="1"/>
  <c r="CJ56" i="19" a="1"/>
  <c r="CJ56" i="19" s="1"/>
  <c r="CI56" i="19" a="1"/>
  <c r="CI56" i="19" s="1"/>
  <c r="CE56" i="19" l="1" a="1"/>
  <c r="CE56" i="19" s="1"/>
  <c r="CD56" i="19" a="1"/>
  <c r="CD56" i="19" s="1"/>
  <c r="F56" i="19" l="1" a="1"/>
  <c r="F56" i="19" s="1"/>
  <c r="C56" i="19" a="1"/>
  <c r="C56" i="19" s="1"/>
  <c r="B56" i="19" a="1"/>
  <c r="B56" i="19" l="1"/>
  <c r="HH55" i="19" a="1"/>
  <c r="HH55" i="19" s="1"/>
  <c r="HG55" i="19" a="1"/>
  <c r="HG55" i="19" s="1"/>
  <c r="HF55" i="19" a="1"/>
  <c r="HF55" i="19" s="1"/>
  <c r="HE55" i="19" a="1"/>
  <c r="HE55" i="19" s="1"/>
  <c r="HD55" i="19" a="1"/>
  <c r="HD55" i="19" s="1"/>
  <c r="HC55" i="19" a="1"/>
  <c r="HC55" i="19" s="1"/>
  <c r="HB55" i="19" a="1"/>
  <c r="HB55" i="19" s="1"/>
  <c r="HA55" i="19" a="1"/>
  <c r="HA55" i="19" s="1"/>
  <c r="GZ55" i="19" a="1"/>
  <c r="GZ55" i="19" s="1"/>
  <c r="GY55" i="19" a="1"/>
  <c r="GY55" i="19" s="1"/>
  <c r="GX55" i="19" a="1"/>
  <c r="GX55" i="19" s="1"/>
  <c r="GW55" i="19" a="1"/>
  <c r="GW55" i="19" s="1"/>
  <c r="GV55" i="19" a="1"/>
  <c r="GV55" i="19" s="1"/>
  <c r="GU55" i="19" a="1"/>
  <c r="GU55" i="19" s="1"/>
  <c r="GT55" i="19" a="1"/>
  <c r="GT55" i="19" s="1"/>
  <c r="GS55" i="19" a="1"/>
  <c r="GS55" i="19" s="1"/>
  <c r="GR55" i="19" a="1"/>
  <c r="GR55" i="19" s="1"/>
  <c r="GQ55" i="19" a="1"/>
  <c r="GQ55" i="19" s="1"/>
  <c r="GP55" i="19" a="1"/>
  <c r="GP55" i="19" s="1"/>
  <c r="GO55" i="19" a="1"/>
  <c r="GO55" i="19" s="1"/>
  <c r="GN55" i="19" a="1"/>
  <c r="GN55" i="19" s="1"/>
  <c r="GM55" i="19" a="1"/>
  <c r="GM55" i="19" s="1"/>
  <c r="GL55" i="19" a="1"/>
  <c r="GL55" i="19" s="1"/>
  <c r="GK55" i="19" a="1"/>
  <c r="GK55" i="19" s="1"/>
  <c r="GJ55" i="19" a="1"/>
  <c r="GJ55" i="19" s="1"/>
  <c r="GI55" i="19" a="1"/>
  <c r="GI55" i="19" s="1"/>
  <c r="GH55" i="19" a="1"/>
  <c r="GH55" i="19" s="1"/>
  <c r="GG55" i="19" a="1"/>
  <c r="GG55" i="19" s="1"/>
  <c r="GF55" i="19" a="1"/>
  <c r="GF55" i="19" s="1"/>
  <c r="GE55" i="19" a="1"/>
  <c r="GE55" i="19" s="1"/>
  <c r="GD55" i="19" a="1"/>
  <c r="GD55" i="19" s="1"/>
  <c r="GC55" i="19" a="1"/>
  <c r="GC55" i="19" s="1"/>
  <c r="GB55" i="19" a="1"/>
  <c r="GB55" i="19" s="1"/>
  <c r="GA55" i="19" a="1"/>
  <c r="GA55" i="19" s="1"/>
  <c r="FZ55" i="19" a="1"/>
  <c r="FZ55" i="19" s="1"/>
  <c r="FY55" i="19" a="1"/>
  <c r="FY55" i="19" s="1"/>
  <c r="FX55" i="19" a="1"/>
  <c r="FX55" i="19" s="1"/>
  <c r="FW55" i="19" a="1"/>
  <c r="FW55" i="19" s="1"/>
  <c r="FV55" i="19" a="1"/>
  <c r="FV55" i="19" s="1"/>
  <c r="FU55" i="19" a="1"/>
  <c r="FU55" i="19" s="1"/>
  <c r="FT55" i="19" a="1"/>
  <c r="FT55" i="19" s="1"/>
  <c r="FS55" i="19" a="1"/>
  <c r="FS55" i="19" s="1"/>
  <c r="FR55" i="19" a="1"/>
  <c r="FR55" i="19" s="1"/>
  <c r="FQ55" i="19" a="1"/>
  <c r="FQ55" i="19" s="1"/>
  <c r="FP55" i="19" a="1"/>
  <c r="FP55" i="19" s="1"/>
  <c r="FO55" i="19" a="1"/>
  <c r="FO55" i="19" s="1"/>
  <c r="FN55" i="19" a="1"/>
  <c r="FN55" i="19" s="1"/>
  <c r="FM55" i="19" a="1"/>
  <c r="FM55" i="19" s="1"/>
  <c r="ES55" i="19" a="1"/>
  <c r="ES55" i="19" s="1"/>
  <c r="DP55" i="19" a="1"/>
  <c r="DP55" i="19" s="1"/>
  <c r="DH55" i="19" a="1"/>
  <c r="DH55" i="19" s="1"/>
  <c r="DB55" i="19" a="1"/>
  <c r="DB55" i="19" s="1"/>
  <c r="DA55" i="19" a="1"/>
  <c r="DA55" i="19" s="1"/>
  <c r="CZ55" i="19" a="1"/>
  <c r="CZ55" i="19" s="1"/>
  <c r="CY55" i="19" a="1"/>
  <c r="CY55" i="19" s="1"/>
  <c r="CX55" i="19" a="1"/>
  <c r="CX55" i="19" s="1"/>
  <c r="CW55" i="19" a="1"/>
  <c r="CW55" i="19" s="1"/>
  <c r="CV55" i="19" a="1"/>
  <c r="CV55" i="19" s="1"/>
  <c r="CU55" i="19" a="1"/>
  <c r="CU55" i="19" s="1"/>
  <c r="CT55" i="19" a="1"/>
  <c r="CT55" i="19" s="1"/>
  <c r="CS55" i="19" a="1"/>
  <c r="CS55" i="19" s="1"/>
  <c r="CR55" i="19" a="1"/>
  <c r="CR55" i="19" s="1"/>
  <c r="CQ55" i="19" a="1"/>
  <c r="CQ55" i="19" s="1"/>
  <c r="CP55" i="19" a="1"/>
  <c r="CP55" i="19" s="1"/>
  <c r="CO55" i="19" a="1"/>
  <c r="CO55" i="19" s="1"/>
  <c r="CN55" i="19" a="1"/>
  <c r="CN55" i="19" s="1"/>
  <c r="CM55" i="19" a="1"/>
  <c r="CM55" i="19" s="1"/>
  <c r="CL55" i="19" a="1"/>
  <c r="CL55" i="19" s="1"/>
  <c r="CK55" i="19" a="1"/>
  <c r="CK55" i="19" s="1"/>
  <c r="CJ55" i="19" a="1"/>
  <c r="CJ55" i="19" s="1"/>
  <c r="CI55" i="19" a="1"/>
  <c r="CI55" i="19" s="1"/>
  <c r="CE55" i="19" l="1" a="1"/>
  <c r="CE55" i="19" s="1"/>
  <c r="CD55" i="19" a="1"/>
  <c r="CD55" i="19" s="1"/>
  <c r="F55" i="19" l="1" a="1"/>
  <c r="F55" i="19" s="1"/>
  <c r="C55" i="19" a="1"/>
  <c r="C55" i="19" s="1"/>
  <c r="B55" i="19" a="1"/>
  <c r="B55" i="19" l="1"/>
  <c r="HH54" i="19" a="1"/>
  <c r="HH54" i="19" s="1"/>
  <c r="HG54" i="19" a="1"/>
  <c r="HG54" i="19" s="1"/>
  <c r="HF54" i="19" a="1"/>
  <c r="HF54" i="19" s="1"/>
  <c r="HE54" i="19" a="1"/>
  <c r="HE54" i="19" s="1"/>
  <c r="HD54" i="19" a="1"/>
  <c r="HD54" i="19" s="1"/>
  <c r="HC54" i="19" a="1"/>
  <c r="HC54" i="19" s="1"/>
  <c r="HB54" i="19" a="1"/>
  <c r="HB54" i="19" s="1"/>
  <c r="HA54" i="19" a="1"/>
  <c r="HA54" i="19" s="1"/>
  <c r="GZ54" i="19" a="1"/>
  <c r="GZ54" i="19" s="1"/>
  <c r="GY54" i="19" a="1"/>
  <c r="GY54" i="19" s="1"/>
  <c r="GX54" i="19" a="1"/>
  <c r="GX54" i="19" s="1"/>
  <c r="GW54" i="19" a="1"/>
  <c r="GW54" i="19" s="1"/>
  <c r="GV54" i="19" a="1"/>
  <c r="GV54" i="19" s="1"/>
  <c r="GU54" i="19" a="1"/>
  <c r="GU54" i="19" s="1"/>
  <c r="GT54" i="19" a="1"/>
  <c r="GT54" i="19" s="1"/>
  <c r="GS54" i="19" a="1"/>
  <c r="GS54" i="19" s="1"/>
  <c r="GR54" i="19" a="1"/>
  <c r="GR54" i="19" s="1"/>
  <c r="GQ54" i="19" a="1"/>
  <c r="GQ54" i="19" s="1"/>
  <c r="GP54" i="19" a="1"/>
  <c r="GP54" i="19" s="1"/>
  <c r="GO54" i="19" a="1"/>
  <c r="GO54" i="19" s="1"/>
  <c r="GN54" i="19" a="1"/>
  <c r="GN54" i="19" s="1"/>
  <c r="GM54" i="19" a="1"/>
  <c r="GM54" i="19" s="1"/>
  <c r="GL54" i="19" a="1"/>
  <c r="GL54" i="19" s="1"/>
  <c r="GK54" i="19" a="1"/>
  <c r="GK54" i="19" s="1"/>
  <c r="GJ54" i="19" a="1"/>
  <c r="GJ54" i="19" s="1"/>
  <c r="GI54" i="19" a="1"/>
  <c r="GI54" i="19" s="1"/>
  <c r="GH54" i="19" a="1"/>
  <c r="GH54" i="19" s="1"/>
  <c r="GG54" i="19" a="1"/>
  <c r="GG54" i="19" s="1"/>
  <c r="GF54" i="19" a="1"/>
  <c r="GF54" i="19" s="1"/>
  <c r="GE54" i="19" a="1"/>
  <c r="GE54" i="19" s="1"/>
  <c r="GD54" i="19" a="1"/>
  <c r="GD54" i="19" s="1"/>
  <c r="GC54" i="19" a="1"/>
  <c r="GC54" i="19" s="1"/>
  <c r="GB54" i="19" a="1"/>
  <c r="GB54" i="19" s="1"/>
  <c r="GA54" i="19" a="1"/>
  <c r="GA54" i="19" s="1"/>
  <c r="FZ54" i="19" a="1"/>
  <c r="FZ54" i="19" s="1"/>
  <c r="FY54" i="19" a="1"/>
  <c r="FY54" i="19" s="1"/>
  <c r="FX54" i="19" a="1"/>
  <c r="FX54" i="19" s="1"/>
  <c r="FW54" i="19" a="1"/>
  <c r="FW54" i="19" s="1"/>
  <c r="FV54" i="19" a="1"/>
  <c r="FV54" i="19" s="1"/>
  <c r="FU54" i="19" a="1"/>
  <c r="FU54" i="19" s="1"/>
  <c r="FT54" i="19" a="1"/>
  <c r="FT54" i="19" s="1"/>
  <c r="FS54" i="19" a="1"/>
  <c r="FS54" i="19" s="1"/>
  <c r="FR54" i="19" a="1"/>
  <c r="FR54" i="19" s="1"/>
  <c r="FQ54" i="19" a="1"/>
  <c r="FQ54" i="19" s="1"/>
  <c r="FP54" i="19" a="1"/>
  <c r="FP54" i="19" s="1"/>
  <c r="FO54" i="19" a="1"/>
  <c r="FO54" i="19" s="1"/>
  <c r="FN54" i="19" a="1"/>
  <c r="FN54" i="19" s="1"/>
  <c r="FM54" i="19" a="1"/>
  <c r="FM54" i="19" s="1"/>
  <c r="ES54" i="19" a="1"/>
  <c r="ES54" i="19" s="1"/>
  <c r="DP54" i="19" a="1"/>
  <c r="DP54" i="19" s="1"/>
  <c r="DH54" i="19" a="1"/>
  <c r="DH54" i="19" s="1"/>
  <c r="DB54" i="19" a="1"/>
  <c r="DB54" i="19" s="1"/>
  <c r="DA54" i="19" a="1"/>
  <c r="DA54" i="19" s="1"/>
  <c r="CZ54" i="19" a="1"/>
  <c r="CZ54" i="19" s="1"/>
  <c r="CY54" i="19" a="1"/>
  <c r="CY54" i="19" s="1"/>
  <c r="CX54" i="19" a="1"/>
  <c r="CX54" i="19" s="1"/>
  <c r="CW54" i="19" a="1"/>
  <c r="CW54" i="19" s="1"/>
  <c r="CV54" i="19" a="1"/>
  <c r="CV54" i="19" s="1"/>
  <c r="CU54" i="19" a="1"/>
  <c r="CU54" i="19" s="1"/>
  <c r="CT54" i="19" a="1"/>
  <c r="CT54" i="19" s="1"/>
  <c r="CS54" i="19" a="1"/>
  <c r="CS54" i="19" s="1"/>
  <c r="CR54" i="19" a="1"/>
  <c r="CR54" i="19" s="1"/>
  <c r="CQ54" i="19" a="1"/>
  <c r="CQ54" i="19" s="1"/>
  <c r="CP54" i="19" a="1"/>
  <c r="CP54" i="19" s="1"/>
  <c r="CO54" i="19" a="1"/>
  <c r="CO54" i="19" s="1"/>
  <c r="CN54" i="19" a="1"/>
  <c r="CN54" i="19" s="1"/>
  <c r="CM54" i="19" a="1"/>
  <c r="CM54" i="19" s="1"/>
  <c r="CL54" i="19" a="1"/>
  <c r="CL54" i="19" s="1"/>
  <c r="CK54" i="19" a="1"/>
  <c r="CK54" i="19" s="1"/>
  <c r="CJ54" i="19" a="1"/>
  <c r="CJ54" i="19" s="1"/>
  <c r="CI54" i="19" a="1"/>
  <c r="CI54" i="19" s="1"/>
  <c r="CE54" i="19" l="1" a="1"/>
  <c r="CE54" i="19" s="1"/>
  <c r="CD54" i="19" a="1"/>
  <c r="CD54" i="19" s="1"/>
  <c r="F54" i="19" l="1" a="1"/>
  <c r="F54" i="19" s="1"/>
  <c r="C54" i="19" a="1"/>
  <c r="C54" i="19" s="1"/>
  <c r="B54" i="19" a="1"/>
  <c r="B54" i="19" l="1"/>
  <c r="HH53" i="19" a="1"/>
  <c r="HH53" i="19" s="1"/>
  <c r="HG53" i="19" a="1"/>
  <c r="HG53" i="19" s="1"/>
  <c r="HF53" i="19" a="1"/>
  <c r="HF53" i="19" s="1"/>
  <c r="HE53" i="19" a="1"/>
  <c r="HE53" i="19" s="1"/>
  <c r="HD53" i="19" a="1"/>
  <c r="HD53" i="19" s="1"/>
  <c r="HC53" i="19" a="1"/>
  <c r="HC53" i="19" s="1"/>
  <c r="HB53" i="19" a="1"/>
  <c r="HB53" i="19" s="1"/>
  <c r="HA53" i="19" a="1"/>
  <c r="HA53" i="19" s="1"/>
  <c r="GZ53" i="19" a="1"/>
  <c r="GZ53" i="19" s="1"/>
  <c r="GY53" i="19" a="1"/>
  <c r="GY53" i="19" s="1"/>
  <c r="GX53" i="19" a="1"/>
  <c r="GX53" i="19" s="1"/>
  <c r="GW53" i="19" a="1"/>
  <c r="GW53" i="19" s="1"/>
  <c r="GV53" i="19" a="1"/>
  <c r="GV53" i="19" s="1"/>
  <c r="GU53" i="19" a="1"/>
  <c r="GU53" i="19" s="1"/>
  <c r="GT53" i="19" a="1"/>
  <c r="GT53" i="19" s="1"/>
  <c r="GS53" i="19" a="1"/>
  <c r="GS53" i="19" s="1"/>
  <c r="GR53" i="19" a="1"/>
  <c r="GR53" i="19" s="1"/>
  <c r="GQ53" i="19" a="1"/>
  <c r="GQ53" i="19" s="1"/>
  <c r="GP53" i="19" a="1"/>
  <c r="GP53" i="19" s="1"/>
  <c r="GO53" i="19" a="1"/>
  <c r="GO53" i="19" s="1"/>
  <c r="GN53" i="19" a="1"/>
  <c r="GN53" i="19" s="1"/>
  <c r="GM53" i="19" a="1"/>
  <c r="GM53" i="19" s="1"/>
  <c r="GL53" i="19" a="1"/>
  <c r="GL53" i="19" s="1"/>
  <c r="GK53" i="19" a="1"/>
  <c r="GK53" i="19" s="1"/>
  <c r="GJ53" i="19" a="1"/>
  <c r="GJ53" i="19" s="1"/>
  <c r="GI53" i="19" a="1"/>
  <c r="GI53" i="19" s="1"/>
  <c r="GH53" i="19" a="1"/>
  <c r="GH53" i="19" s="1"/>
  <c r="GG53" i="19" a="1"/>
  <c r="GG53" i="19" s="1"/>
  <c r="GF53" i="19" a="1"/>
  <c r="GF53" i="19" s="1"/>
  <c r="GE53" i="19" a="1"/>
  <c r="GE53" i="19" s="1"/>
  <c r="GD53" i="19" a="1"/>
  <c r="GD53" i="19" s="1"/>
  <c r="GC53" i="19" a="1"/>
  <c r="GC53" i="19" s="1"/>
  <c r="GB53" i="19" a="1"/>
  <c r="GB53" i="19" s="1"/>
  <c r="GA53" i="19" a="1"/>
  <c r="GA53" i="19" s="1"/>
  <c r="FZ53" i="19" a="1"/>
  <c r="FZ53" i="19" s="1"/>
  <c r="FY53" i="19" a="1"/>
  <c r="FY53" i="19" s="1"/>
  <c r="FX53" i="19" a="1"/>
  <c r="FX53" i="19" s="1"/>
  <c r="FW53" i="19" a="1"/>
  <c r="FW53" i="19" s="1"/>
  <c r="FV53" i="19" a="1"/>
  <c r="FV53" i="19" s="1"/>
  <c r="FU53" i="19" a="1"/>
  <c r="FU53" i="19" s="1"/>
  <c r="FT53" i="19" a="1"/>
  <c r="FT53" i="19" s="1"/>
  <c r="FS53" i="19" a="1"/>
  <c r="FS53" i="19" s="1"/>
  <c r="FR53" i="19" a="1"/>
  <c r="FR53" i="19" s="1"/>
  <c r="FQ53" i="19" a="1"/>
  <c r="FQ53" i="19" s="1"/>
  <c r="FP53" i="19" a="1"/>
  <c r="FP53" i="19" s="1"/>
  <c r="FO53" i="19" a="1"/>
  <c r="FO53" i="19" s="1"/>
  <c r="FN53" i="19" a="1"/>
  <c r="FN53" i="19" s="1"/>
  <c r="FM53" i="19" a="1"/>
  <c r="FM53" i="19" s="1"/>
  <c r="ES53" i="19" a="1"/>
  <c r="ES53" i="19" s="1"/>
  <c r="DP53" i="19" a="1"/>
  <c r="DP53" i="19" s="1"/>
  <c r="DH53" i="19" a="1"/>
  <c r="DH53" i="19" s="1"/>
  <c r="DB53" i="19" a="1"/>
  <c r="DB53" i="19" s="1"/>
  <c r="DA53" i="19" a="1"/>
  <c r="DA53" i="19" s="1"/>
  <c r="CZ53" i="19" a="1"/>
  <c r="CZ53" i="19" s="1"/>
  <c r="CY53" i="19" a="1"/>
  <c r="CY53" i="19" s="1"/>
  <c r="CX53" i="19" a="1"/>
  <c r="CX53" i="19" s="1"/>
  <c r="CW53" i="19" a="1"/>
  <c r="CW53" i="19" s="1"/>
  <c r="CV53" i="19" a="1"/>
  <c r="CV53" i="19" s="1"/>
  <c r="CU53" i="19" a="1"/>
  <c r="CU53" i="19" s="1"/>
  <c r="CT53" i="19" a="1"/>
  <c r="CT53" i="19" s="1"/>
  <c r="CS53" i="19" a="1"/>
  <c r="CS53" i="19" s="1"/>
  <c r="CR53" i="19" a="1"/>
  <c r="CR53" i="19" s="1"/>
  <c r="CQ53" i="19" a="1"/>
  <c r="CQ53" i="19" s="1"/>
  <c r="CP53" i="19" a="1"/>
  <c r="CP53" i="19" s="1"/>
  <c r="CO53" i="19" a="1"/>
  <c r="CO53" i="19" s="1"/>
  <c r="CN53" i="19" a="1"/>
  <c r="CN53" i="19" s="1"/>
  <c r="CM53" i="19" a="1"/>
  <c r="CM53" i="19" s="1"/>
  <c r="CL53" i="19" a="1"/>
  <c r="CL53" i="19" s="1"/>
  <c r="CK53" i="19" a="1"/>
  <c r="CK53" i="19" s="1"/>
  <c r="CJ53" i="19" a="1"/>
  <c r="CJ53" i="19" s="1"/>
  <c r="CI53" i="19" a="1"/>
  <c r="CI53" i="19" s="1"/>
  <c r="CE53" i="19" l="1" a="1"/>
  <c r="CE53" i="19" s="1"/>
  <c r="CD53" i="19" a="1"/>
  <c r="CD53" i="19" s="1"/>
  <c r="F53" i="19" l="1" a="1"/>
  <c r="F53" i="19" s="1"/>
  <c r="C53" i="19" a="1"/>
  <c r="C53" i="19" s="1"/>
  <c r="B53" i="19" a="1"/>
  <c r="B53" i="19" l="1"/>
  <c r="HH52" i="19" a="1"/>
  <c r="HH52" i="19" s="1"/>
  <c r="HG52" i="19" a="1"/>
  <c r="HG52" i="19" s="1"/>
  <c r="HF52" i="19" a="1"/>
  <c r="HF52" i="19" s="1"/>
  <c r="HE52" i="19" a="1"/>
  <c r="HE52" i="19" s="1"/>
  <c r="HD52" i="19" a="1"/>
  <c r="HD52" i="19" s="1"/>
  <c r="HC52" i="19" a="1"/>
  <c r="HC52" i="19" s="1"/>
  <c r="HB52" i="19" a="1"/>
  <c r="HB52" i="19" s="1"/>
  <c r="HA52" i="19" a="1"/>
  <c r="HA52" i="19" s="1"/>
  <c r="GZ52" i="19" a="1"/>
  <c r="GZ52" i="19" s="1"/>
  <c r="GY52" i="19" a="1"/>
  <c r="GY52" i="19" s="1"/>
  <c r="GX52" i="19" a="1"/>
  <c r="GX52" i="19" s="1"/>
  <c r="GW52" i="19" a="1"/>
  <c r="GW52" i="19" s="1"/>
  <c r="GV52" i="19" a="1"/>
  <c r="GV52" i="19" s="1"/>
  <c r="GU52" i="19" a="1"/>
  <c r="GU52" i="19" s="1"/>
  <c r="GT52" i="19" a="1"/>
  <c r="GT52" i="19" s="1"/>
  <c r="GS52" i="19" a="1"/>
  <c r="GS52" i="19" s="1"/>
  <c r="GR52" i="19" a="1"/>
  <c r="GR52" i="19" s="1"/>
  <c r="GQ52" i="19" a="1"/>
  <c r="GQ52" i="19" s="1"/>
  <c r="GP52" i="19" a="1"/>
  <c r="GP52" i="19" s="1"/>
  <c r="GO52" i="19" a="1"/>
  <c r="GO52" i="19" s="1"/>
  <c r="GN52" i="19" a="1"/>
  <c r="GN52" i="19" s="1"/>
  <c r="GM52" i="19" a="1"/>
  <c r="GM52" i="19" s="1"/>
  <c r="GL52" i="19" a="1"/>
  <c r="GL52" i="19" s="1"/>
  <c r="GK52" i="19" a="1"/>
  <c r="GK52" i="19" s="1"/>
  <c r="GJ52" i="19" a="1"/>
  <c r="GJ52" i="19" s="1"/>
  <c r="GI52" i="19" a="1"/>
  <c r="GI52" i="19" s="1"/>
  <c r="GH52" i="19" a="1"/>
  <c r="GH52" i="19" s="1"/>
  <c r="GG52" i="19" a="1"/>
  <c r="GG52" i="19" s="1"/>
  <c r="GF52" i="19" a="1"/>
  <c r="GF52" i="19" s="1"/>
  <c r="GE52" i="19" a="1"/>
  <c r="GE52" i="19" s="1"/>
  <c r="GD52" i="19" a="1"/>
  <c r="GD52" i="19" s="1"/>
  <c r="GC52" i="19" a="1"/>
  <c r="GC52" i="19" s="1"/>
  <c r="GB52" i="19" a="1"/>
  <c r="GB52" i="19" s="1"/>
  <c r="GA52" i="19" a="1"/>
  <c r="GA52" i="19" s="1"/>
  <c r="FZ52" i="19" a="1"/>
  <c r="FZ52" i="19" s="1"/>
  <c r="FY52" i="19" a="1"/>
  <c r="FY52" i="19" s="1"/>
  <c r="FX52" i="19" a="1"/>
  <c r="FX52" i="19" s="1"/>
  <c r="FW52" i="19" a="1"/>
  <c r="FW52" i="19" s="1"/>
  <c r="FV52" i="19" a="1"/>
  <c r="FV52" i="19" s="1"/>
  <c r="FU52" i="19" a="1"/>
  <c r="FU52" i="19" s="1"/>
  <c r="FT52" i="19" a="1"/>
  <c r="FT52" i="19" s="1"/>
  <c r="FS52" i="19" a="1"/>
  <c r="FS52" i="19" s="1"/>
  <c r="FR52" i="19" a="1"/>
  <c r="FR52" i="19" s="1"/>
  <c r="FQ52" i="19" a="1"/>
  <c r="FQ52" i="19" s="1"/>
  <c r="FP52" i="19" a="1"/>
  <c r="FP52" i="19" s="1"/>
  <c r="FO52" i="19" a="1"/>
  <c r="FO52" i="19" s="1"/>
  <c r="FN52" i="19" a="1"/>
  <c r="FN52" i="19" s="1"/>
  <c r="FM52" i="19" a="1"/>
  <c r="FM52" i="19" s="1"/>
  <c r="ES52" i="19" a="1"/>
  <c r="ES52" i="19" s="1"/>
  <c r="DP52" i="19" a="1"/>
  <c r="DP52" i="19" s="1"/>
  <c r="DH52" i="19" a="1"/>
  <c r="DH52" i="19" s="1"/>
  <c r="DB52" i="19" a="1"/>
  <c r="DB52" i="19" s="1"/>
  <c r="DA52" i="19" a="1"/>
  <c r="DA52" i="19" s="1"/>
  <c r="CZ52" i="19" a="1"/>
  <c r="CZ52" i="19" s="1"/>
  <c r="CY52" i="19" a="1"/>
  <c r="CY52" i="19" s="1"/>
  <c r="CX52" i="19" a="1"/>
  <c r="CX52" i="19" s="1"/>
  <c r="CW52" i="19" a="1"/>
  <c r="CW52" i="19" s="1"/>
  <c r="CV52" i="19" a="1"/>
  <c r="CV52" i="19" s="1"/>
  <c r="CU52" i="19" a="1"/>
  <c r="CU52" i="19" s="1"/>
  <c r="CT52" i="19" a="1"/>
  <c r="CT52" i="19" s="1"/>
  <c r="CS52" i="19" a="1"/>
  <c r="CS52" i="19" s="1"/>
  <c r="CR52" i="19" a="1"/>
  <c r="CR52" i="19" s="1"/>
  <c r="CQ52" i="19" a="1"/>
  <c r="CQ52" i="19" s="1"/>
  <c r="CP52" i="19" a="1"/>
  <c r="CP52" i="19" s="1"/>
  <c r="CO52" i="19" a="1"/>
  <c r="CO52" i="19" s="1"/>
  <c r="CN52" i="19" a="1"/>
  <c r="CN52" i="19" s="1"/>
  <c r="CM52" i="19" a="1"/>
  <c r="CM52" i="19" s="1"/>
  <c r="CL52" i="19" a="1"/>
  <c r="CL52" i="19" s="1"/>
  <c r="CK52" i="19" a="1"/>
  <c r="CK52" i="19" s="1"/>
  <c r="CJ52" i="19" a="1"/>
  <c r="CJ52" i="19" s="1"/>
  <c r="CI52" i="19" a="1"/>
  <c r="CI52" i="19" s="1"/>
  <c r="CE52" i="19" l="1" a="1"/>
  <c r="CE52" i="19" s="1"/>
  <c r="CD52" i="19" a="1"/>
  <c r="CD52" i="19" s="1"/>
  <c r="F52" i="19" l="1" a="1"/>
  <c r="F52" i="19" s="1"/>
  <c r="C52" i="19" a="1"/>
  <c r="C52" i="19" s="1"/>
  <c r="B52" i="19" a="1"/>
  <c r="B52" i="19" l="1"/>
  <c r="HH51" i="19" a="1"/>
  <c r="HH51" i="19" s="1"/>
  <c r="HG51" i="19" a="1"/>
  <c r="HG51" i="19" s="1"/>
  <c r="HF51" i="19" a="1"/>
  <c r="HF51" i="19" s="1"/>
  <c r="HE51" i="19" a="1"/>
  <c r="HE51" i="19" s="1"/>
  <c r="HD51" i="19" a="1"/>
  <c r="HD51" i="19" s="1"/>
  <c r="HC51" i="19" a="1"/>
  <c r="HC51" i="19" s="1"/>
  <c r="HB51" i="19" a="1"/>
  <c r="HB51" i="19" s="1"/>
  <c r="HA51" i="19" a="1"/>
  <c r="HA51" i="19" s="1"/>
  <c r="GZ51" i="19" a="1"/>
  <c r="GZ51" i="19" s="1"/>
  <c r="GY51" i="19" a="1"/>
  <c r="GY51" i="19" s="1"/>
  <c r="GX51" i="19" a="1"/>
  <c r="GX51" i="19" s="1"/>
  <c r="GW51" i="19" a="1"/>
  <c r="GW51" i="19" s="1"/>
  <c r="GV51" i="19" a="1"/>
  <c r="GV51" i="19" s="1"/>
  <c r="GU51" i="19" a="1"/>
  <c r="GU51" i="19" s="1"/>
  <c r="GT51" i="19" a="1"/>
  <c r="GT51" i="19" s="1"/>
  <c r="GS51" i="19" a="1"/>
  <c r="GS51" i="19" s="1"/>
  <c r="GR51" i="19" a="1"/>
  <c r="GR51" i="19" s="1"/>
  <c r="GQ51" i="19" a="1"/>
  <c r="GQ51" i="19" s="1"/>
  <c r="GP51" i="19" a="1"/>
  <c r="GP51" i="19" s="1"/>
  <c r="GO51" i="19" a="1"/>
  <c r="GO51" i="19" s="1"/>
  <c r="GN51" i="19" a="1"/>
  <c r="GN51" i="19" s="1"/>
  <c r="GM51" i="19" a="1"/>
  <c r="GM51" i="19" s="1"/>
  <c r="GL51" i="19" a="1"/>
  <c r="GL51" i="19" s="1"/>
  <c r="GK51" i="19" a="1"/>
  <c r="GK51" i="19" s="1"/>
  <c r="GJ51" i="19" a="1"/>
  <c r="GJ51" i="19" s="1"/>
  <c r="GI51" i="19" a="1"/>
  <c r="GI51" i="19" s="1"/>
  <c r="GH51" i="19" a="1"/>
  <c r="GH51" i="19" s="1"/>
  <c r="GG51" i="19" a="1"/>
  <c r="GG51" i="19" s="1"/>
  <c r="GF51" i="19" a="1"/>
  <c r="GF51" i="19" s="1"/>
  <c r="GE51" i="19" a="1"/>
  <c r="GE51" i="19" s="1"/>
  <c r="GD51" i="19" a="1"/>
  <c r="GD51" i="19" s="1"/>
  <c r="GC51" i="19" a="1"/>
  <c r="GC51" i="19" s="1"/>
  <c r="GB51" i="19" a="1"/>
  <c r="GB51" i="19" s="1"/>
  <c r="GA51" i="19" a="1"/>
  <c r="GA51" i="19" s="1"/>
  <c r="FZ51" i="19" a="1"/>
  <c r="FZ51" i="19" s="1"/>
  <c r="FY51" i="19" a="1"/>
  <c r="FY51" i="19" s="1"/>
  <c r="FX51" i="19" a="1"/>
  <c r="FX51" i="19" s="1"/>
  <c r="FW51" i="19" a="1"/>
  <c r="FW51" i="19" s="1"/>
  <c r="FV51" i="19" a="1"/>
  <c r="FV51" i="19" s="1"/>
  <c r="FU51" i="19" a="1"/>
  <c r="FU51" i="19" s="1"/>
  <c r="FT51" i="19" a="1"/>
  <c r="FT51" i="19" s="1"/>
  <c r="FS51" i="19" a="1"/>
  <c r="FS51" i="19" s="1"/>
  <c r="FR51" i="19" a="1"/>
  <c r="FR51" i="19" s="1"/>
  <c r="FQ51" i="19" a="1"/>
  <c r="FQ51" i="19" s="1"/>
  <c r="FP51" i="19" a="1"/>
  <c r="FP51" i="19" s="1"/>
  <c r="FO51" i="19" a="1"/>
  <c r="FO51" i="19" s="1"/>
  <c r="FN51" i="19" a="1"/>
  <c r="FN51" i="19" s="1"/>
  <c r="FM51" i="19" a="1"/>
  <c r="FM51" i="19" s="1"/>
  <c r="ES51" i="19" a="1"/>
  <c r="ES51" i="19" s="1"/>
  <c r="DP51" i="19" a="1"/>
  <c r="DP51" i="19" s="1"/>
  <c r="DH51" i="19" a="1"/>
  <c r="DH51" i="19" s="1"/>
  <c r="DB51" i="19" a="1"/>
  <c r="DB51" i="19" s="1"/>
  <c r="DA51" i="19" a="1"/>
  <c r="DA51" i="19" s="1"/>
  <c r="CZ51" i="19" a="1"/>
  <c r="CZ51" i="19" s="1"/>
  <c r="CY51" i="19" a="1"/>
  <c r="CY51" i="19" s="1"/>
  <c r="CX51" i="19" a="1"/>
  <c r="CX51" i="19" s="1"/>
  <c r="CW51" i="19" a="1"/>
  <c r="CW51" i="19" s="1"/>
  <c r="CV51" i="19" a="1"/>
  <c r="CV51" i="19" s="1"/>
  <c r="CU51" i="19" a="1"/>
  <c r="CU51" i="19" s="1"/>
  <c r="CT51" i="19" a="1"/>
  <c r="CT51" i="19" s="1"/>
  <c r="CS51" i="19" a="1"/>
  <c r="CS51" i="19" s="1"/>
  <c r="CR51" i="19" a="1"/>
  <c r="CR51" i="19" s="1"/>
  <c r="CQ51" i="19" a="1"/>
  <c r="CQ51" i="19" s="1"/>
  <c r="CP51" i="19" a="1"/>
  <c r="CP51" i="19" s="1"/>
  <c r="CO51" i="19" a="1"/>
  <c r="CO51" i="19" s="1"/>
  <c r="CN51" i="19" a="1"/>
  <c r="CN51" i="19" s="1"/>
  <c r="CM51" i="19" a="1"/>
  <c r="CM51" i="19" s="1"/>
  <c r="CL51" i="19" a="1"/>
  <c r="CL51" i="19" s="1"/>
  <c r="CK51" i="19" a="1"/>
  <c r="CK51" i="19" s="1"/>
  <c r="CJ51" i="19" a="1"/>
  <c r="CJ51" i="19" s="1"/>
  <c r="CI51" i="19" a="1"/>
  <c r="CI51" i="19" s="1"/>
  <c r="CE51" i="19" l="1"/>
  <c r="CE51" i="19" a="1"/>
  <c r="CD51" i="19" a="1"/>
  <c r="CD51" i="19" s="1"/>
  <c r="F51" i="19" l="1" a="1"/>
  <c r="F51" i="19" s="1"/>
  <c r="C51" i="19" a="1"/>
  <c r="C51" i="19" s="1"/>
  <c r="B51" i="19" a="1"/>
  <c r="B51" i="19" l="1"/>
  <c r="HH50" i="19" a="1"/>
  <c r="HH50" i="19" s="1"/>
  <c r="HG50" i="19" a="1"/>
  <c r="HG50" i="19" s="1"/>
  <c r="HF50" i="19" a="1"/>
  <c r="HF50" i="19" s="1"/>
  <c r="HE50" i="19" a="1"/>
  <c r="HE50" i="19" s="1"/>
  <c r="HD50" i="19" a="1"/>
  <c r="HD50" i="19" s="1"/>
  <c r="HC50" i="19" a="1"/>
  <c r="HC50" i="19" s="1"/>
  <c r="HB50" i="19" a="1"/>
  <c r="HB50" i="19" s="1"/>
  <c r="HA50" i="19" a="1"/>
  <c r="HA50" i="19" s="1"/>
  <c r="GZ50" i="19" a="1"/>
  <c r="GZ50" i="19" s="1"/>
  <c r="GY50" i="19" a="1"/>
  <c r="GY50" i="19" s="1"/>
  <c r="GX50" i="19" a="1"/>
  <c r="GX50" i="19" s="1"/>
  <c r="GW50" i="19" a="1"/>
  <c r="GW50" i="19" s="1"/>
  <c r="GV50" i="19" a="1"/>
  <c r="GV50" i="19" s="1"/>
  <c r="GU50" i="19" a="1"/>
  <c r="GU50" i="19" s="1"/>
  <c r="GT50" i="19" a="1"/>
  <c r="GT50" i="19" s="1"/>
  <c r="GS50" i="19" a="1"/>
  <c r="GS50" i="19" s="1"/>
  <c r="GR50" i="19" a="1"/>
  <c r="GR50" i="19" s="1"/>
  <c r="GQ50" i="19" a="1"/>
  <c r="GQ50" i="19" s="1"/>
  <c r="GP50" i="19" a="1"/>
  <c r="GP50" i="19" s="1"/>
  <c r="GO50" i="19" a="1"/>
  <c r="GO50" i="19" s="1"/>
  <c r="GN50" i="19" a="1"/>
  <c r="GN50" i="19" s="1"/>
  <c r="GM50" i="19" a="1"/>
  <c r="GM50" i="19" s="1"/>
  <c r="GL50" i="19" a="1"/>
  <c r="GL50" i="19" s="1"/>
  <c r="GK50" i="19" a="1"/>
  <c r="GK50" i="19" s="1"/>
  <c r="GJ50" i="19" a="1"/>
  <c r="GJ50" i="19" s="1"/>
  <c r="GI50" i="19" a="1"/>
  <c r="GI50" i="19" s="1"/>
  <c r="GH50" i="19" a="1"/>
  <c r="GH50" i="19" s="1"/>
  <c r="GG50" i="19" a="1"/>
  <c r="GG50" i="19" s="1"/>
  <c r="GF50" i="19" a="1"/>
  <c r="GF50" i="19" s="1"/>
  <c r="GE50" i="19" a="1"/>
  <c r="GE50" i="19" s="1"/>
  <c r="GD50" i="19" a="1"/>
  <c r="GD50" i="19" s="1"/>
  <c r="GC50" i="19" a="1"/>
  <c r="GC50" i="19" s="1"/>
  <c r="GB50" i="19" a="1"/>
  <c r="GB50" i="19" s="1"/>
  <c r="GA50" i="19" a="1"/>
  <c r="GA50" i="19" s="1"/>
  <c r="FZ50" i="19" a="1"/>
  <c r="FZ50" i="19" s="1"/>
  <c r="FY50" i="19" a="1"/>
  <c r="FY50" i="19" s="1"/>
  <c r="FX50" i="19" a="1"/>
  <c r="FX50" i="19" s="1"/>
  <c r="FW50" i="19" a="1"/>
  <c r="FW50" i="19" s="1"/>
  <c r="FV50" i="19" a="1"/>
  <c r="FV50" i="19" s="1"/>
  <c r="FU50" i="19" a="1"/>
  <c r="FU50" i="19" s="1"/>
  <c r="FT50" i="19" a="1"/>
  <c r="FT50" i="19" s="1"/>
  <c r="FS50" i="19" a="1"/>
  <c r="FS50" i="19" s="1"/>
  <c r="FR50" i="19" a="1"/>
  <c r="FR50" i="19" s="1"/>
  <c r="FQ50" i="19" a="1"/>
  <c r="FQ50" i="19" s="1"/>
  <c r="FP50" i="19" a="1"/>
  <c r="FP50" i="19" s="1"/>
  <c r="FO50" i="19" a="1"/>
  <c r="FO50" i="19" s="1"/>
  <c r="FN50" i="19" a="1"/>
  <c r="FN50" i="19" s="1"/>
  <c r="FM50" i="19" a="1"/>
  <c r="FM50" i="19" s="1"/>
  <c r="ES50" i="19" a="1"/>
  <c r="ES50" i="19" s="1"/>
  <c r="DP50" i="19" a="1"/>
  <c r="DP50" i="19" s="1"/>
  <c r="DH50" i="19" a="1"/>
  <c r="DH50" i="19" s="1"/>
  <c r="DB50" i="19" a="1"/>
  <c r="DB50" i="19" s="1"/>
  <c r="DA50" i="19" a="1"/>
  <c r="DA50" i="19" s="1"/>
  <c r="CZ50" i="19" a="1"/>
  <c r="CZ50" i="19" s="1"/>
  <c r="CY50" i="19" a="1"/>
  <c r="CY50" i="19" s="1"/>
  <c r="CX50" i="19" a="1"/>
  <c r="CX50" i="19" s="1"/>
  <c r="CW50" i="19" a="1"/>
  <c r="CW50" i="19" s="1"/>
  <c r="CV50" i="19" a="1"/>
  <c r="CV50" i="19" s="1"/>
  <c r="CU50" i="19" a="1"/>
  <c r="CU50" i="19" s="1"/>
  <c r="CT50" i="19" a="1"/>
  <c r="CT50" i="19" s="1"/>
  <c r="CS50" i="19" a="1"/>
  <c r="CS50" i="19" s="1"/>
  <c r="CR50" i="19" a="1"/>
  <c r="CR50" i="19" s="1"/>
  <c r="CQ50" i="19" a="1"/>
  <c r="CQ50" i="19" s="1"/>
  <c r="CP50" i="19" a="1"/>
  <c r="CP50" i="19" s="1"/>
  <c r="CO50" i="19" a="1"/>
  <c r="CO50" i="19" s="1"/>
  <c r="CN50" i="19" a="1"/>
  <c r="CN50" i="19" s="1"/>
  <c r="CM50" i="19" a="1"/>
  <c r="CM50" i="19" s="1"/>
  <c r="CL50" i="19" a="1"/>
  <c r="CL50" i="19" s="1"/>
  <c r="CK50" i="19" a="1"/>
  <c r="CK50" i="19" s="1"/>
  <c r="CJ50" i="19" a="1"/>
  <c r="CJ50" i="19" s="1"/>
  <c r="CI50" i="19" a="1"/>
  <c r="CI50" i="19" s="1"/>
  <c r="CE50" i="19" l="1" a="1"/>
  <c r="CE50" i="19" s="1"/>
  <c r="CD50" i="19" a="1"/>
  <c r="CD50" i="19" s="1"/>
  <c r="F50" i="19" l="1" a="1"/>
  <c r="F50" i="19" s="1"/>
  <c r="C50" i="19" a="1"/>
  <c r="C50" i="19" s="1"/>
  <c r="B50" i="19" a="1"/>
  <c r="B50" i="19" l="1"/>
  <c r="HH49" i="19" a="1"/>
  <c r="HH49" i="19" s="1"/>
  <c r="HG49" i="19" a="1"/>
  <c r="HG49" i="19" s="1"/>
  <c r="HF49" i="19" a="1"/>
  <c r="HF49" i="19" s="1"/>
  <c r="HE49" i="19" a="1"/>
  <c r="HE49" i="19" s="1"/>
  <c r="HD49" i="19" a="1"/>
  <c r="HD49" i="19" s="1"/>
  <c r="HC49" i="19" a="1"/>
  <c r="HC49" i="19" s="1"/>
  <c r="HB49" i="19" a="1"/>
  <c r="HB49" i="19" s="1"/>
  <c r="HA49" i="19" a="1"/>
  <c r="HA49" i="19" s="1"/>
  <c r="GZ49" i="19" a="1"/>
  <c r="GZ49" i="19" s="1"/>
  <c r="GY49" i="19" a="1"/>
  <c r="GY49" i="19" s="1"/>
  <c r="GX49" i="19" a="1"/>
  <c r="GX49" i="19" s="1"/>
  <c r="GW49" i="19" a="1"/>
  <c r="GW49" i="19" s="1"/>
  <c r="GV49" i="19" a="1"/>
  <c r="GV49" i="19" s="1"/>
  <c r="GU49" i="19" a="1"/>
  <c r="GU49" i="19" s="1"/>
  <c r="GT49" i="19" a="1"/>
  <c r="GT49" i="19" s="1"/>
  <c r="GS49" i="19" a="1"/>
  <c r="GS49" i="19" s="1"/>
  <c r="GR49" i="19" a="1"/>
  <c r="GR49" i="19" s="1"/>
  <c r="GQ49" i="19" a="1"/>
  <c r="GQ49" i="19" s="1"/>
  <c r="GP49" i="19" a="1"/>
  <c r="GP49" i="19" s="1"/>
  <c r="GO49" i="19" a="1"/>
  <c r="GO49" i="19" s="1"/>
  <c r="GN49" i="19" a="1"/>
  <c r="GN49" i="19" s="1"/>
  <c r="GM49" i="19" a="1"/>
  <c r="GM49" i="19" s="1"/>
  <c r="GL49" i="19" a="1"/>
  <c r="GL49" i="19" s="1"/>
  <c r="GK49" i="19" a="1"/>
  <c r="GK49" i="19" s="1"/>
  <c r="GJ49" i="19" a="1"/>
  <c r="GJ49" i="19" s="1"/>
  <c r="GI49" i="19" a="1"/>
  <c r="GI49" i="19" s="1"/>
  <c r="GH49" i="19" a="1"/>
  <c r="GH49" i="19" s="1"/>
  <c r="GG49" i="19" a="1"/>
  <c r="GG49" i="19" s="1"/>
  <c r="GF49" i="19" a="1"/>
  <c r="GF49" i="19" s="1"/>
  <c r="GE49" i="19" a="1"/>
  <c r="GE49" i="19" s="1"/>
  <c r="GD49" i="19" a="1"/>
  <c r="GD49" i="19" s="1"/>
  <c r="GC49" i="19" a="1"/>
  <c r="GC49" i="19" s="1"/>
  <c r="GB49" i="19" a="1"/>
  <c r="GB49" i="19" s="1"/>
  <c r="GA49" i="19" a="1"/>
  <c r="GA49" i="19" s="1"/>
  <c r="FZ49" i="19" a="1"/>
  <c r="FZ49" i="19" s="1"/>
  <c r="FY49" i="19" a="1"/>
  <c r="FY49" i="19" s="1"/>
  <c r="FX49" i="19" a="1"/>
  <c r="FX49" i="19" s="1"/>
  <c r="FW49" i="19" a="1"/>
  <c r="FW49" i="19" s="1"/>
  <c r="FV49" i="19" a="1"/>
  <c r="FV49" i="19" s="1"/>
  <c r="FU49" i="19" a="1"/>
  <c r="FU49" i="19" s="1"/>
  <c r="FT49" i="19" a="1"/>
  <c r="FT49" i="19" s="1"/>
  <c r="FS49" i="19" a="1"/>
  <c r="FS49" i="19" s="1"/>
  <c r="FR49" i="19" a="1"/>
  <c r="FR49" i="19" s="1"/>
  <c r="FQ49" i="19" a="1"/>
  <c r="FQ49" i="19" s="1"/>
  <c r="FP49" i="19" a="1"/>
  <c r="FP49" i="19" s="1"/>
  <c r="FO49" i="19" a="1"/>
  <c r="FO49" i="19" s="1"/>
  <c r="FN49" i="19" a="1"/>
  <c r="FN49" i="19" s="1"/>
  <c r="FM49" i="19" a="1"/>
  <c r="FM49" i="19" s="1"/>
  <c r="ES49" i="19" a="1"/>
  <c r="ES49" i="19" s="1"/>
  <c r="DP49" i="19" a="1"/>
  <c r="DP49" i="19" s="1"/>
  <c r="DH49" i="19" a="1"/>
  <c r="DH49" i="19" s="1"/>
  <c r="DB49" i="19" a="1"/>
  <c r="DB49" i="19" s="1"/>
  <c r="DA49" i="19" a="1"/>
  <c r="DA49" i="19" s="1"/>
  <c r="CZ49" i="19" a="1"/>
  <c r="CZ49" i="19" s="1"/>
  <c r="CY49" i="19" a="1"/>
  <c r="CY49" i="19" s="1"/>
  <c r="CX49" i="19" a="1"/>
  <c r="CX49" i="19" s="1"/>
  <c r="CW49" i="19" a="1"/>
  <c r="CW49" i="19" s="1"/>
  <c r="CV49" i="19" a="1"/>
  <c r="CV49" i="19" s="1"/>
  <c r="CU49" i="19" a="1"/>
  <c r="CU49" i="19" s="1"/>
  <c r="CT49" i="19" a="1"/>
  <c r="CT49" i="19" s="1"/>
  <c r="CS49" i="19" a="1"/>
  <c r="CS49" i="19" s="1"/>
  <c r="CR49" i="19" a="1"/>
  <c r="CR49" i="19" s="1"/>
  <c r="CQ49" i="19" a="1"/>
  <c r="CQ49" i="19" s="1"/>
  <c r="CP49" i="19" a="1"/>
  <c r="CP49" i="19" s="1"/>
  <c r="CO49" i="19" a="1"/>
  <c r="CO49" i="19" s="1"/>
  <c r="CN49" i="19" a="1"/>
  <c r="CN49" i="19" s="1"/>
  <c r="CM49" i="19" a="1"/>
  <c r="CM49" i="19" s="1"/>
  <c r="CL49" i="19" a="1"/>
  <c r="CL49" i="19" s="1"/>
  <c r="CK49" i="19" a="1"/>
  <c r="CK49" i="19" s="1"/>
  <c r="CJ49" i="19" a="1"/>
  <c r="CJ49" i="19" s="1"/>
  <c r="CI49" i="19" a="1"/>
  <c r="CI49" i="19" s="1"/>
  <c r="CE49" i="19" l="1" a="1"/>
  <c r="CE49" i="19" s="1"/>
  <c r="CD49" i="19" a="1"/>
  <c r="CD49" i="19" s="1"/>
  <c r="F49" i="19" l="1" a="1"/>
  <c r="F49" i="19" s="1"/>
  <c r="C49" i="19" a="1"/>
  <c r="C49" i="19" s="1"/>
  <c r="B49" i="19" a="1"/>
  <c r="B49" i="19" l="1"/>
  <c r="HH48" i="19" a="1"/>
  <c r="HH48" i="19" s="1"/>
  <c r="HG48" i="19" a="1"/>
  <c r="HG48" i="19" s="1"/>
  <c r="HF48" i="19" a="1"/>
  <c r="HF48" i="19" s="1"/>
  <c r="HE48" i="19" a="1"/>
  <c r="HE48" i="19" s="1"/>
  <c r="HD48" i="19" a="1"/>
  <c r="HD48" i="19" s="1"/>
  <c r="HC48" i="19" a="1"/>
  <c r="HC48" i="19" s="1"/>
  <c r="HB48" i="19" a="1"/>
  <c r="HB48" i="19" s="1"/>
  <c r="HA48" i="19" a="1"/>
  <c r="HA48" i="19" s="1"/>
  <c r="GZ48" i="19" a="1"/>
  <c r="GZ48" i="19" s="1"/>
  <c r="GY48" i="19" a="1"/>
  <c r="GY48" i="19" s="1"/>
  <c r="GX48" i="19" a="1"/>
  <c r="GX48" i="19" s="1"/>
  <c r="GW48" i="19" a="1"/>
  <c r="GW48" i="19" s="1"/>
  <c r="GV48" i="19" a="1"/>
  <c r="GV48" i="19" s="1"/>
  <c r="GU48" i="19" a="1"/>
  <c r="GU48" i="19" s="1"/>
  <c r="GT48" i="19" a="1"/>
  <c r="GT48" i="19" s="1"/>
  <c r="GS48" i="19" a="1"/>
  <c r="GS48" i="19" s="1"/>
  <c r="GR48" i="19" a="1"/>
  <c r="GR48" i="19" s="1"/>
  <c r="GQ48" i="19" a="1"/>
  <c r="GQ48" i="19" s="1"/>
  <c r="GP48" i="19" a="1"/>
  <c r="GP48" i="19" s="1"/>
  <c r="GO48" i="19" a="1"/>
  <c r="GO48" i="19" s="1"/>
  <c r="GN48" i="19" a="1"/>
  <c r="GN48" i="19" s="1"/>
  <c r="GM48" i="19" a="1"/>
  <c r="GM48" i="19" s="1"/>
  <c r="GL48" i="19" a="1"/>
  <c r="GL48" i="19" s="1"/>
  <c r="GK48" i="19" a="1"/>
  <c r="GK48" i="19" s="1"/>
  <c r="GJ48" i="19" a="1"/>
  <c r="GJ48" i="19" s="1"/>
  <c r="GI48" i="19" a="1"/>
  <c r="GI48" i="19" s="1"/>
  <c r="GH48" i="19" a="1"/>
  <c r="GH48" i="19" s="1"/>
  <c r="GG48" i="19" a="1"/>
  <c r="GG48" i="19" s="1"/>
  <c r="GF48" i="19" a="1"/>
  <c r="GF48" i="19" s="1"/>
  <c r="GE48" i="19" a="1"/>
  <c r="GE48" i="19" s="1"/>
  <c r="GD48" i="19" a="1"/>
  <c r="GD48" i="19" s="1"/>
  <c r="GC48" i="19" a="1"/>
  <c r="GC48" i="19" s="1"/>
  <c r="GB48" i="19" a="1"/>
  <c r="GB48" i="19" s="1"/>
  <c r="GA48" i="19" a="1"/>
  <c r="GA48" i="19" s="1"/>
  <c r="FZ48" i="19" a="1"/>
  <c r="FZ48" i="19" s="1"/>
  <c r="FY48" i="19" a="1"/>
  <c r="FY48" i="19" s="1"/>
  <c r="FX48" i="19" a="1"/>
  <c r="FX48" i="19" s="1"/>
  <c r="FW48" i="19" a="1"/>
  <c r="FW48" i="19" s="1"/>
  <c r="FV48" i="19" a="1"/>
  <c r="FV48" i="19" s="1"/>
  <c r="FU48" i="19" a="1"/>
  <c r="FU48" i="19" s="1"/>
  <c r="FT48" i="19" a="1"/>
  <c r="FT48" i="19" s="1"/>
  <c r="FS48" i="19" a="1"/>
  <c r="FS48" i="19" s="1"/>
  <c r="FR48" i="19" a="1"/>
  <c r="FR48" i="19" s="1"/>
  <c r="FQ48" i="19" a="1"/>
  <c r="FQ48" i="19" s="1"/>
  <c r="FP48" i="19" a="1"/>
  <c r="FP48" i="19" s="1"/>
  <c r="FO48" i="19" a="1"/>
  <c r="FO48" i="19" s="1"/>
  <c r="FN48" i="19" a="1"/>
  <c r="FN48" i="19" s="1"/>
  <c r="FM48" i="19" a="1"/>
  <c r="FM48" i="19" s="1"/>
  <c r="ES48" i="19" a="1"/>
  <c r="ES48" i="19" s="1"/>
  <c r="DP48" i="19" a="1"/>
  <c r="DP48" i="19" s="1"/>
  <c r="DH48" i="19" a="1"/>
  <c r="DH48" i="19" s="1"/>
  <c r="DB48" i="19" a="1"/>
  <c r="DB48" i="19" s="1"/>
  <c r="DA48" i="19" a="1"/>
  <c r="DA48" i="19" s="1"/>
  <c r="CZ48" i="19" a="1"/>
  <c r="CZ48" i="19" s="1"/>
  <c r="CY48" i="19" a="1"/>
  <c r="CY48" i="19" s="1"/>
  <c r="CX48" i="19" a="1"/>
  <c r="CX48" i="19" s="1"/>
  <c r="CW48" i="19" a="1"/>
  <c r="CW48" i="19" s="1"/>
  <c r="CV48" i="19" a="1"/>
  <c r="CV48" i="19" s="1"/>
  <c r="CU48" i="19" a="1"/>
  <c r="CU48" i="19" s="1"/>
  <c r="CT48" i="19" a="1"/>
  <c r="CT48" i="19" s="1"/>
  <c r="CS48" i="19" a="1"/>
  <c r="CS48" i="19" s="1"/>
  <c r="CR48" i="19" a="1"/>
  <c r="CR48" i="19" s="1"/>
  <c r="CQ48" i="19" a="1"/>
  <c r="CQ48" i="19" s="1"/>
  <c r="CP48" i="19" a="1"/>
  <c r="CP48" i="19" s="1"/>
  <c r="CO48" i="19" a="1"/>
  <c r="CO48" i="19" s="1"/>
  <c r="CN48" i="19" a="1"/>
  <c r="CN48" i="19" s="1"/>
  <c r="CM48" i="19" a="1"/>
  <c r="CM48" i="19" s="1"/>
  <c r="CL48" i="19" a="1"/>
  <c r="CL48" i="19" s="1"/>
  <c r="CK48" i="19" a="1"/>
  <c r="CK48" i="19" s="1"/>
  <c r="CJ48" i="19" a="1"/>
  <c r="CJ48" i="19" s="1"/>
  <c r="CI48" i="19" a="1"/>
  <c r="CI48" i="19" s="1"/>
  <c r="CE48" i="19" l="1" a="1"/>
  <c r="CE48" i="19" s="1"/>
  <c r="CD48" i="19" a="1"/>
  <c r="CD48" i="19" s="1"/>
  <c r="F48" i="19" l="1" a="1"/>
  <c r="F48" i="19" s="1"/>
  <c r="C48" i="19" a="1"/>
  <c r="C48" i="19" s="1"/>
  <c r="B48" i="19" a="1"/>
  <c r="B48" i="19" l="1"/>
  <c r="HH47" i="19" a="1"/>
  <c r="HH47" i="19" s="1"/>
  <c r="HG47" i="19" a="1"/>
  <c r="HG47" i="19" s="1"/>
  <c r="HF47" i="19" a="1"/>
  <c r="HF47" i="19" s="1"/>
  <c r="HE47" i="19" a="1"/>
  <c r="HE47" i="19" s="1"/>
  <c r="HD47" i="19" a="1"/>
  <c r="HD47" i="19" s="1"/>
  <c r="HC47" i="19" a="1"/>
  <c r="HC47" i="19" s="1"/>
  <c r="HB47" i="19" a="1"/>
  <c r="HB47" i="19" s="1"/>
  <c r="HA47" i="19" a="1"/>
  <c r="HA47" i="19" s="1"/>
  <c r="GZ47" i="19" a="1"/>
  <c r="GZ47" i="19" s="1"/>
  <c r="GY47" i="19" a="1"/>
  <c r="GY47" i="19" s="1"/>
  <c r="GX47" i="19" a="1"/>
  <c r="GX47" i="19" s="1"/>
  <c r="GW47" i="19" a="1"/>
  <c r="GW47" i="19" s="1"/>
  <c r="GV47" i="19" a="1"/>
  <c r="GV47" i="19" s="1"/>
  <c r="GU47" i="19" a="1"/>
  <c r="GU47" i="19" s="1"/>
  <c r="GT47" i="19" a="1"/>
  <c r="GT47" i="19" s="1"/>
  <c r="GS47" i="19" a="1"/>
  <c r="GS47" i="19" s="1"/>
  <c r="GR47" i="19" a="1"/>
  <c r="GR47" i="19" s="1"/>
  <c r="GQ47" i="19" a="1"/>
  <c r="GQ47" i="19" s="1"/>
  <c r="GP47" i="19" a="1"/>
  <c r="GP47" i="19" s="1"/>
  <c r="GO47" i="19" a="1"/>
  <c r="GO47" i="19" s="1"/>
  <c r="GN47" i="19" a="1"/>
  <c r="GN47" i="19" s="1"/>
  <c r="GM47" i="19" a="1"/>
  <c r="GM47" i="19" s="1"/>
  <c r="GL47" i="19" a="1"/>
  <c r="GL47" i="19" s="1"/>
  <c r="GK47" i="19" a="1"/>
  <c r="GK47" i="19" s="1"/>
  <c r="GJ47" i="19" a="1"/>
  <c r="GJ47" i="19" s="1"/>
  <c r="GI47" i="19" a="1"/>
  <c r="GI47" i="19" s="1"/>
  <c r="GH47" i="19" a="1"/>
  <c r="GH47" i="19" s="1"/>
  <c r="GG47" i="19" a="1"/>
  <c r="GG47" i="19" s="1"/>
  <c r="GF47" i="19" a="1"/>
  <c r="GF47" i="19" s="1"/>
  <c r="GE47" i="19" a="1"/>
  <c r="GE47" i="19" s="1"/>
  <c r="GD47" i="19" a="1"/>
  <c r="GD47" i="19" s="1"/>
  <c r="GC47" i="19" a="1"/>
  <c r="GC47" i="19" s="1"/>
  <c r="GB47" i="19" a="1"/>
  <c r="GB47" i="19" s="1"/>
  <c r="GA47" i="19" a="1"/>
  <c r="GA47" i="19" s="1"/>
  <c r="FZ47" i="19" a="1"/>
  <c r="FZ47" i="19" s="1"/>
  <c r="FY47" i="19" a="1"/>
  <c r="FY47" i="19" s="1"/>
  <c r="FX47" i="19" a="1"/>
  <c r="FX47" i="19" s="1"/>
  <c r="FW47" i="19" a="1"/>
  <c r="FW47" i="19" s="1"/>
  <c r="FV47" i="19" a="1"/>
  <c r="FV47" i="19" s="1"/>
  <c r="FU47" i="19" a="1"/>
  <c r="FU47" i="19" s="1"/>
  <c r="FT47" i="19" a="1"/>
  <c r="FT47" i="19" s="1"/>
  <c r="FS47" i="19" a="1"/>
  <c r="FS47" i="19" s="1"/>
  <c r="FR47" i="19" a="1"/>
  <c r="FR47" i="19" s="1"/>
  <c r="FQ47" i="19" a="1"/>
  <c r="FQ47" i="19" s="1"/>
  <c r="FP47" i="19" a="1"/>
  <c r="FP47" i="19" s="1"/>
  <c r="FO47" i="19" a="1"/>
  <c r="FO47" i="19" s="1"/>
  <c r="FN47" i="19" a="1"/>
  <c r="FN47" i="19" s="1"/>
  <c r="FM47" i="19" a="1"/>
  <c r="FM47" i="19" s="1"/>
  <c r="ES47" i="19" a="1"/>
  <c r="ES47" i="19" s="1"/>
  <c r="DP47" i="19" a="1"/>
  <c r="DP47" i="19" s="1"/>
  <c r="DH47" i="19" a="1"/>
  <c r="DH47" i="19" s="1"/>
  <c r="DB47" i="19" a="1"/>
  <c r="DB47" i="19" s="1"/>
  <c r="DA47" i="19" a="1"/>
  <c r="DA47" i="19" s="1"/>
  <c r="CZ47" i="19" a="1"/>
  <c r="CZ47" i="19" s="1"/>
  <c r="CY47" i="19" a="1"/>
  <c r="CY47" i="19" s="1"/>
  <c r="CX47" i="19" a="1"/>
  <c r="CX47" i="19" s="1"/>
  <c r="CW47" i="19" a="1"/>
  <c r="CW47" i="19" s="1"/>
  <c r="CV47" i="19" a="1"/>
  <c r="CV47" i="19" s="1"/>
  <c r="CU47" i="19" a="1"/>
  <c r="CU47" i="19" s="1"/>
  <c r="CT47" i="19" a="1"/>
  <c r="CT47" i="19" s="1"/>
  <c r="CS47" i="19" a="1"/>
  <c r="CS47" i="19" s="1"/>
  <c r="CR47" i="19" a="1"/>
  <c r="CR47" i="19" s="1"/>
  <c r="CQ47" i="19" a="1"/>
  <c r="CQ47" i="19" s="1"/>
  <c r="CP47" i="19" a="1"/>
  <c r="CP47" i="19" s="1"/>
  <c r="CO47" i="19" a="1"/>
  <c r="CO47" i="19" s="1"/>
  <c r="CN47" i="19" a="1"/>
  <c r="CN47" i="19" s="1"/>
  <c r="CM47" i="19" a="1"/>
  <c r="CM47" i="19" s="1"/>
  <c r="CL47" i="19" a="1"/>
  <c r="CL47" i="19" s="1"/>
  <c r="CK47" i="19" a="1"/>
  <c r="CK47" i="19" s="1"/>
  <c r="CJ47" i="19" a="1"/>
  <c r="CJ47" i="19" s="1"/>
  <c r="CI47" i="19" a="1"/>
  <c r="CI47" i="19" s="1"/>
  <c r="CE47" i="19" l="1" a="1"/>
  <c r="CE47" i="19" s="1"/>
  <c r="CD47" i="19" a="1"/>
  <c r="CD47" i="19" s="1"/>
  <c r="F47" i="19" l="1" a="1"/>
  <c r="F47" i="19" s="1"/>
  <c r="C47" i="19" a="1"/>
  <c r="C47" i="19" s="1"/>
  <c r="B47" i="19" a="1"/>
  <c r="B47" i="19" l="1"/>
  <c r="HH46" i="19" a="1"/>
  <c r="HH46" i="19" s="1"/>
  <c r="HG46" i="19" a="1"/>
  <c r="HG46" i="19" s="1"/>
  <c r="HF46" i="19" a="1"/>
  <c r="HF46" i="19" s="1"/>
  <c r="HE46" i="19" a="1"/>
  <c r="HE46" i="19" s="1"/>
  <c r="HD46" i="19" a="1"/>
  <c r="HD46" i="19" s="1"/>
  <c r="HC46" i="19" a="1"/>
  <c r="HC46" i="19" s="1"/>
  <c r="HB46" i="19" a="1"/>
  <c r="HB46" i="19" s="1"/>
  <c r="HA46" i="19" a="1"/>
  <c r="HA46" i="19" s="1"/>
  <c r="GZ46" i="19" a="1"/>
  <c r="GZ46" i="19" s="1"/>
  <c r="GY46" i="19" a="1"/>
  <c r="GY46" i="19" s="1"/>
  <c r="GX46" i="19" a="1"/>
  <c r="GX46" i="19" s="1"/>
  <c r="GW46" i="19" a="1"/>
  <c r="GW46" i="19" s="1"/>
  <c r="GV46" i="19" a="1"/>
  <c r="GV46" i="19" s="1"/>
  <c r="GU46" i="19" a="1"/>
  <c r="GU46" i="19" s="1"/>
  <c r="GT46" i="19" a="1"/>
  <c r="GT46" i="19" s="1"/>
  <c r="GS46" i="19" a="1"/>
  <c r="GS46" i="19" s="1"/>
  <c r="GR46" i="19" a="1"/>
  <c r="GR46" i="19" s="1"/>
  <c r="GQ46" i="19" a="1"/>
  <c r="GQ46" i="19" s="1"/>
  <c r="GP46" i="19" a="1"/>
  <c r="GP46" i="19" s="1"/>
  <c r="GO46" i="19" a="1"/>
  <c r="GO46" i="19" s="1"/>
  <c r="GN46" i="19" a="1"/>
  <c r="GN46" i="19" s="1"/>
  <c r="GM46" i="19" a="1"/>
  <c r="GM46" i="19" s="1"/>
  <c r="GL46" i="19" a="1"/>
  <c r="GL46" i="19" s="1"/>
  <c r="GK46" i="19" a="1"/>
  <c r="GK46" i="19" s="1"/>
  <c r="GJ46" i="19" a="1"/>
  <c r="GJ46" i="19" s="1"/>
  <c r="GI46" i="19" a="1"/>
  <c r="GI46" i="19" s="1"/>
  <c r="GH46" i="19" a="1"/>
  <c r="GH46" i="19" s="1"/>
  <c r="GG46" i="19" a="1"/>
  <c r="GG46" i="19" s="1"/>
  <c r="GF46" i="19" a="1"/>
  <c r="GF46" i="19" s="1"/>
  <c r="GE46" i="19" a="1"/>
  <c r="GE46" i="19" s="1"/>
  <c r="GD46" i="19" a="1"/>
  <c r="GD46" i="19" s="1"/>
  <c r="GC46" i="19" a="1"/>
  <c r="GC46" i="19" s="1"/>
  <c r="GB46" i="19" a="1"/>
  <c r="GB46" i="19" s="1"/>
  <c r="GA46" i="19" a="1"/>
  <c r="GA46" i="19" s="1"/>
  <c r="FZ46" i="19" a="1"/>
  <c r="FZ46" i="19" s="1"/>
  <c r="FY46" i="19" a="1"/>
  <c r="FY46" i="19" s="1"/>
  <c r="FX46" i="19" a="1"/>
  <c r="FX46" i="19" s="1"/>
  <c r="FW46" i="19" a="1"/>
  <c r="FW46" i="19" s="1"/>
  <c r="FV46" i="19" a="1"/>
  <c r="FV46" i="19" s="1"/>
  <c r="FU46" i="19" a="1"/>
  <c r="FU46" i="19" s="1"/>
  <c r="FT46" i="19" a="1"/>
  <c r="FT46" i="19" s="1"/>
  <c r="FS46" i="19" a="1"/>
  <c r="FS46" i="19" s="1"/>
  <c r="FR46" i="19" a="1"/>
  <c r="FR46" i="19" s="1"/>
  <c r="FQ46" i="19" a="1"/>
  <c r="FQ46" i="19" s="1"/>
  <c r="FP46" i="19" a="1"/>
  <c r="FP46" i="19" s="1"/>
  <c r="FO46" i="19" a="1"/>
  <c r="FO46" i="19" s="1"/>
  <c r="FN46" i="19" a="1"/>
  <c r="FN46" i="19" s="1"/>
  <c r="FM46" i="19" a="1"/>
  <c r="FM46" i="19" s="1"/>
  <c r="ES46" i="19" a="1"/>
  <c r="ES46" i="19" s="1"/>
  <c r="DP46" i="19" a="1"/>
  <c r="DP46" i="19" s="1"/>
  <c r="DH46" i="19" a="1"/>
  <c r="DH46" i="19" s="1"/>
  <c r="DB46" i="19" a="1"/>
  <c r="DB46" i="19" s="1"/>
  <c r="DA46" i="19" a="1"/>
  <c r="DA46" i="19" s="1"/>
  <c r="CZ46" i="19" a="1"/>
  <c r="CZ46" i="19" s="1"/>
  <c r="CY46" i="19" a="1"/>
  <c r="CY46" i="19" s="1"/>
  <c r="CX46" i="19" a="1"/>
  <c r="CX46" i="19" s="1"/>
  <c r="CW46" i="19" a="1"/>
  <c r="CW46" i="19" s="1"/>
  <c r="CV46" i="19" a="1"/>
  <c r="CV46" i="19" s="1"/>
  <c r="CU46" i="19" a="1"/>
  <c r="CU46" i="19" s="1"/>
  <c r="CT46" i="19" a="1"/>
  <c r="CT46" i="19" s="1"/>
  <c r="CS46" i="19" a="1"/>
  <c r="CS46" i="19" s="1"/>
  <c r="CR46" i="19" a="1"/>
  <c r="CR46" i="19" s="1"/>
  <c r="CQ46" i="19" a="1"/>
  <c r="CQ46" i="19" s="1"/>
  <c r="CP46" i="19" a="1"/>
  <c r="CP46" i="19" s="1"/>
  <c r="CO46" i="19" a="1"/>
  <c r="CO46" i="19" s="1"/>
  <c r="CN46" i="19" a="1"/>
  <c r="CN46" i="19" s="1"/>
  <c r="CM46" i="19" a="1"/>
  <c r="CM46" i="19" s="1"/>
  <c r="CL46" i="19" a="1"/>
  <c r="CL46" i="19" s="1"/>
  <c r="CK46" i="19" a="1"/>
  <c r="CK46" i="19" s="1"/>
  <c r="CJ46" i="19" a="1"/>
  <c r="CJ46" i="19" s="1"/>
  <c r="CI46" i="19" a="1"/>
  <c r="CI46" i="19" s="1"/>
  <c r="CE46" i="19" l="1" a="1"/>
  <c r="CE46" i="19" s="1"/>
  <c r="CD46" i="19" a="1"/>
  <c r="CD46" i="19" s="1"/>
  <c r="F46" i="19" l="1" a="1"/>
  <c r="F46" i="19" s="1"/>
  <c r="C46" i="19" a="1"/>
  <c r="C46" i="19" s="1"/>
  <c r="B46" i="19" a="1"/>
  <c r="B46" i="19" l="1"/>
  <c r="HH45" i="19" a="1"/>
  <c r="HH45" i="19" s="1"/>
  <c r="HG45" i="19" a="1"/>
  <c r="HG45" i="19" s="1"/>
  <c r="HF45" i="19" a="1"/>
  <c r="HF45" i="19" s="1"/>
  <c r="HE45" i="19" a="1"/>
  <c r="HE45" i="19" s="1"/>
  <c r="HD45" i="19" a="1"/>
  <c r="HD45" i="19" s="1"/>
  <c r="HC45" i="19" a="1"/>
  <c r="HC45" i="19" s="1"/>
  <c r="HB45" i="19" a="1"/>
  <c r="HB45" i="19" s="1"/>
  <c r="HA45" i="19" a="1"/>
  <c r="HA45" i="19" s="1"/>
  <c r="GZ45" i="19" a="1"/>
  <c r="GZ45" i="19" s="1"/>
  <c r="GY45" i="19" a="1"/>
  <c r="GY45" i="19" s="1"/>
  <c r="GX45" i="19" a="1"/>
  <c r="GX45" i="19" s="1"/>
  <c r="GW45" i="19" a="1"/>
  <c r="GW45" i="19" s="1"/>
  <c r="GV45" i="19" a="1"/>
  <c r="GV45" i="19" s="1"/>
  <c r="GU45" i="19" a="1"/>
  <c r="GU45" i="19" s="1"/>
  <c r="GT45" i="19" a="1"/>
  <c r="GT45" i="19" s="1"/>
  <c r="GS45" i="19" a="1"/>
  <c r="GS45" i="19" s="1"/>
  <c r="GR45" i="19" a="1"/>
  <c r="GR45" i="19" s="1"/>
  <c r="GQ45" i="19" a="1"/>
  <c r="GQ45" i="19" s="1"/>
  <c r="GP45" i="19" a="1"/>
  <c r="GP45" i="19" s="1"/>
  <c r="GO45" i="19" a="1"/>
  <c r="GO45" i="19" s="1"/>
  <c r="GN45" i="19" a="1"/>
  <c r="GN45" i="19" s="1"/>
  <c r="GM45" i="19" a="1"/>
  <c r="GM45" i="19" s="1"/>
  <c r="GL45" i="19" a="1"/>
  <c r="GL45" i="19" s="1"/>
  <c r="GK45" i="19" a="1"/>
  <c r="GK45" i="19" s="1"/>
  <c r="GJ45" i="19" a="1"/>
  <c r="GJ45" i="19" s="1"/>
  <c r="GI45" i="19" a="1"/>
  <c r="GI45" i="19" s="1"/>
  <c r="GH45" i="19" a="1"/>
  <c r="GH45" i="19" s="1"/>
  <c r="GG45" i="19" a="1"/>
  <c r="GG45" i="19" s="1"/>
  <c r="GF45" i="19" a="1"/>
  <c r="GF45" i="19" s="1"/>
  <c r="GE45" i="19" a="1"/>
  <c r="GE45" i="19" s="1"/>
  <c r="GD45" i="19" a="1"/>
  <c r="GD45" i="19" s="1"/>
  <c r="GC45" i="19" a="1"/>
  <c r="GC45" i="19" s="1"/>
  <c r="GB45" i="19" a="1"/>
  <c r="GB45" i="19" s="1"/>
  <c r="GA45" i="19" a="1"/>
  <c r="GA45" i="19" s="1"/>
  <c r="FZ45" i="19" a="1"/>
  <c r="FZ45" i="19" s="1"/>
  <c r="FY45" i="19" a="1"/>
  <c r="FY45" i="19" s="1"/>
  <c r="FX45" i="19" a="1"/>
  <c r="FX45" i="19" s="1"/>
  <c r="FW45" i="19" a="1"/>
  <c r="FW45" i="19" s="1"/>
  <c r="FV45" i="19" a="1"/>
  <c r="FV45" i="19" s="1"/>
  <c r="FU45" i="19" a="1"/>
  <c r="FU45" i="19" s="1"/>
  <c r="FT45" i="19" a="1"/>
  <c r="FT45" i="19" s="1"/>
  <c r="FS45" i="19" a="1"/>
  <c r="FS45" i="19" s="1"/>
  <c r="FR45" i="19" a="1"/>
  <c r="FR45" i="19" s="1"/>
  <c r="FQ45" i="19" a="1"/>
  <c r="FQ45" i="19" s="1"/>
  <c r="FP45" i="19" a="1"/>
  <c r="FP45" i="19" s="1"/>
  <c r="FO45" i="19" a="1"/>
  <c r="FO45" i="19" s="1"/>
  <c r="FN45" i="19" a="1"/>
  <c r="FN45" i="19" s="1"/>
  <c r="FM45" i="19" a="1"/>
  <c r="FM45" i="19" s="1"/>
  <c r="ES45" i="19" a="1"/>
  <c r="ES45" i="19" s="1"/>
  <c r="DP45" i="19" a="1"/>
  <c r="DP45" i="19" s="1"/>
  <c r="DH45" i="19" a="1"/>
  <c r="DH45" i="19" s="1"/>
  <c r="DB45" i="19" a="1"/>
  <c r="DB45" i="19" s="1"/>
  <c r="DA45" i="19" a="1"/>
  <c r="DA45" i="19" s="1"/>
  <c r="CZ45" i="19" a="1"/>
  <c r="CZ45" i="19" s="1"/>
  <c r="CY45" i="19" a="1"/>
  <c r="CY45" i="19" s="1"/>
  <c r="CX45" i="19" a="1"/>
  <c r="CX45" i="19" s="1"/>
  <c r="CW45" i="19" a="1"/>
  <c r="CW45" i="19" s="1"/>
  <c r="CV45" i="19" a="1"/>
  <c r="CV45" i="19" s="1"/>
  <c r="CU45" i="19" a="1"/>
  <c r="CU45" i="19" s="1"/>
  <c r="CT45" i="19" a="1"/>
  <c r="CT45" i="19" s="1"/>
  <c r="CS45" i="19" a="1"/>
  <c r="CS45" i="19" s="1"/>
  <c r="CR45" i="19" a="1"/>
  <c r="CR45" i="19" s="1"/>
  <c r="CQ45" i="19" a="1"/>
  <c r="CQ45" i="19" s="1"/>
  <c r="CP45" i="19" a="1"/>
  <c r="CP45" i="19" s="1"/>
  <c r="CO45" i="19" a="1"/>
  <c r="CO45" i="19" s="1"/>
  <c r="CN45" i="19" a="1"/>
  <c r="CN45" i="19" s="1"/>
  <c r="CM45" i="19" a="1"/>
  <c r="CM45" i="19" s="1"/>
  <c r="CL45" i="19" a="1"/>
  <c r="CL45" i="19" s="1"/>
  <c r="CK45" i="19" a="1"/>
  <c r="CK45" i="19" s="1"/>
  <c r="CJ45" i="19" a="1"/>
  <c r="CJ45" i="19" s="1"/>
  <c r="CI45" i="19" a="1"/>
  <c r="CI45" i="19" s="1"/>
  <c r="CE45" i="19" l="1" a="1"/>
  <c r="CE45" i="19" s="1"/>
  <c r="CD45" i="19" a="1"/>
  <c r="CD45" i="19" s="1"/>
  <c r="F45" i="19" l="1" a="1"/>
  <c r="F45" i="19" s="1"/>
  <c r="C45" i="19" a="1"/>
  <c r="C45" i="19" s="1"/>
  <c r="B45" i="19" a="1"/>
  <c r="B45" i="19" l="1"/>
  <c r="HH44" i="19" a="1"/>
  <c r="HH44" i="19" s="1"/>
  <c r="HG44" i="19" a="1"/>
  <c r="HG44" i="19" s="1"/>
  <c r="HF44" i="19" a="1"/>
  <c r="HF44" i="19" s="1"/>
  <c r="HE44" i="19" a="1"/>
  <c r="HE44" i="19" s="1"/>
  <c r="HD44" i="19" a="1"/>
  <c r="HD44" i="19" s="1"/>
  <c r="HC44" i="19" a="1"/>
  <c r="HC44" i="19" s="1"/>
  <c r="HB44" i="19" a="1"/>
  <c r="HB44" i="19" s="1"/>
  <c r="HA44" i="19" a="1"/>
  <c r="HA44" i="19" s="1"/>
  <c r="GZ44" i="19" a="1"/>
  <c r="GZ44" i="19" s="1"/>
  <c r="GY44" i="19" a="1"/>
  <c r="GY44" i="19" s="1"/>
  <c r="GX44" i="19" a="1"/>
  <c r="GX44" i="19" s="1"/>
  <c r="GW44" i="19" a="1"/>
  <c r="GW44" i="19" s="1"/>
  <c r="GV44" i="19" a="1"/>
  <c r="GV44" i="19" s="1"/>
  <c r="GU44" i="19" a="1"/>
  <c r="GU44" i="19" s="1"/>
  <c r="GT44" i="19" a="1"/>
  <c r="GT44" i="19" s="1"/>
  <c r="GS44" i="19" a="1"/>
  <c r="GS44" i="19" s="1"/>
  <c r="GR44" i="19" a="1"/>
  <c r="GR44" i="19" s="1"/>
  <c r="GQ44" i="19" a="1"/>
  <c r="GQ44" i="19" s="1"/>
  <c r="GP44" i="19" a="1"/>
  <c r="GP44" i="19" s="1"/>
  <c r="GO44" i="19" a="1"/>
  <c r="GO44" i="19" s="1"/>
  <c r="GN44" i="19" a="1"/>
  <c r="GN44" i="19" s="1"/>
  <c r="GM44" i="19" a="1"/>
  <c r="GM44" i="19" s="1"/>
  <c r="GL44" i="19" a="1"/>
  <c r="GL44" i="19" s="1"/>
  <c r="GK44" i="19" a="1"/>
  <c r="GK44" i="19" s="1"/>
  <c r="GJ44" i="19" a="1"/>
  <c r="GJ44" i="19" s="1"/>
  <c r="GI44" i="19" a="1"/>
  <c r="GI44" i="19" s="1"/>
  <c r="GH44" i="19" a="1"/>
  <c r="GH44" i="19" s="1"/>
  <c r="GG44" i="19" a="1"/>
  <c r="GG44" i="19" s="1"/>
  <c r="GF44" i="19" a="1"/>
  <c r="GF44" i="19" s="1"/>
  <c r="GE44" i="19" a="1"/>
  <c r="GE44" i="19" s="1"/>
  <c r="GD44" i="19" a="1"/>
  <c r="GD44" i="19" s="1"/>
  <c r="GC44" i="19" a="1"/>
  <c r="GC44" i="19" s="1"/>
  <c r="GB44" i="19" a="1"/>
  <c r="GB44" i="19" s="1"/>
  <c r="GA44" i="19" a="1"/>
  <c r="GA44" i="19" s="1"/>
  <c r="FZ44" i="19" a="1"/>
  <c r="FZ44" i="19" s="1"/>
  <c r="FY44" i="19" a="1"/>
  <c r="FY44" i="19" s="1"/>
  <c r="FX44" i="19" a="1"/>
  <c r="FX44" i="19" s="1"/>
  <c r="FW44" i="19" a="1"/>
  <c r="FW44" i="19" s="1"/>
  <c r="FV44" i="19" a="1"/>
  <c r="FV44" i="19" s="1"/>
  <c r="FU44" i="19" a="1"/>
  <c r="FU44" i="19" s="1"/>
  <c r="FT44" i="19" a="1"/>
  <c r="FT44" i="19" s="1"/>
  <c r="FS44" i="19" a="1"/>
  <c r="FS44" i="19" s="1"/>
  <c r="FR44" i="19" a="1"/>
  <c r="FR44" i="19" s="1"/>
  <c r="FQ44" i="19" a="1"/>
  <c r="FQ44" i="19" s="1"/>
  <c r="FP44" i="19" a="1"/>
  <c r="FP44" i="19" s="1"/>
  <c r="FO44" i="19" a="1"/>
  <c r="FO44" i="19" s="1"/>
  <c r="FN44" i="19" a="1"/>
  <c r="FN44" i="19" s="1"/>
  <c r="FM44" i="19" a="1"/>
  <c r="FM44" i="19" s="1"/>
  <c r="ES44" i="19" a="1"/>
  <c r="ES44" i="19" s="1"/>
  <c r="DP44" i="19" a="1"/>
  <c r="DP44" i="19" s="1"/>
  <c r="DH44" i="19" a="1"/>
  <c r="DH44" i="19" s="1"/>
  <c r="DB44" i="19" a="1"/>
  <c r="DB44" i="19" s="1"/>
  <c r="DA44" i="19" a="1"/>
  <c r="DA44" i="19" s="1"/>
  <c r="CZ44" i="19" a="1"/>
  <c r="CZ44" i="19" s="1"/>
  <c r="CY44" i="19" a="1"/>
  <c r="CY44" i="19" s="1"/>
  <c r="CX44" i="19" a="1"/>
  <c r="CX44" i="19" s="1"/>
  <c r="CW44" i="19" a="1"/>
  <c r="CW44" i="19" s="1"/>
  <c r="CV44" i="19" a="1"/>
  <c r="CV44" i="19" s="1"/>
  <c r="CU44" i="19" a="1"/>
  <c r="CU44" i="19" s="1"/>
  <c r="CT44" i="19" a="1"/>
  <c r="CT44" i="19" s="1"/>
  <c r="CS44" i="19" a="1"/>
  <c r="CS44" i="19" s="1"/>
  <c r="CR44" i="19" a="1"/>
  <c r="CR44" i="19" s="1"/>
  <c r="CQ44" i="19" a="1"/>
  <c r="CQ44" i="19" s="1"/>
  <c r="CP44" i="19" a="1"/>
  <c r="CP44" i="19" s="1"/>
  <c r="CO44" i="19" a="1"/>
  <c r="CO44" i="19" s="1"/>
  <c r="CN44" i="19" a="1"/>
  <c r="CN44" i="19" s="1"/>
  <c r="CM44" i="19" a="1"/>
  <c r="CM44" i="19" s="1"/>
  <c r="CL44" i="19" a="1"/>
  <c r="CL44" i="19" s="1"/>
  <c r="CK44" i="19" a="1"/>
  <c r="CK44" i="19" s="1"/>
  <c r="CJ44" i="19" a="1"/>
  <c r="CJ44" i="19" s="1"/>
  <c r="CI44" i="19" a="1"/>
  <c r="CI44" i="19" s="1"/>
  <c r="CE44" i="19" l="1" a="1"/>
  <c r="CE44" i="19" s="1"/>
  <c r="CD44" i="19" a="1"/>
  <c r="CD44" i="19" s="1"/>
  <c r="F44" i="19" l="1" a="1"/>
  <c r="F44" i="19" s="1"/>
  <c r="C44" i="19" a="1"/>
  <c r="C44" i="19" s="1"/>
  <c r="B44" i="19" a="1"/>
  <c r="B44" i="19" l="1"/>
  <c r="HH43" i="19" a="1"/>
  <c r="HH43" i="19" s="1"/>
  <c r="HG43" i="19" a="1"/>
  <c r="HG43" i="19" s="1"/>
  <c r="HF43" i="19" a="1"/>
  <c r="HF43" i="19" s="1"/>
  <c r="HE43" i="19" a="1"/>
  <c r="HE43" i="19" s="1"/>
  <c r="HD43" i="19" a="1"/>
  <c r="HD43" i="19" s="1"/>
  <c r="HC43" i="19" a="1"/>
  <c r="HC43" i="19" s="1"/>
  <c r="HB43" i="19" a="1"/>
  <c r="HB43" i="19" s="1"/>
  <c r="HA43" i="19" a="1"/>
  <c r="HA43" i="19" s="1"/>
  <c r="GZ43" i="19" a="1"/>
  <c r="GZ43" i="19" s="1"/>
  <c r="GY43" i="19" a="1"/>
  <c r="GY43" i="19" s="1"/>
  <c r="GX43" i="19" a="1"/>
  <c r="GX43" i="19" s="1"/>
  <c r="GW43" i="19" a="1"/>
  <c r="GW43" i="19" s="1"/>
  <c r="GV43" i="19" a="1"/>
  <c r="GV43" i="19" s="1"/>
  <c r="GU43" i="19" a="1"/>
  <c r="GU43" i="19" s="1"/>
  <c r="GT43" i="19" a="1"/>
  <c r="GT43" i="19" s="1"/>
  <c r="GS43" i="19" a="1"/>
  <c r="GS43" i="19" s="1"/>
  <c r="GR43" i="19" a="1"/>
  <c r="GR43" i="19" s="1"/>
  <c r="GQ43" i="19" a="1"/>
  <c r="GQ43" i="19" s="1"/>
  <c r="GP43" i="19" a="1"/>
  <c r="GP43" i="19" s="1"/>
  <c r="GO43" i="19" a="1"/>
  <c r="GO43" i="19" s="1"/>
  <c r="GN43" i="19" a="1"/>
  <c r="GN43" i="19" s="1"/>
  <c r="GM43" i="19" a="1"/>
  <c r="GM43" i="19" s="1"/>
  <c r="GL43" i="19" a="1"/>
  <c r="GL43" i="19" s="1"/>
  <c r="GK43" i="19" a="1"/>
  <c r="GK43" i="19" s="1"/>
  <c r="GJ43" i="19" a="1"/>
  <c r="GJ43" i="19" s="1"/>
  <c r="GI43" i="19" a="1"/>
  <c r="GI43" i="19" s="1"/>
  <c r="GH43" i="19" a="1"/>
  <c r="GH43" i="19" s="1"/>
  <c r="GG43" i="19" a="1"/>
  <c r="GG43" i="19" s="1"/>
  <c r="GF43" i="19" a="1"/>
  <c r="GF43" i="19" s="1"/>
  <c r="GE43" i="19" a="1"/>
  <c r="GE43" i="19" s="1"/>
  <c r="GD43" i="19" a="1"/>
  <c r="GD43" i="19" s="1"/>
  <c r="GC43" i="19" a="1"/>
  <c r="GC43" i="19" s="1"/>
  <c r="GB43" i="19" a="1"/>
  <c r="GB43" i="19" s="1"/>
  <c r="GA43" i="19" a="1"/>
  <c r="GA43" i="19" s="1"/>
  <c r="FZ43" i="19" a="1"/>
  <c r="FZ43" i="19" s="1"/>
  <c r="FY43" i="19" a="1"/>
  <c r="FY43" i="19" s="1"/>
  <c r="FX43" i="19" a="1"/>
  <c r="FX43" i="19" s="1"/>
  <c r="FW43" i="19" a="1"/>
  <c r="FW43" i="19" s="1"/>
  <c r="FV43" i="19" a="1"/>
  <c r="FV43" i="19" s="1"/>
  <c r="FU43" i="19" a="1"/>
  <c r="FU43" i="19" s="1"/>
  <c r="FT43" i="19" a="1"/>
  <c r="FT43" i="19" s="1"/>
  <c r="FS43" i="19" a="1"/>
  <c r="FS43" i="19" s="1"/>
  <c r="FR43" i="19" a="1"/>
  <c r="FR43" i="19" s="1"/>
  <c r="FQ43" i="19" a="1"/>
  <c r="FQ43" i="19" s="1"/>
  <c r="FP43" i="19" a="1"/>
  <c r="FP43" i="19" s="1"/>
  <c r="FO43" i="19" a="1"/>
  <c r="FO43" i="19" s="1"/>
  <c r="FN43" i="19" a="1"/>
  <c r="FN43" i="19" s="1"/>
  <c r="FM43" i="19" a="1"/>
  <c r="FM43" i="19" s="1"/>
  <c r="ES43" i="19" a="1"/>
  <c r="ES43" i="19" s="1"/>
  <c r="DP43" i="19" a="1"/>
  <c r="DP43" i="19" s="1"/>
  <c r="DH43" i="19" a="1"/>
  <c r="DH43" i="19" s="1"/>
  <c r="DB43" i="19" a="1"/>
  <c r="DB43" i="19" s="1"/>
  <c r="DA43" i="19" a="1"/>
  <c r="DA43" i="19" s="1"/>
  <c r="CZ43" i="19" a="1"/>
  <c r="CZ43" i="19" s="1"/>
  <c r="CY43" i="19" a="1"/>
  <c r="CY43" i="19" s="1"/>
  <c r="CX43" i="19" a="1"/>
  <c r="CX43" i="19" s="1"/>
  <c r="CW43" i="19" a="1"/>
  <c r="CW43" i="19" s="1"/>
  <c r="CV43" i="19" a="1"/>
  <c r="CV43" i="19" s="1"/>
  <c r="CU43" i="19" a="1"/>
  <c r="CU43" i="19" s="1"/>
  <c r="CT43" i="19" a="1"/>
  <c r="CT43" i="19" s="1"/>
  <c r="CS43" i="19" a="1"/>
  <c r="CS43" i="19" s="1"/>
  <c r="CR43" i="19" a="1"/>
  <c r="CR43" i="19" s="1"/>
  <c r="CQ43" i="19" a="1"/>
  <c r="CQ43" i="19" s="1"/>
  <c r="CP43" i="19" a="1"/>
  <c r="CP43" i="19" s="1"/>
  <c r="CO43" i="19" a="1"/>
  <c r="CO43" i="19" s="1"/>
  <c r="CN43" i="19" a="1"/>
  <c r="CN43" i="19" s="1"/>
  <c r="CM43" i="19" a="1"/>
  <c r="CM43" i="19" s="1"/>
  <c r="CL43" i="19" a="1"/>
  <c r="CL43" i="19" s="1"/>
  <c r="CK43" i="19" a="1"/>
  <c r="CK43" i="19" s="1"/>
  <c r="CJ43" i="19" a="1"/>
  <c r="CJ43" i="19" s="1"/>
  <c r="CI43" i="19" a="1"/>
  <c r="CI43" i="19" s="1"/>
  <c r="CE43" i="19" l="1" a="1"/>
  <c r="CE43" i="19" s="1"/>
  <c r="CD43" i="19" a="1"/>
  <c r="CD43" i="19" s="1"/>
  <c r="F43" i="19" l="1" a="1"/>
  <c r="F43" i="19" s="1"/>
  <c r="C43" i="19" a="1"/>
  <c r="C43" i="19" s="1"/>
  <c r="B43" i="19" a="1"/>
  <c r="B43" i="19" l="1"/>
  <c r="HH42" i="19" a="1"/>
  <c r="HH42" i="19" s="1"/>
  <c r="HG42" i="19" a="1"/>
  <c r="HG42" i="19" s="1"/>
  <c r="HF42" i="19" a="1"/>
  <c r="HF42" i="19" s="1"/>
  <c r="HE42" i="19" a="1"/>
  <c r="HE42" i="19" s="1"/>
  <c r="HD42" i="19" a="1"/>
  <c r="HD42" i="19" s="1"/>
  <c r="HC42" i="19" a="1"/>
  <c r="HC42" i="19" s="1"/>
  <c r="HB42" i="19" a="1"/>
  <c r="HB42" i="19" s="1"/>
  <c r="HA42" i="19" a="1"/>
  <c r="HA42" i="19" s="1"/>
  <c r="GZ42" i="19" a="1"/>
  <c r="GZ42" i="19" s="1"/>
  <c r="GY42" i="19" a="1"/>
  <c r="GY42" i="19" s="1"/>
  <c r="GX42" i="19" a="1"/>
  <c r="GX42" i="19" s="1"/>
  <c r="GW42" i="19" a="1"/>
  <c r="GW42" i="19" s="1"/>
  <c r="GV42" i="19" a="1"/>
  <c r="GV42" i="19" s="1"/>
  <c r="GU42" i="19" a="1"/>
  <c r="GU42" i="19" s="1"/>
  <c r="GT42" i="19" a="1"/>
  <c r="GT42" i="19" s="1"/>
  <c r="GS42" i="19" a="1"/>
  <c r="GS42" i="19" s="1"/>
  <c r="GR42" i="19" a="1"/>
  <c r="GR42" i="19" s="1"/>
  <c r="GQ42" i="19" a="1"/>
  <c r="GQ42" i="19" s="1"/>
  <c r="GP42" i="19" a="1"/>
  <c r="GP42" i="19" s="1"/>
  <c r="GO42" i="19" a="1"/>
  <c r="GO42" i="19" s="1"/>
  <c r="GN42" i="19" a="1"/>
  <c r="GN42" i="19" s="1"/>
  <c r="GM42" i="19" a="1"/>
  <c r="GM42" i="19" s="1"/>
  <c r="GL42" i="19" a="1"/>
  <c r="GL42" i="19" s="1"/>
  <c r="GK42" i="19" a="1"/>
  <c r="GK42" i="19" s="1"/>
  <c r="GJ42" i="19" a="1"/>
  <c r="GJ42" i="19" s="1"/>
  <c r="GI42" i="19" a="1"/>
  <c r="GI42" i="19" s="1"/>
  <c r="GH42" i="19" a="1"/>
  <c r="GH42" i="19" s="1"/>
  <c r="GG42" i="19" a="1"/>
  <c r="GG42" i="19" s="1"/>
  <c r="GF42" i="19" a="1"/>
  <c r="GF42" i="19" s="1"/>
  <c r="GE42" i="19" a="1"/>
  <c r="GE42" i="19" s="1"/>
  <c r="GD42" i="19" a="1"/>
  <c r="GD42" i="19" s="1"/>
  <c r="GC42" i="19" a="1"/>
  <c r="GC42" i="19" s="1"/>
  <c r="GB42" i="19" a="1"/>
  <c r="GB42" i="19" s="1"/>
  <c r="GA42" i="19" a="1"/>
  <c r="GA42" i="19" s="1"/>
  <c r="FZ42" i="19" a="1"/>
  <c r="FZ42" i="19" s="1"/>
  <c r="FY42" i="19" a="1"/>
  <c r="FY42" i="19" s="1"/>
  <c r="FX42" i="19" a="1"/>
  <c r="FX42" i="19" s="1"/>
  <c r="FW42" i="19" a="1"/>
  <c r="FW42" i="19" s="1"/>
  <c r="FV42" i="19" a="1"/>
  <c r="FV42" i="19" s="1"/>
  <c r="FU42" i="19" a="1"/>
  <c r="FU42" i="19" s="1"/>
  <c r="FT42" i="19" a="1"/>
  <c r="FT42" i="19" s="1"/>
  <c r="FS42" i="19" a="1"/>
  <c r="FS42" i="19" s="1"/>
  <c r="FR42" i="19" a="1"/>
  <c r="FR42" i="19" s="1"/>
  <c r="FQ42" i="19" a="1"/>
  <c r="FQ42" i="19" s="1"/>
  <c r="FP42" i="19" a="1"/>
  <c r="FP42" i="19" s="1"/>
  <c r="FO42" i="19" a="1"/>
  <c r="FO42" i="19" s="1"/>
  <c r="FN42" i="19" a="1"/>
  <c r="FN42" i="19" s="1"/>
  <c r="FM42" i="19" a="1"/>
  <c r="FM42" i="19" s="1"/>
  <c r="ES42" i="19" a="1"/>
  <c r="ES42" i="19" s="1"/>
  <c r="DP42" i="19" a="1"/>
  <c r="DP42" i="19" s="1"/>
  <c r="DH42" i="19" a="1"/>
  <c r="DH42" i="19" s="1"/>
  <c r="DB42" i="19" a="1"/>
  <c r="DB42" i="19" s="1"/>
  <c r="DA42" i="19" a="1"/>
  <c r="DA42" i="19" s="1"/>
  <c r="CZ42" i="19" a="1"/>
  <c r="CZ42" i="19" s="1"/>
  <c r="CY42" i="19" a="1"/>
  <c r="CY42" i="19" s="1"/>
  <c r="CX42" i="19" a="1"/>
  <c r="CX42" i="19" s="1"/>
  <c r="CW42" i="19" a="1"/>
  <c r="CW42" i="19" s="1"/>
  <c r="CV42" i="19" a="1"/>
  <c r="CV42" i="19" s="1"/>
  <c r="CU42" i="19" a="1"/>
  <c r="CU42" i="19" s="1"/>
  <c r="CT42" i="19" a="1"/>
  <c r="CT42" i="19" s="1"/>
  <c r="CS42" i="19" a="1"/>
  <c r="CS42" i="19" s="1"/>
  <c r="CR42" i="19" a="1"/>
  <c r="CR42" i="19" s="1"/>
  <c r="CQ42" i="19" a="1"/>
  <c r="CQ42" i="19" s="1"/>
  <c r="CP42" i="19" a="1"/>
  <c r="CP42" i="19" s="1"/>
  <c r="CO42" i="19" a="1"/>
  <c r="CO42" i="19" s="1"/>
  <c r="CN42" i="19" a="1"/>
  <c r="CN42" i="19" s="1"/>
  <c r="CM42" i="19" a="1"/>
  <c r="CM42" i="19" s="1"/>
  <c r="CL42" i="19" a="1"/>
  <c r="CL42" i="19" s="1"/>
  <c r="CK42" i="19" a="1"/>
  <c r="CK42" i="19" s="1"/>
  <c r="CJ42" i="19" a="1"/>
  <c r="CJ42" i="19" s="1"/>
  <c r="CI42" i="19" a="1"/>
  <c r="CI42" i="19" s="1"/>
  <c r="CE42" i="19" l="1" a="1"/>
  <c r="CE42" i="19" s="1"/>
  <c r="CD42" i="19" a="1"/>
  <c r="CD42" i="19" s="1"/>
  <c r="F42" i="19" l="1" a="1"/>
  <c r="F42" i="19" s="1"/>
  <c r="C42" i="19" a="1"/>
  <c r="C42" i="19" s="1"/>
  <c r="B42" i="19" a="1"/>
  <c r="B42" i="19" l="1"/>
  <c r="HH41" i="19" a="1"/>
  <c r="HH41" i="19" s="1"/>
  <c r="HG41" i="19" a="1"/>
  <c r="HG41" i="19" s="1"/>
  <c r="HF41" i="19" a="1"/>
  <c r="HF41" i="19" s="1"/>
  <c r="HE41" i="19" a="1"/>
  <c r="HE41" i="19" s="1"/>
  <c r="HD41" i="19" a="1"/>
  <c r="HD41" i="19" s="1"/>
  <c r="HC41" i="19" a="1"/>
  <c r="HC41" i="19" s="1"/>
  <c r="HB41" i="19" a="1"/>
  <c r="HB41" i="19" s="1"/>
  <c r="HA41" i="19" a="1"/>
  <c r="HA41" i="19" s="1"/>
  <c r="GZ41" i="19" a="1"/>
  <c r="GZ41" i="19" s="1"/>
  <c r="GY41" i="19" a="1"/>
  <c r="GY41" i="19" s="1"/>
  <c r="GX41" i="19" a="1"/>
  <c r="GX41" i="19" s="1"/>
  <c r="GW41" i="19" a="1"/>
  <c r="GW41" i="19" s="1"/>
  <c r="GV41" i="19" a="1"/>
  <c r="GV41" i="19" s="1"/>
  <c r="GU41" i="19" a="1"/>
  <c r="GU41" i="19" s="1"/>
  <c r="GT41" i="19" a="1"/>
  <c r="GT41" i="19" s="1"/>
  <c r="GS41" i="19" a="1"/>
  <c r="GS41" i="19" s="1"/>
  <c r="GR41" i="19" a="1"/>
  <c r="GR41" i="19" s="1"/>
  <c r="GQ41" i="19" a="1"/>
  <c r="GQ41" i="19" s="1"/>
  <c r="GP41" i="19" a="1"/>
  <c r="GP41" i="19" s="1"/>
  <c r="GO41" i="19" a="1"/>
  <c r="GO41" i="19" s="1"/>
  <c r="GN41" i="19" a="1"/>
  <c r="GN41" i="19" s="1"/>
  <c r="GM41" i="19" a="1"/>
  <c r="GM41" i="19" s="1"/>
  <c r="GL41" i="19" a="1"/>
  <c r="GL41" i="19" s="1"/>
  <c r="GK41" i="19" a="1"/>
  <c r="GK41" i="19" s="1"/>
  <c r="GJ41" i="19" a="1"/>
  <c r="GJ41" i="19" s="1"/>
  <c r="GI41" i="19" a="1"/>
  <c r="GI41" i="19" s="1"/>
  <c r="GH41" i="19" a="1"/>
  <c r="GH41" i="19" s="1"/>
  <c r="GG41" i="19" a="1"/>
  <c r="GG41" i="19" s="1"/>
  <c r="GF41" i="19" a="1"/>
  <c r="GF41" i="19" s="1"/>
  <c r="GE41" i="19" a="1"/>
  <c r="GE41" i="19" s="1"/>
  <c r="GD41" i="19" a="1"/>
  <c r="GD41" i="19" s="1"/>
  <c r="GC41" i="19" a="1"/>
  <c r="GC41" i="19" s="1"/>
  <c r="GB41" i="19" a="1"/>
  <c r="GB41" i="19" s="1"/>
  <c r="GA41" i="19" a="1"/>
  <c r="GA41" i="19" s="1"/>
  <c r="FZ41" i="19" a="1"/>
  <c r="FZ41" i="19" s="1"/>
  <c r="FY41" i="19" a="1"/>
  <c r="FY41" i="19" s="1"/>
  <c r="FX41" i="19" a="1"/>
  <c r="FX41" i="19" s="1"/>
  <c r="FW41" i="19" a="1"/>
  <c r="FW41" i="19" s="1"/>
  <c r="FV41" i="19" a="1"/>
  <c r="FV41" i="19" s="1"/>
  <c r="FU41" i="19" a="1"/>
  <c r="FU41" i="19" s="1"/>
  <c r="FT41" i="19" a="1"/>
  <c r="FT41" i="19" s="1"/>
  <c r="FS41" i="19" a="1"/>
  <c r="FS41" i="19" s="1"/>
  <c r="FR41" i="19" a="1"/>
  <c r="FR41" i="19" s="1"/>
  <c r="FQ41" i="19" a="1"/>
  <c r="FQ41" i="19" s="1"/>
  <c r="FP41" i="19" a="1"/>
  <c r="FP41" i="19" s="1"/>
  <c r="FO41" i="19" a="1"/>
  <c r="FO41" i="19" s="1"/>
  <c r="FN41" i="19" a="1"/>
  <c r="FN41" i="19" s="1"/>
  <c r="FM41" i="19" a="1"/>
  <c r="FM41" i="19" s="1"/>
  <c r="ES41" i="19" a="1"/>
  <c r="ES41" i="19" s="1"/>
  <c r="DP41" i="19" a="1"/>
  <c r="DP41" i="19" s="1"/>
  <c r="DH41" i="19" a="1"/>
  <c r="DH41" i="19" s="1"/>
  <c r="DB41" i="19" a="1"/>
  <c r="DB41" i="19" s="1"/>
  <c r="DA41" i="19" a="1"/>
  <c r="DA41" i="19" s="1"/>
  <c r="CZ41" i="19" a="1"/>
  <c r="CZ41" i="19" s="1"/>
  <c r="CY41" i="19" a="1"/>
  <c r="CY41" i="19" s="1"/>
  <c r="CX41" i="19" a="1"/>
  <c r="CX41" i="19" s="1"/>
  <c r="CW41" i="19" a="1"/>
  <c r="CW41" i="19" s="1"/>
  <c r="CV41" i="19" a="1"/>
  <c r="CV41" i="19" s="1"/>
  <c r="CU41" i="19" a="1"/>
  <c r="CU41" i="19" s="1"/>
  <c r="CT41" i="19" a="1"/>
  <c r="CT41" i="19" s="1"/>
  <c r="CS41" i="19" a="1"/>
  <c r="CS41" i="19" s="1"/>
  <c r="CR41" i="19" a="1"/>
  <c r="CR41" i="19" s="1"/>
  <c r="CQ41" i="19" a="1"/>
  <c r="CQ41" i="19" s="1"/>
  <c r="CP41" i="19" a="1"/>
  <c r="CP41" i="19" s="1"/>
  <c r="CO41" i="19" a="1"/>
  <c r="CO41" i="19" s="1"/>
  <c r="CN41" i="19" a="1"/>
  <c r="CN41" i="19" s="1"/>
  <c r="CM41" i="19" a="1"/>
  <c r="CM41" i="19" s="1"/>
  <c r="CL41" i="19" a="1"/>
  <c r="CL41" i="19" s="1"/>
  <c r="CK41" i="19" a="1"/>
  <c r="CK41" i="19" s="1"/>
  <c r="CJ41" i="19" a="1"/>
  <c r="CJ41" i="19" s="1"/>
  <c r="CI41" i="19" a="1"/>
  <c r="CI41" i="19" s="1"/>
  <c r="CE41" i="19" l="1" a="1"/>
  <c r="CE41" i="19" s="1"/>
  <c r="CD41" i="19" a="1"/>
  <c r="CD41" i="19" s="1"/>
  <c r="F41" i="19" l="1" a="1"/>
  <c r="F41" i="19" s="1"/>
  <c r="C41" i="19" a="1"/>
  <c r="C41" i="19" s="1"/>
  <c r="B41" i="19" a="1"/>
  <c r="B41" i="19" l="1"/>
  <c r="HH40" i="19" a="1"/>
  <c r="HH40" i="19" s="1"/>
  <c r="HG40" i="19" a="1"/>
  <c r="HG40" i="19" s="1"/>
  <c r="HF40" i="19" a="1"/>
  <c r="HF40" i="19" s="1"/>
  <c r="HE40" i="19" a="1"/>
  <c r="HE40" i="19" s="1"/>
  <c r="HD40" i="19" a="1"/>
  <c r="HD40" i="19" s="1"/>
  <c r="HC40" i="19" a="1"/>
  <c r="HC40" i="19" s="1"/>
  <c r="HB40" i="19" a="1"/>
  <c r="HB40" i="19" s="1"/>
  <c r="HA40" i="19" a="1"/>
  <c r="HA40" i="19" s="1"/>
  <c r="GZ40" i="19" a="1"/>
  <c r="GZ40" i="19" s="1"/>
  <c r="GY40" i="19" a="1"/>
  <c r="GY40" i="19" s="1"/>
  <c r="GX40" i="19" a="1"/>
  <c r="GX40" i="19" s="1"/>
  <c r="GW40" i="19" a="1"/>
  <c r="GW40" i="19" s="1"/>
  <c r="GV40" i="19" a="1"/>
  <c r="GV40" i="19" s="1"/>
  <c r="GU40" i="19" a="1"/>
  <c r="GU40" i="19" s="1"/>
  <c r="GT40" i="19" a="1"/>
  <c r="GT40" i="19" s="1"/>
  <c r="GS40" i="19" a="1"/>
  <c r="GS40" i="19" s="1"/>
  <c r="GR40" i="19" a="1"/>
  <c r="GR40" i="19" s="1"/>
  <c r="GQ40" i="19" a="1"/>
  <c r="GQ40" i="19" s="1"/>
  <c r="GP40" i="19" a="1"/>
  <c r="GP40" i="19" s="1"/>
  <c r="GO40" i="19" a="1"/>
  <c r="GO40" i="19" s="1"/>
  <c r="GN40" i="19" a="1"/>
  <c r="GN40" i="19" s="1"/>
  <c r="GM40" i="19" a="1"/>
  <c r="GM40" i="19" s="1"/>
  <c r="GL40" i="19" a="1"/>
  <c r="GL40" i="19" s="1"/>
  <c r="GK40" i="19" a="1"/>
  <c r="GK40" i="19" s="1"/>
  <c r="GJ40" i="19" a="1"/>
  <c r="GJ40" i="19" s="1"/>
  <c r="GI40" i="19" a="1"/>
  <c r="GI40" i="19" s="1"/>
  <c r="GH40" i="19" a="1"/>
  <c r="GH40" i="19" s="1"/>
  <c r="GG40" i="19" a="1"/>
  <c r="GG40" i="19" s="1"/>
  <c r="GF40" i="19" a="1"/>
  <c r="GF40" i="19" s="1"/>
  <c r="GE40" i="19" a="1"/>
  <c r="GE40" i="19" s="1"/>
  <c r="GD40" i="19" a="1"/>
  <c r="GD40" i="19" s="1"/>
  <c r="GC40" i="19" a="1"/>
  <c r="GC40" i="19" s="1"/>
  <c r="GB40" i="19" a="1"/>
  <c r="GB40" i="19" s="1"/>
  <c r="GA40" i="19" a="1"/>
  <c r="GA40" i="19" s="1"/>
  <c r="FZ40" i="19" a="1"/>
  <c r="FZ40" i="19" s="1"/>
  <c r="FY40" i="19" a="1"/>
  <c r="FY40" i="19" s="1"/>
  <c r="FX40" i="19" a="1"/>
  <c r="FX40" i="19" s="1"/>
  <c r="FW40" i="19" a="1"/>
  <c r="FW40" i="19" s="1"/>
  <c r="FV40" i="19" a="1"/>
  <c r="FV40" i="19" s="1"/>
  <c r="FU40" i="19" a="1"/>
  <c r="FU40" i="19" s="1"/>
  <c r="FT40" i="19" a="1"/>
  <c r="FT40" i="19" s="1"/>
  <c r="FS40" i="19" a="1"/>
  <c r="FS40" i="19" s="1"/>
  <c r="FR40" i="19" a="1"/>
  <c r="FR40" i="19" s="1"/>
  <c r="FQ40" i="19" a="1"/>
  <c r="FQ40" i="19" s="1"/>
  <c r="FP40" i="19" a="1"/>
  <c r="FP40" i="19" s="1"/>
  <c r="FO40" i="19" a="1"/>
  <c r="FO40" i="19" s="1"/>
  <c r="FN40" i="19" a="1"/>
  <c r="FN40" i="19" s="1"/>
  <c r="FM40" i="19" a="1"/>
  <c r="FM40" i="19" s="1"/>
  <c r="ES40" i="19" a="1"/>
  <c r="ES40" i="19" s="1"/>
  <c r="DP40" i="19" a="1"/>
  <c r="DP40" i="19" s="1"/>
  <c r="DH40" i="19" a="1"/>
  <c r="DH40" i="19" s="1"/>
  <c r="DB40" i="19" a="1"/>
  <c r="DB40" i="19" s="1"/>
  <c r="DA40" i="19" a="1"/>
  <c r="DA40" i="19" s="1"/>
  <c r="CZ40" i="19" a="1"/>
  <c r="CZ40" i="19" s="1"/>
  <c r="CY40" i="19" a="1"/>
  <c r="CY40" i="19" s="1"/>
  <c r="CX40" i="19" a="1"/>
  <c r="CX40" i="19" s="1"/>
  <c r="CW40" i="19" a="1"/>
  <c r="CW40" i="19" s="1"/>
  <c r="CV40" i="19" a="1"/>
  <c r="CV40" i="19" s="1"/>
  <c r="CU40" i="19" a="1"/>
  <c r="CU40" i="19" s="1"/>
  <c r="CT40" i="19" a="1"/>
  <c r="CT40" i="19" s="1"/>
  <c r="CS40" i="19" a="1"/>
  <c r="CS40" i="19" s="1"/>
  <c r="CR40" i="19" a="1"/>
  <c r="CR40" i="19" s="1"/>
  <c r="CQ40" i="19" a="1"/>
  <c r="CQ40" i="19" s="1"/>
  <c r="CP40" i="19" a="1"/>
  <c r="CP40" i="19" s="1"/>
  <c r="CO40" i="19" a="1"/>
  <c r="CO40" i="19" s="1"/>
  <c r="CN40" i="19" a="1"/>
  <c r="CN40" i="19" s="1"/>
  <c r="CM40" i="19" a="1"/>
  <c r="CM40" i="19" s="1"/>
  <c r="CL40" i="19" a="1"/>
  <c r="CL40" i="19" s="1"/>
  <c r="CK40" i="19" a="1"/>
  <c r="CK40" i="19" s="1"/>
  <c r="CJ40" i="19" a="1"/>
  <c r="CJ40" i="19" s="1"/>
  <c r="CI40" i="19" a="1"/>
  <c r="CI40" i="19" s="1"/>
  <c r="CE40" i="19" l="1" a="1"/>
  <c r="CE40" i="19" s="1"/>
  <c r="CD40" i="19" a="1"/>
  <c r="CD40" i="19" s="1"/>
  <c r="F40" i="19" l="1" a="1"/>
  <c r="F40" i="19" s="1"/>
  <c r="C40" i="19" a="1"/>
  <c r="C40" i="19" s="1"/>
  <c r="B40" i="19" a="1"/>
  <c r="B40" i="19" l="1"/>
  <c r="HH39" i="19" a="1"/>
  <c r="HH39" i="19" s="1"/>
  <c r="HG39" i="19" a="1"/>
  <c r="HG39" i="19" s="1"/>
  <c r="HF39" i="19" a="1"/>
  <c r="HF39" i="19" s="1"/>
  <c r="HE39" i="19" a="1"/>
  <c r="HE39" i="19" s="1"/>
  <c r="HD39" i="19" a="1"/>
  <c r="HD39" i="19" s="1"/>
  <c r="HC39" i="19" a="1"/>
  <c r="HC39" i="19" s="1"/>
  <c r="HB39" i="19" a="1"/>
  <c r="HB39" i="19" s="1"/>
  <c r="HA39" i="19" a="1"/>
  <c r="HA39" i="19" s="1"/>
  <c r="GZ39" i="19" a="1"/>
  <c r="GZ39" i="19" s="1"/>
  <c r="GY39" i="19" a="1"/>
  <c r="GY39" i="19" s="1"/>
  <c r="GX39" i="19" a="1"/>
  <c r="GX39" i="19" s="1"/>
  <c r="GW39" i="19" a="1"/>
  <c r="GW39" i="19" s="1"/>
  <c r="GV39" i="19" a="1"/>
  <c r="GV39" i="19" s="1"/>
  <c r="GU39" i="19" a="1"/>
  <c r="GU39" i="19" s="1"/>
  <c r="GT39" i="19" a="1"/>
  <c r="GT39" i="19" s="1"/>
  <c r="GS39" i="19" a="1"/>
  <c r="GS39" i="19" s="1"/>
  <c r="GR39" i="19" a="1"/>
  <c r="GR39" i="19" s="1"/>
  <c r="GQ39" i="19" a="1"/>
  <c r="GQ39" i="19" s="1"/>
  <c r="GP39" i="19" a="1"/>
  <c r="GP39" i="19" s="1"/>
  <c r="GO39" i="19" a="1"/>
  <c r="GO39" i="19" s="1"/>
  <c r="GN39" i="19" a="1"/>
  <c r="GN39" i="19" s="1"/>
  <c r="GM39" i="19" a="1"/>
  <c r="GM39" i="19" s="1"/>
  <c r="GL39" i="19" a="1"/>
  <c r="GL39" i="19" s="1"/>
  <c r="GK39" i="19" a="1"/>
  <c r="GK39" i="19" s="1"/>
  <c r="GJ39" i="19" a="1"/>
  <c r="GJ39" i="19" s="1"/>
  <c r="GI39" i="19" a="1"/>
  <c r="GI39" i="19" s="1"/>
  <c r="GH39" i="19" a="1"/>
  <c r="GH39" i="19" s="1"/>
  <c r="GG39" i="19" a="1"/>
  <c r="GG39" i="19" s="1"/>
  <c r="GF39" i="19" a="1"/>
  <c r="GF39" i="19" s="1"/>
  <c r="GE39" i="19" a="1"/>
  <c r="GE39" i="19" s="1"/>
  <c r="GD39" i="19" a="1"/>
  <c r="GD39" i="19" s="1"/>
  <c r="GC39" i="19" a="1"/>
  <c r="GC39" i="19" s="1"/>
  <c r="GB39" i="19" a="1"/>
  <c r="GB39" i="19" s="1"/>
  <c r="GA39" i="19" a="1"/>
  <c r="GA39" i="19" s="1"/>
  <c r="FZ39" i="19" a="1"/>
  <c r="FZ39" i="19" s="1"/>
  <c r="FY39" i="19" a="1"/>
  <c r="FY39" i="19" s="1"/>
  <c r="FX39" i="19" a="1"/>
  <c r="FX39" i="19" s="1"/>
  <c r="FW39" i="19" a="1"/>
  <c r="FW39" i="19" s="1"/>
  <c r="FV39" i="19" a="1"/>
  <c r="FV39" i="19" s="1"/>
  <c r="FU39" i="19" a="1"/>
  <c r="FU39" i="19" s="1"/>
  <c r="FT39" i="19" a="1"/>
  <c r="FT39" i="19" s="1"/>
  <c r="FS39" i="19" a="1"/>
  <c r="FS39" i="19" s="1"/>
  <c r="FR39" i="19" a="1"/>
  <c r="FR39" i="19" s="1"/>
  <c r="FQ39" i="19" a="1"/>
  <c r="FQ39" i="19" s="1"/>
  <c r="FP39" i="19" a="1"/>
  <c r="FP39" i="19" s="1"/>
  <c r="FO39" i="19" a="1"/>
  <c r="FO39" i="19" s="1"/>
  <c r="FN39" i="19" a="1"/>
  <c r="FN39" i="19" s="1"/>
  <c r="FM39" i="19" a="1"/>
  <c r="FM39" i="19" s="1"/>
  <c r="ES39" i="19" a="1"/>
  <c r="ES39" i="19" s="1"/>
  <c r="DP39" i="19" a="1"/>
  <c r="DP39" i="19" s="1"/>
  <c r="DH39" i="19" a="1"/>
  <c r="DH39" i="19" s="1"/>
  <c r="DB39" i="19" a="1"/>
  <c r="DB39" i="19" s="1"/>
  <c r="DA39" i="19" a="1"/>
  <c r="DA39" i="19" s="1"/>
  <c r="CZ39" i="19" a="1"/>
  <c r="CZ39" i="19" s="1"/>
  <c r="CY39" i="19" a="1"/>
  <c r="CY39" i="19" s="1"/>
  <c r="CX39" i="19" a="1"/>
  <c r="CX39" i="19" s="1"/>
  <c r="CW39" i="19" a="1"/>
  <c r="CW39" i="19" s="1"/>
  <c r="CV39" i="19" a="1"/>
  <c r="CV39" i="19" s="1"/>
  <c r="CU39" i="19" a="1"/>
  <c r="CU39" i="19" s="1"/>
  <c r="CT39" i="19" a="1"/>
  <c r="CT39" i="19" s="1"/>
  <c r="CS39" i="19" a="1"/>
  <c r="CS39" i="19" s="1"/>
  <c r="CR39" i="19" a="1"/>
  <c r="CR39" i="19" s="1"/>
  <c r="CQ39" i="19" a="1"/>
  <c r="CQ39" i="19" s="1"/>
  <c r="CP39" i="19" a="1"/>
  <c r="CP39" i="19" s="1"/>
  <c r="CO39" i="19" a="1"/>
  <c r="CO39" i="19" s="1"/>
  <c r="CN39" i="19" a="1"/>
  <c r="CN39" i="19" s="1"/>
  <c r="CM39" i="19" a="1"/>
  <c r="CM39" i="19" s="1"/>
  <c r="CL39" i="19" a="1"/>
  <c r="CL39" i="19" s="1"/>
  <c r="CK39" i="19" a="1"/>
  <c r="CK39" i="19" s="1"/>
  <c r="CJ39" i="19" a="1"/>
  <c r="CJ39" i="19" s="1"/>
  <c r="CI39" i="19" a="1"/>
  <c r="CI39" i="19" s="1"/>
  <c r="CE39" i="19" l="1" a="1"/>
  <c r="CE39" i="19" s="1"/>
  <c r="CD39" i="19" a="1"/>
  <c r="CD39" i="19" s="1"/>
  <c r="F39" i="19" l="1" a="1"/>
  <c r="F39" i="19" s="1"/>
  <c r="C39" i="19" a="1"/>
  <c r="C39" i="19" s="1"/>
  <c r="B39" i="19" a="1"/>
  <c r="B39" i="19" l="1"/>
  <c r="HH38" i="19" a="1"/>
  <c r="HH38" i="19" s="1"/>
  <c r="HG38" i="19" a="1"/>
  <c r="HG38" i="19" s="1"/>
  <c r="HF38" i="19" a="1"/>
  <c r="HF38" i="19" s="1"/>
  <c r="HE38" i="19" a="1"/>
  <c r="HE38" i="19" s="1"/>
  <c r="HD38" i="19" a="1"/>
  <c r="HD38" i="19" s="1"/>
  <c r="HC38" i="19" a="1"/>
  <c r="HC38" i="19" s="1"/>
  <c r="HB38" i="19" a="1"/>
  <c r="HB38" i="19" s="1"/>
  <c r="HA38" i="19" a="1"/>
  <c r="HA38" i="19" s="1"/>
  <c r="GZ38" i="19" a="1"/>
  <c r="GZ38" i="19" s="1"/>
  <c r="GY38" i="19" a="1"/>
  <c r="GY38" i="19" s="1"/>
  <c r="GX38" i="19" a="1"/>
  <c r="GX38" i="19" s="1"/>
  <c r="GW38" i="19" a="1"/>
  <c r="GW38" i="19" s="1"/>
  <c r="GV38" i="19" a="1"/>
  <c r="GV38" i="19" s="1"/>
  <c r="GU38" i="19" a="1"/>
  <c r="GU38" i="19" s="1"/>
  <c r="GT38" i="19" a="1"/>
  <c r="GT38" i="19" s="1"/>
  <c r="GS38" i="19" a="1"/>
  <c r="GS38" i="19" s="1"/>
  <c r="GR38" i="19" a="1"/>
  <c r="GR38" i="19" s="1"/>
  <c r="GQ38" i="19" a="1"/>
  <c r="GQ38" i="19" s="1"/>
  <c r="GP38" i="19" a="1"/>
  <c r="GP38" i="19" s="1"/>
  <c r="GO38" i="19" a="1"/>
  <c r="GO38" i="19" s="1"/>
  <c r="GN38" i="19" a="1"/>
  <c r="GN38" i="19" s="1"/>
  <c r="GM38" i="19" a="1"/>
  <c r="GM38" i="19" s="1"/>
  <c r="GL38" i="19" a="1"/>
  <c r="GL38" i="19" s="1"/>
  <c r="GK38" i="19" a="1"/>
  <c r="GK38" i="19" s="1"/>
  <c r="GJ38" i="19" a="1"/>
  <c r="GJ38" i="19" s="1"/>
  <c r="GI38" i="19" a="1"/>
  <c r="GI38" i="19" s="1"/>
  <c r="GH38" i="19" a="1"/>
  <c r="GH38" i="19" s="1"/>
  <c r="GG38" i="19" a="1"/>
  <c r="GG38" i="19" s="1"/>
  <c r="GF38" i="19" a="1"/>
  <c r="GF38" i="19" s="1"/>
  <c r="GE38" i="19" a="1"/>
  <c r="GE38" i="19" s="1"/>
  <c r="GD38" i="19" a="1"/>
  <c r="GD38" i="19" s="1"/>
  <c r="GC38" i="19" a="1"/>
  <c r="GC38" i="19" s="1"/>
  <c r="GB38" i="19" a="1"/>
  <c r="GB38" i="19" s="1"/>
  <c r="GA38" i="19" a="1"/>
  <c r="GA38" i="19" s="1"/>
  <c r="FZ38" i="19" a="1"/>
  <c r="FZ38" i="19" s="1"/>
  <c r="FY38" i="19" a="1"/>
  <c r="FY38" i="19" s="1"/>
  <c r="FX38" i="19" a="1"/>
  <c r="FX38" i="19" s="1"/>
  <c r="FW38" i="19" a="1"/>
  <c r="FW38" i="19" s="1"/>
  <c r="FV38" i="19" a="1"/>
  <c r="FV38" i="19" s="1"/>
  <c r="FU38" i="19" a="1"/>
  <c r="FU38" i="19" s="1"/>
  <c r="FT38" i="19" a="1"/>
  <c r="FT38" i="19" s="1"/>
  <c r="FS38" i="19" a="1"/>
  <c r="FS38" i="19" s="1"/>
  <c r="FR38" i="19" a="1"/>
  <c r="FR38" i="19" s="1"/>
  <c r="FQ38" i="19" a="1"/>
  <c r="FQ38" i="19" s="1"/>
  <c r="FP38" i="19" a="1"/>
  <c r="FP38" i="19" s="1"/>
  <c r="FO38" i="19" a="1"/>
  <c r="FO38" i="19" s="1"/>
  <c r="FN38" i="19" a="1"/>
  <c r="FN38" i="19" s="1"/>
  <c r="FM38" i="19" a="1"/>
  <c r="FM38" i="19" s="1"/>
  <c r="ES38" i="19" a="1"/>
  <c r="ES38" i="19" s="1"/>
  <c r="DP38" i="19" a="1"/>
  <c r="DP38" i="19" s="1"/>
  <c r="DH38" i="19" a="1"/>
  <c r="DH38" i="19" s="1"/>
  <c r="DB38" i="19" a="1"/>
  <c r="DB38" i="19" s="1"/>
  <c r="DA38" i="19" a="1"/>
  <c r="DA38" i="19" s="1"/>
  <c r="CZ38" i="19" a="1"/>
  <c r="CZ38" i="19" s="1"/>
  <c r="CY38" i="19" a="1"/>
  <c r="CY38" i="19" s="1"/>
  <c r="CX38" i="19" a="1"/>
  <c r="CX38" i="19" s="1"/>
  <c r="CW38" i="19" a="1"/>
  <c r="CW38" i="19" s="1"/>
  <c r="CV38" i="19" a="1"/>
  <c r="CV38" i="19" s="1"/>
  <c r="CU38" i="19" a="1"/>
  <c r="CU38" i="19" s="1"/>
  <c r="CT38" i="19" a="1"/>
  <c r="CT38" i="19" s="1"/>
  <c r="CS38" i="19" a="1"/>
  <c r="CS38" i="19" s="1"/>
  <c r="CR38" i="19" a="1"/>
  <c r="CR38" i="19" s="1"/>
  <c r="CQ38" i="19" a="1"/>
  <c r="CQ38" i="19" s="1"/>
  <c r="CP38" i="19" a="1"/>
  <c r="CP38" i="19" s="1"/>
  <c r="CO38" i="19" a="1"/>
  <c r="CO38" i="19" s="1"/>
  <c r="CN38" i="19" a="1"/>
  <c r="CN38" i="19" s="1"/>
  <c r="CM38" i="19" a="1"/>
  <c r="CM38" i="19" s="1"/>
  <c r="CL38" i="19" a="1"/>
  <c r="CL38" i="19" s="1"/>
  <c r="CK38" i="19" a="1"/>
  <c r="CK38" i="19" s="1"/>
  <c r="CJ38" i="19" a="1"/>
  <c r="CJ38" i="19" s="1"/>
  <c r="CI38" i="19" a="1"/>
  <c r="CI38" i="19" s="1"/>
  <c r="CE38" i="19" l="1" a="1"/>
  <c r="CE38" i="19" s="1"/>
  <c r="CD38" i="19" a="1"/>
  <c r="CD38" i="19" s="1"/>
  <c r="F38" i="19" l="1" a="1"/>
  <c r="F38" i="19" s="1"/>
  <c r="C38" i="19" a="1"/>
  <c r="C38" i="19" s="1"/>
  <c r="B38" i="19" a="1"/>
  <c r="B38" i="19" l="1"/>
  <c r="HH37" i="19" a="1"/>
  <c r="HH37" i="19" s="1"/>
  <c r="HG37" i="19" a="1"/>
  <c r="HG37" i="19" s="1"/>
  <c r="HF37" i="19" a="1"/>
  <c r="HF37" i="19" s="1"/>
  <c r="HE37" i="19" a="1"/>
  <c r="HE37" i="19" s="1"/>
  <c r="HD37" i="19" a="1"/>
  <c r="HD37" i="19" s="1"/>
  <c r="HC37" i="19" a="1"/>
  <c r="HC37" i="19" s="1"/>
  <c r="HB37" i="19" a="1"/>
  <c r="HB37" i="19" s="1"/>
  <c r="HA37" i="19" a="1"/>
  <c r="HA37" i="19" s="1"/>
  <c r="GZ37" i="19" a="1"/>
  <c r="GZ37" i="19" s="1"/>
  <c r="GY37" i="19" a="1"/>
  <c r="GY37" i="19" s="1"/>
  <c r="GX37" i="19" a="1"/>
  <c r="GX37" i="19" s="1"/>
  <c r="GW37" i="19" a="1"/>
  <c r="GW37" i="19" s="1"/>
  <c r="GV37" i="19" a="1"/>
  <c r="GV37" i="19" s="1"/>
  <c r="GU37" i="19" a="1"/>
  <c r="GU37" i="19" s="1"/>
  <c r="GT37" i="19" a="1"/>
  <c r="GT37" i="19" s="1"/>
  <c r="GS37" i="19" a="1"/>
  <c r="GS37" i="19" s="1"/>
  <c r="GR37" i="19" a="1"/>
  <c r="GR37" i="19" s="1"/>
  <c r="GQ37" i="19" a="1"/>
  <c r="GQ37" i="19" s="1"/>
  <c r="GP37" i="19" a="1"/>
  <c r="GP37" i="19" s="1"/>
  <c r="GO37" i="19" a="1"/>
  <c r="GO37" i="19" s="1"/>
  <c r="GN37" i="19" a="1"/>
  <c r="GN37" i="19" s="1"/>
  <c r="GM37" i="19" a="1"/>
  <c r="GM37" i="19" s="1"/>
  <c r="GL37" i="19" a="1"/>
  <c r="GL37" i="19" s="1"/>
  <c r="GK37" i="19" a="1"/>
  <c r="GK37" i="19" s="1"/>
  <c r="GJ37" i="19" a="1"/>
  <c r="GJ37" i="19" s="1"/>
  <c r="GI37" i="19" a="1"/>
  <c r="GI37" i="19" s="1"/>
  <c r="GH37" i="19" a="1"/>
  <c r="GH37" i="19" s="1"/>
  <c r="GG37" i="19" a="1"/>
  <c r="GG37" i="19" s="1"/>
  <c r="GF37" i="19" a="1"/>
  <c r="GF37" i="19" s="1"/>
  <c r="GE37" i="19" a="1"/>
  <c r="GE37" i="19" s="1"/>
  <c r="GD37" i="19" a="1"/>
  <c r="GD37" i="19" s="1"/>
  <c r="GC37" i="19" a="1"/>
  <c r="GC37" i="19" s="1"/>
  <c r="GB37" i="19" a="1"/>
  <c r="GB37" i="19" s="1"/>
  <c r="GA37" i="19" a="1"/>
  <c r="GA37" i="19" s="1"/>
  <c r="FZ37" i="19" a="1"/>
  <c r="FZ37" i="19" s="1"/>
  <c r="FY37" i="19" a="1"/>
  <c r="FY37" i="19" s="1"/>
  <c r="FX37" i="19" a="1"/>
  <c r="FX37" i="19" s="1"/>
  <c r="FW37" i="19" a="1"/>
  <c r="FW37" i="19" s="1"/>
  <c r="FV37" i="19" a="1"/>
  <c r="FV37" i="19" s="1"/>
  <c r="FU37" i="19" a="1"/>
  <c r="FU37" i="19" s="1"/>
  <c r="FT37" i="19" a="1"/>
  <c r="FT37" i="19" s="1"/>
  <c r="FS37" i="19" a="1"/>
  <c r="FS37" i="19" s="1"/>
  <c r="FR37" i="19" a="1"/>
  <c r="FR37" i="19" s="1"/>
  <c r="FQ37" i="19" a="1"/>
  <c r="FQ37" i="19" s="1"/>
  <c r="FP37" i="19" a="1"/>
  <c r="FP37" i="19" s="1"/>
  <c r="FO37" i="19" a="1"/>
  <c r="FO37" i="19" s="1"/>
  <c r="FN37" i="19" a="1"/>
  <c r="FN37" i="19" s="1"/>
  <c r="FM37" i="19" a="1"/>
  <c r="FM37" i="19" s="1"/>
  <c r="ES37" i="19" a="1"/>
  <c r="ES37" i="19" s="1"/>
  <c r="DP37" i="19" a="1"/>
  <c r="DP37" i="19" s="1"/>
  <c r="DH37" i="19" a="1"/>
  <c r="DH37" i="19" s="1"/>
  <c r="DB37" i="19" a="1"/>
  <c r="DB37" i="19" s="1"/>
  <c r="DA37" i="19" a="1"/>
  <c r="DA37" i="19" s="1"/>
  <c r="CZ37" i="19" a="1"/>
  <c r="CZ37" i="19" s="1"/>
  <c r="CY37" i="19" a="1"/>
  <c r="CY37" i="19" s="1"/>
  <c r="CX37" i="19" a="1"/>
  <c r="CX37" i="19" s="1"/>
  <c r="CW37" i="19" a="1"/>
  <c r="CW37" i="19" s="1"/>
  <c r="CV37" i="19" a="1"/>
  <c r="CV37" i="19" s="1"/>
  <c r="CU37" i="19" a="1"/>
  <c r="CU37" i="19" s="1"/>
  <c r="CT37" i="19" a="1"/>
  <c r="CT37" i="19" s="1"/>
  <c r="CS37" i="19" a="1"/>
  <c r="CS37" i="19" s="1"/>
  <c r="CR37" i="19" a="1"/>
  <c r="CR37" i="19" s="1"/>
  <c r="CQ37" i="19" a="1"/>
  <c r="CQ37" i="19" s="1"/>
  <c r="CP37" i="19" a="1"/>
  <c r="CP37" i="19" s="1"/>
  <c r="CO37" i="19" a="1"/>
  <c r="CO37" i="19" s="1"/>
  <c r="CN37" i="19" a="1"/>
  <c r="CN37" i="19" s="1"/>
  <c r="CM37" i="19" a="1"/>
  <c r="CM37" i="19" s="1"/>
  <c r="CL37" i="19" a="1"/>
  <c r="CL37" i="19" s="1"/>
  <c r="CK37" i="19" a="1"/>
  <c r="CK37" i="19" s="1"/>
  <c r="CJ37" i="19" a="1"/>
  <c r="CJ37" i="19" s="1"/>
  <c r="CI37" i="19" a="1"/>
  <c r="CI37" i="19" s="1"/>
  <c r="CE37" i="19" l="1" a="1"/>
  <c r="CE37" i="19" s="1"/>
  <c r="CD37" i="19" a="1"/>
  <c r="CD37" i="19" s="1"/>
  <c r="F37" i="19" l="1" a="1"/>
  <c r="F37" i="19" s="1"/>
  <c r="C37" i="19" a="1"/>
  <c r="C37" i="19" s="1"/>
  <c r="B37" i="19" a="1"/>
  <c r="B37" i="19" l="1"/>
  <c r="HH36" i="19" a="1"/>
  <c r="HH36" i="19" s="1"/>
  <c r="HG36" i="19" a="1"/>
  <c r="HG36" i="19" s="1"/>
  <c r="HF36" i="19" a="1"/>
  <c r="HF36" i="19" s="1"/>
  <c r="HE36" i="19" a="1"/>
  <c r="HE36" i="19" s="1"/>
  <c r="HD36" i="19" a="1"/>
  <c r="HD36" i="19" s="1"/>
  <c r="HC36" i="19" a="1"/>
  <c r="HC36" i="19" s="1"/>
  <c r="HB36" i="19" a="1"/>
  <c r="HB36" i="19" s="1"/>
  <c r="HA36" i="19" a="1"/>
  <c r="HA36" i="19" s="1"/>
  <c r="GZ36" i="19" a="1"/>
  <c r="GZ36" i="19" s="1"/>
  <c r="GY36" i="19" a="1"/>
  <c r="GY36" i="19" s="1"/>
  <c r="GX36" i="19" a="1"/>
  <c r="GX36" i="19" s="1"/>
  <c r="GW36" i="19" a="1"/>
  <c r="GW36" i="19" s="1"/>
  <c r="GV36" i="19" a="1"/>
  <c r="GV36" i="19" s="1"/>
  <c r="GU36" i="19" a="1"/>
  <c r="GU36" i="19" s="1"/>
  <c r="GT36" i="19" a="1"/>
  <c r="GT36" i="19" s="1"/>
  <c r="GS36" i="19" a="1"/>
  <c r="GS36" i="19" s="1"/>
  <c r="GR36" i="19" a="1"/>
  <c r="GR36" i="19" s="1"/>
  <c r="GQ36" i="19" a="1"/>
  <c r="GQ36" i="19" s="1"/>
  <c r="GP36" i="19" a="1"/>
  <c r="GP36" i="19" s="1"/>
  <c r="GO36" i="19" a="1"/>
  <c r="GO36" i="19" s="1"/>
  <c r="GN36" i="19" a="1"/>
  <c r="GN36" i="19" s="1"/>
  <c r="GM36" i="19" a="1"/>
  <c r="GM36" i="19" s="1"/>
  <c r="GL36" i="19" a="1"/>
  <c r="GL36" i="19" s="1"/>
  <c r="GK36" i="19" a="1"/>
  <c r="GK36" i="19" s="1"/>
  <c r="GJ36" i="19" a="1"/>
  <c r="GJ36" i="19" s="1"/>
  <c r="GI36" i="19" a="1"/>
  <c r="GI36" i="19" s="1"/>
  <c r="GH36" i="19" a="1"/>
  <c r="GH36" i="19" s="1"/>
  <c r="GG36" i="19" a="1"/>
  <c r="GG36" i="19" s="1"/>
  <c r="GF36" i="19" a="1"/>
  <c r="GF36" i="19" s="1"/>
  <c r="GE36" i="19" a="1"/>
  <c r="GE36" i="19" s="1"/>
  <c r="GD36" i="19" a="1"/>
  <c r="GD36" i="19" s="1"/>
  <c r="GC36" i="19" a="1"/>
  <c r="GC36" i="19" s="1"/>
  <c r="GB36" i="19" a="1"/>
  <c r="GB36" i="19" s="1"/>
  <c r="GA36" i="19" a="1"/>
  <c r="GA36" i="19" s="1"/>
  <c r="FZ36" i="19" a="1"/>
  <c r="FZ36" i="19" s="1"/>
  <c r="FY36" i="19" a="1"/>
  <c r="FY36" i="19" s="1"/>
  <c r="FX36" i="19" a="1"/>
  <c r="FX36" i="19" s="1"/>
  <c r="FW36" i="19" a="1"/>
  <c r="FW36" i="19" s="1"/>
  <c r="FV36" i="19" a="1"/>
  <c r="FV36" i="19" s="1"/>
  <c r="FU36" i="19" a="1"/>
  <c r="FU36" i="19" s="1"/>
  <c r="FT36" i="19" a="1"/>
  <c r="FT36" i="19" s="1"/>
  <c r="FS36" i="19" a="1"/>
  <c r="FS36" i="19" s="1"/>
  <c r="FR36" i="19" a="1"/>
  <c r="FR36" i="19" s="1"/>
  <c r="FQ36" i="19" a="1"/>
  <c r="FQ36" i="19" s="1"/>
  <c r="FP36" i="19" a="1"/>
  <c r="FP36" i="19" s="1"/>
  <c r="FO36" i="19" a="1"/>
  <c r="FO36" i="19" s="1"/>
  <c r="FN36" i="19" a="1"/>
  <c r="FN36" i="19" s="1"/>
  <c r="FM36" i="19" a="1"/>
  <c r="FM36" i="19" s="1"/>
  <c r="ES36" i="19" a="1"/>
  <c r="ES36" i="19" s="1"/>
  <c r="DP36" i="19" a="1"/>
  <c r="DP36" i="19" s="1"/>
  <c r="DH36" i="19" a="1"/>
  <c r="DH36" i="19" s="1"/>
  <c r="DB36" i="19" a="1"/>
  <c r="DB36" i="19" s="1"/>
  <c r="DA36" i="19" a="1"/>
  <c r="DA36" i="19" s="1"/>
  <c r="CZ36" i="19" a="1"/>
  <c r="CZ36" i="19" s="1"/>
  <c r="CY36" i="19" a="1"/>
  <c r="CY36" i="19" s="1"/>
  <c r="CX36" i="19" a="1"/>
  <c r="CX36" i="19" s="1"/>
  <c r="CW36" i="19" a="1"/>
  <c r="CW36" i="19" s="1"/>
  <c r="CV36" i="19" a="1"/>
  <c r="CV36" i="19" s="1"/>
  <c r="CU36" i="19" a="1"/>
  <c r="CU36" i="19" s="1"/>
  <c r="CT36" i="19" a="1"/>
  <c r="CT36" i="19" s="1"/>
  <c r="CS36" i="19" a="1"/>
  <c r="CS36" i="19" s="1"/>
  <c r="CR36" i="19" a="1"/>
  <c r="CR36" i="19" s="1"/>
  <c r="CQ36" i="19" a="1"/>
  <c r="CQ36" i="19" s="1"/>
  <c r="CP36" i="19" a="1"/>
  <c r="CP36" i="19" s="1"/>
  <c r="CO36" i="19" a="1"/>
  <c r="CO36" i="19" s="1"/>
  <c r="CN36" i="19" a="1"/>
  <c r="CN36" i="19" s="1"/>
  <c r="CM36" i="19" a="1"/>
  <c r="CM36" i="19" s="1"/>
  <c r="CL36" i="19" a="1"/>
  <c r="CL36" i="19" s="1"/>
  <c r="CK36" i="19" a="1"/>
  <c r="CK36" i="19" s="1"/>
  <c r="CJ36" i="19" a="1"/>
  <c r="CJ36" i="19" s="1"/>
  <c r="CI36" i="19" a="1"/>
  <c r="CI36" i="19" s="1"/>
  <c r="CE36" i="19" l="1" a="1"/>
  <c r="CE36" i="19" s="1"/>
  <c r="CD36" i="19" a="1"/>
  <c r="CD36" i="19" s="1"/>
  <c r="F36" i="19" l="1" a="1"/>
  <c r="F36" i="19" s="1"/>
  <c r="C36" i="19" a="1"/>
  <c r="C36" i="19" s="1"/>
  <c r="B36" i="19" a="1"/>
  <c r="B36" i="19" l="1"/>
  <c r="HH35" i="19" a="1"/>
  <c r="HH35" i="19" s="1"/>
  <c r="HG35" i="19" a="1"/>
  <c r="HG35" i="19" s="1"/>
  <c r="HF35" i="19" a="1"/>
  <c r="HF35" i="19" s="1"/>
  <c r="HE35" i="19" a="1"/>
  <c r="HE35" i="19" s="1"/>
  <c r="HD35" i="19" a="1"/>
  <c r="HD35" i="19" s="1"/>
  <c r="HC35" i="19" a="1"/>
  <c r="HC35" i="19" s="1"/>
  <c r="HB35" i="19" a="1"/>
  <c r="HB35" i="19" s="1"/>
  <c r="HA35" i="19" a="1"/>
  <c r="HA35" i="19" s="1"/>
  <c r="GZ35" i="19" a="1"/>
  <c r="GZ35" i="19" s="1"/>
  <c r="GY35" i="19" a="1"/>
  <c r="GY35" i="19" s="1"/>
  <c r="GX35" i="19" a="1"/>
  <c r="GX35" i="19" s="1"/>
  <c r="GW35" i="19" a="1"/>
  <c r="GW35" i="19" s="1"/>
  <c r="GV35" i="19" a="1"/>
  <c r="GV35" i="19" s="1"/>
  <c r="GU35" i="19" a="1"/>
  <c r="GU35" i="19" s="1"/>
  <c r="GT35" i="19" a="1"/>
  <c r="GT35" i="19" s="1"/>
  <c r="GS35" i="19" a="1"/>
  <c r="GS35" i="19" s="1"/>
  <c r="GR35" i="19" a="1"/>
  <c r="GR35" i="19" s="1"/>
  <c r="GQ35" i="19" a="1"/>
  <c r="GQ35" i="19" s="1"/>
  <c r="GP35" i="19" a="1"/>
  <c r="GP35" i="19" s="1"/>
  <c r="GO35" i="19" a="1"/>
  <c r="GO35" i="19" s="1"/>
  <c r="GN35" i="19" a="1"/>
  <c r="GN35" i="19" s="1"/>
  <c r="GM35" i="19" a="1"/>
  <c r="GM35" i="19" s="1"/>
  <c r="GL35" i="19" a="1"/>
  <c r="GL35" i="19" s="1"/>
  <c r="GK35" i="19" a="1"/>
  <c r="GK35" i="19" s="1"/>
  <c r="GJ35" i="19" a="1"/>
  <c r="GJ35" i="19" s="1"/>
  <c r="GI35" i="19" a="1"/>
  <c r="GI35" i="19" s="1"/>
  <c r="GH35" i="19" a="1"/>
  <c r="GH35" i="19" s="1"/>
  <c r="GG35" i="19" a="1"/>
  <c r="GG35" i="19" s="1"/>
  <c r="GF35" i="19" a="1"/>
  <c r="GF35" i="19" s="1"/>
  <c r="GE35" i="19" a="1"/>
  <c r="GE35" i="19" s="1"/>
  <c r="GD35" i="19" a="1"/>
  <c r="GD35" i="19" s="1"/>
  <c r="GC35" i="19" a="1"/>
  <c r="GC35" i="19" s="1"/>
  <c r="GB35" i="19" a="1"/>
  <c r="GB35" i="19" s="1"/>
  <c r="GA35" i="19" a="1"/>
  <c r="GA35" i="19" s="1"/>
  <c r="FZ35" i="19" a="1"/>
  <c r="FZ35" i="19" s="1"/>
  <c r="FY35" i="19" a="1"/>
  <c r="FY35" i="19" s="1"/>
  <c r="FX35" i="19" a="1"/>
  <c r="FX35" i="19" s="1"/>
  <c r="FW35" i="19" a="1"/>
  <c r="FW35" i="19" s="1"/>
  <c r="FV35" i="19" a="1"/>
  <c r="FV35" i="19" s="1"/>
  <c r="FU35" i="19" a="1"/>
  <c r="FU35" i="19" s="1"/>
  <c r="FT35" i="19" a="1"/>
  <c r="FT35" i="19" s="1"/>
  <c r="FS35" i="19" a="1"/>
  <c r="FS35" i="19" s="1"/>
  <c r="FR35" i="19" a="1"/>
  <c r="FR35" i="19" s="1"/>
  <c r="FQ35" i="19" a="1"/>
  <c r="FQ35" i="19" s="1"/>
  <c r="FP35" i="19" a="1"/>
  <c r="FP35" i="19" s="1"/>
  <c r="FO35" i="19" a="1"/>
  <c r="FO35" i="19" s="1"/>
  <c r="FN35" i="19" a="1"/>
  <c r="FN35" i="19" s="1"/>
  <c r="FM35" i="19" a="1"/>
  <c r="FM35" i="19" s="1"/>
  <c r="ES35" i="19" a="1"/>
  <c r="ES35" i="19" s="1"/>
  <c r="DP35" i="19" a="1"/>
  <c r="DP35" i="19" s="1"/>
  <c r="DH35" i="19" a="1"/>
  <c r="DH35" i="19" s="1"/>
  <c r="DB35" i="19" a="1"/>
  <c r="DB35" i="19" s="1"/>
  <c r="DA35" i="19" a="1"/>
  <c r="DA35" i="19" s="1"/>
  <c r="CZ35" i="19" a="1"/>
  <c r="CZ35" i="19" s="1"/>
  <c r="CY35" i="19" a="1"/>
  <c r="CY35" i="19" s="1"/>
  <c r="CX35" i="19" a="1"/>
  <c r="CX35" i="19" s="1"/>
  <c r="CW35" i="19" a="1"/>
  <c r="CW35" i="19" s="1"/>
  <c r="CV35" i="19" a="1"/>
  <c r="CV35" i="19" s="1"/>
  <c r="CU35" i="19" a="1"/>
  <c r="CU35" i="19" s="1"/>
  <c r="CT35" i="19" a="1"/>
  <c r="CT35" i="19" s="1"/>
  <c r="CS35" i="19" a="1"/>
  <c r="CS35" i="19" s="1"/>
  <c r="CR35" i="19" a="1"/>
  <c r="CR35" i="19" s="1"/>
  <c r="CQ35" i="19" a="1"/>
  <c r="CQ35" i="19" s="1"/>
  <c r="CP35" i="19" a="1"/>
  <c r="CP35" i="19" s="1"/>
  <c r="CO35" i="19" a="1"/>
  <c r="CO35" i="19" s="1"/>
  <c r="CN35" i="19" a="1"/>
  <c r="CN35" i="19" s="1"/>
  <c r="CM35" i="19" a="1"/>
  <c r="CM35" i="19" s="1"/>
  <c r="CL35" i="19" a="1"/>
  <c r="CL35" i="19" s="1"/>
  <c r="CK35" i="19" a="1"/>
  <c r="CK35" i="19" s="1"/>
  <c r="CJ35" i="19" a="1"/>
  <c r="CJ35" i="19" s="1"/>
  <c r="CI35" i="19" a="1"/>
  <c r="CI35" i="19" s="1"/>
  <c r="CE35" i="19" l="1" a="1"/>
  <c r="CE35" i="19" s="1"/>
  <c r="CD35" i="19" a="1"/>
  <c r="CD35" i="19" s="1"/>
  <c r="F35" i="19" l="1" a="1"/>
  <c r="F35" i="19" s="1"/>
  <c r="C35" i="19" a="1"/>
  <c r="C35" i="19" s="1"/>
  <c r="B35" i="19" a="1"/>
  <c r="B35" i="19" l="1"/>
  <c r="HH34" i="19" a="1"/>
  <c r="HH34" i="19" s="1"/>
  <c r="HG34" i="19" a="1"/>
  <c r="HG34" i="19" s="1"/>
  <c r="HF34" i="19" a="1"/>
  <c r="HF34" i="19" s="1"/>
  <c r="HE34" i="19" a="1"/>
  <c r="HE34" i="19" s="1"/>
  <c r="HD34" i="19" a="1"/>
  <c r="HD34" i="19" s="1"/>
  <c r="HC34" i="19" a="1"/>
  <c r="HC34" i="19" s="1"/>
  <c r="HB34" i="19" a="1"/>
  <c r="HB34" i="19" s="1"/>
  <c r="HA34" i="19" a="1"/>
  <c r="HA34" i="19" s="1"/>
  <c r="GZ34" i="19" a="1"/>
  <c r="GZ34" i="19" s="1"/>
  <c r="GY34" i="19" a="1"/>
  <c r="GY34" i="19" s="1"/>
  <c r="GX34" i="19" a="1"/>
  <c r="GX34" i="19" s="1"/>
  <c r="GW34" i="19" a="1"/>
  <c r="GW34" i="19" s="1"/>
  <c r="GV34" i="19" a="1"/>
  <c r="GV34" i="19" s="1"/>
  <c r="GU34" i="19" a="1"/>
  <c r="GU34" i="19" s="1"/>
  <c r="GT34" i="19" a="1"/>
  <c r="GT34" i="19" s="1"/>
  <c r="GS34" i="19" a="1"/>
  <c r="GS34" i="19" s="1"/>
  <c r="GR34" i="19" a="1"/>
  <c r="GR34" i="19" s="1"/>
  <c r="GQ34" i="19" a="1"/>
  <c r="GQ34" i="19" s="1"/>
  <c r="GP34" i="19" a="1"/>
  <c r="GP34" i="19" s="1"/>
  <c r="GO34" i="19" a="1"/>
  <c r="GO34" i="19" s="1"/>
  <c r="GN34" i="19" a="1"/>
  <c r="GN34" i="19" s="1"/>
  <c r="GM34" i="19" a="1"/>
  <c r="GM34" i="19" s="1"/>
  <c r="GL34" i="19" a="1"/>
  <c r="GL34" i="19" s="1"/>
  <c r="GK34" i="19" a="1"/>
  <c r="GK34" i="19" s="1"/>
  <c r="GJ34" i="19" a="1"/>
  <c r="GJ34" i="19" s="1"/>
  <c r="GI34" i="19" a="1"/>
  <c r="GI34" i="19" s="1"/>
  <c r="GH34" i="19" a="1"/>
  <c r="GH34" i="19" s="1"/>
  <c r="GG34" i="19" a="1"/>
  <c r="GG34" i="19" s="1"/>
  <c r="GF34" i="19" a="1"/>
  <c r="GF34" i="19" s="1"/>
  <c r="GE34" i="19" a="1"/>
  <c r="GE34" i="19" s="1"/>
  <c r="GD34" i="19" a="1"/>
  <c r="GD34" i="19" s="1"/>
  <c r="GC34" i="19" a="1"/>
  <c r="GC34" i="19" s="1"/>
  <c r="GB34" i="19" a="1"/>
  <c r="GB34" i="19" s="1"/>
  <c r="GA34" i="19" a="1"/>
  <c r="GA34" i="19" s="1"/>
  <c r="FZ34" i="19" a="1"/>
  <c r="FZ34" i="19" s="1"/>
  <c r="FY34" i="19" a="1"/>
  <c r="FY34" i="19" s="1"/>
  <c r="FX34" i="19" a="1"/>
  <c r="FX34" i="19" s="1"/>
  <c r="FW34" i="19" a="1"/>
  <c r="FW34" i="19" s="1"/>
  <c r="FV34" i="19" a="1"/>
  <c r="FV34" i="19" s="1"/>
  <c r="FU34" i="19" a="1"/>
  <c r="FU34" i="19" s="1"/>
  <c r="FT34" i="19" a="1"/>
  <c r="FT34" i="19" s="1"/>
  <c r="FS34" i="19" a="1"/>
  <c r="FS34" i="19" s="1"/>
  <c r="FR34" i="19" a="1"/>
  <c r="FR34" i="19" s="1"/>
  <c r="FQ34" i="19" a="1"/>
  <c r="FQ34" i="19" s="1"/>
  <c r="FP34" i="19" a="1"/>
  <c r="FP34" i="19" s="1"/>
  <c r="FO34" i="19" a="1"/>
  <c r="FO34" i="19" s="1"/>
  <c r="FN34" i="19" a="1"/>
  <c r="FN34" i="19" s="1"/>
  <c r="FM34" i="19" a="1"/>
  <c r="FM34" i="19" s="1"/>
  <c r="ES34" i="19" a="1"/>
  <c r="ES34" i="19" s="1"/>
  <c r="DP34" i="19" a="1"/>
  <c r="DP34" i="19" s="1"/>
  <c r="DH34" i="19" a="1"/>
  <c r="DH34" i="19" s="1"/>
  <c r="DB34" i="19" a="1"/>
  <c r="DB34" i="19" s="1"/>
  <c r="DA34" i="19" a="1"/>
  <c r="DA34" i="19" s="1"/>
  <c r="CZ34" i="19" a="1"/>
  <c r="CZ34" i="19" s="1"/>
  <c r="CY34" i="19" a="1"/>
  <c r="CY34" i="19" s="1"/>
  <c r="CX34" i="19" a="1"/>
  <c r="CX34" i="19" s="1"/>
  <c r="CW34" i="19" a="1"/>
  <c r="CW34" i="19" s="1"/>
  <c r="CV34" i="19" a="1"/>
  <c r="CV34" i="19" s="1"/>
  <c r="CU34" i="19" a="1"/>
  <c r="CU34" i="19" s="1"/>
  <c r="CT34" i="19" a="1"/>
  <c r="CT34" i="19" s="1"/>
  <c r="CS34" i="19" a="1"/>
  <c r="CS34" i="19" s="1"/>
  <c r="CR34" i="19" a="1"/>
  <c r="CR34" i="19" s="1"/>
  <c r="CQ34" i="19" a="1"/>
  <c r="CQ34" i="19" s="1"/>
  <c r="CP34" i="19" a="1"/>
  <c r="CP34" i="19" s="1"/>
  <c r="CO34" i="19" a="1"/>
  <c r="CO34" i="19" s="1"/>
  <c r="CN34" i="19" a="1"/>
  <c r="CN34" i="19" s="1"/>
  <c r="CM34" i="19" a="1"/>
  <c r="CM34" i="19" s="1"/>
  <c r="CL34" i="19" a="1"/>
  <c r="CL34" i="19" s="1"/>
  <c r="CK34" i="19" a="1"/>
  <c r="CK34" i="19" s="1"/>
  <c r="CJ34" i="19" a="1"/>
  <c r="CJ34" i="19" s="1"/>
  <c r="CI34" i="19" a="1"/>
  <c r="CI34" i="19" s="1"/>
  <c r="CE34" i="19" l="1" a="1"/>
  <c r="CE34" i="19" s="1"/>
  <c r="CD34" i="19" a="1"/>
  <c r="CD34" i="19" s="1"/>
  <c r="F34" i="19" l="1" a="1"/>
  <c r="F34" i="19" s="1"/>
  <c r="C34" i="19" a="1"/>
  <c r="C34" i="19" s="1"/>
  <c r="B34" i="19" a="1"/>
  <c r="B34" i="19" l="1"/>
  <c r="HH33" i="19" a="1"/>
  <c r="HH33" i="19" s="1"/>
  <c r="HG33" i="19" a="1"/>
  <c r="HG33" i="19" s="1"/>
  <c r="HF33" i="19" a="1"/>
  <c r="HF33" i="19" s="1"/>
  <c r="HE33" i="19" a="1"/>
  <c r="HE33" i="19" s="1"/>
  <c r="HD33" i="19" a="1"/>
  <c r="HD33" i="19" s="1"/>
  <c r="HC33" i="19" a="1"/>
  <c r="HC33" i="19" s="1"/>
  <c r="HB33" i="19" a="1"/>
  <c r="HB33" i="19" s="1"/>
  <c r="HA33" i="19" a="1"/>
  <c r="HA33" i="19" s="1"/>
  <c r="GZ33" i="19" a="1"/>
  <c r="GZ33" i="19" s="1"/>
  <c r="GY33" i="19" a="1"/>
  <c r="GY33" i="19" s="1"/>
  <c r="GX33" i="19" a="1"/>
  <c r="GX33" i="19" s="1"/>
  <c r="GW33" i="19" a="1"/>
  <c r="GW33" i="19" s="1"/>
  <c r="GV33" i="19" a="1"/>
  <c r="GV33" i="19" s="1"/>
  <c r="GU33" i="19" a="1"/>
  <c r="GU33" i="19" s="1"/>
  <c r="GT33" i="19" a="1"/>
  <c r="GT33" i="19" s="1"/>
  <c r="GS33" i="19" a="1"/>
  <c r="GS33" i="19" s="1"/>
  <c r="GR33" i="19" a="1"/>
  <c r="GR33" i="19" s="1"/>
  <c r="GQ33" i="19" a="1"/>
  <c r="GQ33" i="19" s="1"/>
  <c r="GP33" i="19" a="1"/>
  <c r="GP33" i="19" s="1"/>
  <c r="GO33" i="19" a="1"/>
  <c r="GO33" i="19" s="1"/>
  <c r="GN33" i="19" a="1"/>
  <c r="GN33" i="19" s="1"/>
  <c r="GM33" i="19" a="1"/>
  <c r="GM33" i="19" s="1"/>
  <c r="GL33" i="19" a="1"/>
  <c r="GL33" i="19" s="1"/>
  <c r="GK33" i="19" a="1"/>
  <c r="GK33" i="19" s="1"/>
  <c r="GJ33" i="19" a="1"/>
  <c r="GJ33" i="19" s="1"/>
  <c r="GI33" i="19" a="1"/>
  <c r="GI33" i="19" s="1"/>
  <c r="GH33" i="19" a="1"/>
  <c r="GH33" i="19" s="1"/>
  <c r="GG33" i="19" a="1"/>
  <c r="GG33" i="19" s="1"/>
  <c r="GF33" i="19" a="1"/>
  <c r="GF33" i="19" s="1"/>
  <c r="GE33" i="19" a="1"/>
  <c r="GE33" i="19" s="1"/>
  <c r="GD33" i="19" a="1"/>
  <c r="GD33" i="19" s="1"/>
  <c r="GC33" i="19" a="1"/>
  <c r="GC33" i="19" s="1"/>
  <c r="GB33" i="19" a="1"/>
  <c r="GB33" i="19" s="1"/>
  <c r="GA33" i="19" a="1"/>
  <c r="GA33" i="19" s="1"/>
  <c r="FZ33" i="19" a="1"/>
  <c r="FZ33" i="19" s="1"/>
  <c r="FY33" i="19" a="1"/>
  <c r="FY33" i="19" s="1"/>
  <c r="FX33" i="19" a="1"/>
  <c r="FX33" i="19" s="1"/>
  <c r="FW33" i="19" a="1"/>
  <c r="FW33" i="19" s="1"/>
  <c r="FV33" i="19" a="1"/>
  <c r="FV33" i="19" s="1"/>
  <c r="FU33" i="19" a="1"/>
  <c r="FU33" i="19" s="1"/>
  <c r="FT33" i="19" a="1"/>
  <c r="FT33" i="19" s="1"/>
  <c r="FS33" i="19" a="1"/>
  <c r="FS33" i="19" s="1"/>
  <c r="FR33" i="19" a="1"/>
  <c r="FR33" i="19" s="1"/>
  <c r="FQ33" i="19" a="1"/>
  <c r="FQ33" i="19" s="1"/>
  <c r="FP33" i="19" a="1"/>
  <c r="FP33" i="19" s="1"/>
  <c r="FO33" i="19" a="1"/>
  <c r="FO33" i="19" s="1"/>
  <c r="FN33" i="19" a="1"/>
  <c r="FN33" i="19" s="1"/>
  <c r="FM33" i="19" a="1"/>
  <c r="FM33" i="19" s="1"/>
  <c r="ES33" i="19" a="1"/>
  <c r="ES33" i="19" s="1"/>
  <c r="DP33" i="19" a="1"/>
  <c r="DP33" i="19" s="1"/>
  <c r="DH33" i="19" a="1"/>
  <c r="DH33" i="19" s="1"/>
  <c r="DB33" i="19" a="1"/>
  <c r="DB33" i="19" s="1"/>
  <c r="DA33" i="19" a="1"/>
  <c r="DA33" i="19" s="1"/>
  <c r="CZ33" i="19" a="1"/>
  <c r="CZ33" i="19" s="1"/>
  <c r="CY33" i="19" a="1"/>
  <c r="CY33" i="19" s="1"/>
  <c r="CX33" i="19" a="1"/>
  <c r="CX33" i="19" s="1"/>
  <c r="CW33" i="19" a="1"/>
  <c r="CW33" i="19" s="1"/>
  <c r="CV33" i="19" a="1"/>
  <c r="CV33" i="19" s="1"/>
  <c r="CU33" i="19" a="1"/>
  <c r="CU33" i="19" s="1"/>
  <c r="CT33" i="19" a="1"/>
  <c r="CT33" i="19" s="1"/>
  <c r="CS33" i="19" a="1"/>
  <c r="CS33" i="19" s="1"/>
  <c r="CR33" i="19" a="1"/>
  <c r="CR33" i="19" s="1"/>
  <c r="CQ33" i="19" a="1"/>
  <c r="CQ33" i="19" s="1"/>
  <c r="CP33" i="19" a="1"/>
  <c r="CP33" i="19" s="1"/>
  <c r="CO33" i="19" a="1"/>
  <c r="CO33" i="19" s="1"/>
  <c r="CN33" i="19" a="1"/>
  <c r="CN33" i="19" s="1"/>
  <c r="CM33" i="19" a="1"/>
  <c r="CM33" i="19" s="1"/>
  <c r="CL33" i="19" a="1"/>
  <c r="CL33" i="19" s="1"/>
  <c r="CK33" i="19" a="1"/>
  <c r="CK33" i="19" s="1"/>
  <c r="CJ33" i="19" a="1"/>
  <c r="CJ33" i="19" s="1"/>
  <c r="CI33" i="19" a="1"/>
  <c r="CI33" i="19" s="1"/>
  <c r="CE33" i="19" l="1" a="1"/>
  <c r="CE33" i="19" s="1"/>
  <c r="CD33" i="19" a="1"/>
  <c r="CD33" i="19" s="1"/>
  <c r="F33" i="19" l="1" a="1"/>
  <c r="F33" i="19" s="1"/>
  <c r="C33" i="19" a="1"/>
  <c r="C33" i="19" s="1"/>
  <c r="B33" i="19" a="1"/>
  <c r="B33" i="19" l="1"/>
  <c r="HH32" i="19" a="1"/>
  <c r="HH32" i="19" s="1"/>
  <c r="HG32" i="19" a="1"/>
  <c r="HG32" i="19" s="1"/>
  <c r="HF32" i="19" a="1"/>
  <c r="HF32" i="19" s="1"/>
  <c r="HE32" i="19" a="1"/>
  <c r="HE32" i="19" s="1"/>
  <c r="HD32" i="19" a="1"/>
  <c r="HD32" i="19" s="1"/>
  <c r="HC32" i="19" a="1"/>
  <c r="HC32" i="19" s="1"/>
  <c r="HB32" i="19" a="1"/>
  <c r="HB32" i="19" s="1"/>
  <c r="HA32" i="19" a="1"/>
  <c r="HA32" i="19" s="1"/>
  <c r="GZ32" i="19" a="1"/>
  <c r="GZ32" i="19" s="1"/>
  <c r="GY32" i="19" a="1"/>
  <c r="GY32" i="19" s="1"/>
  <c r="GX32" i="19" a="1"/>
  <c r="GX32" i="19" s="1"/>
  <c r="GW32" i="19" a="1"/>
  <c r="GW32" i="19" s="1"/>
  <c r="GV32" i="19" a="1"/>
  <c r="GV32" i="19" s="1"/>
  <c r="GU32" i="19" a="1"/>
  <c r="GU32" i="19" s="1"/>
  <c r="GT32" i="19" a="1"/>
  <c r="GT32" i="19" s="1"/>
  <c r="GS32" i="19" a="1"/>
  <c r="GS32" i="19" s="1"/>
  <c r="GR32" i="19" a="1"/>
  <c r="GR32" i="19" s="1"/>
  <c r="GQ32" i="19" a="1"/>
  <c r="GQ32" i="19" s="1"/>
  <c r="GP32" i="19" a="1"/>
  <c r="GP32" i="19" s="1"/>
  <c r="GO32" i="19" a="1"/>
  <c r="GO32" i="19" s="1"/>
  <c r="GN32" i="19" a="1"/>
  <c r="GN32" i="19" s="1"/>
  <c r="GM32" i="19" a="1"/>
  <c r="GM32" i="19" s="1"/>
  <c r="GL32" i="19" a="1"/>
  <c r="GL32" i="19" s="1"/>
  <c r="GK32" i="19" a="1"/>
  <c r="GK32" i="19" s="1"/>
  <c r="GJ32" i="19" a="1"/>
  <c r="GJ32" i="19" s="1"/>
  <c r="GI32" i="19" a="1"/>
  <c r="GI32" i="19" s="1"/>
  <c r="GH32" i="19" a="1"/>
  <c r="GH32" i="19" s="1"/>
  <c r="GG32" i="19" a="1"/>
  <c r="GG32" i="19" s="1"/>
  <c r="GF32" i="19" a="1"/>
  <c r="GF32" i="19" s="1"/>
  <c r="GE32" i="19" a="1"/>
  <c r="GE32" i="19" s="1"/>
  <c r="GD32" i="19" a="1"/>
  <c r="GD32" i="19" s="1"/>
  <c r="GC32" i="19" a="1"/>
  <c r="GC32" i="19" s="1"/>
  <c r="GB32" i="19" a="1"/>
  <c r="GB32" i="19" s="1"/>
  <c r="GA32" i="19" a="1"/>
  <c r="GA32" i="19" s="1"/>
  <c r="FZ32" i="19" a="1"/>
  <c r="FZ32" i="19" s="1"/>
  <c r="FY32" i="19" a="1"/>
  <c r="FY32" i="19" s="1"/>
  <c r="FX32" i="19" a="1"/>
  <c r="FX32" i="19" s="1"/>
  <c r="FW32" i="19" a="1"/>
  <c r="FW32" i="19" s="1"/>
  <c r="FV32" i="19" a="1"/>
  <c r="FV32" i="19" s="1"/>
  <c r="FU32" i="19" a="1"/>
  <c r="FU32" i="19" s="1"/>
  <c r="FT32" i="19" a="1"/>
  <c r="FT32" i="19" s="1"/>
  <c r="FS32" i="19" a="1"/>
  <c r="FS32" i="19" s="1"/>
  <c r="FR32" i="19" a="1"/>
  <c r="FR32" i="19" s="1"/>
  <c r="FQ32" i="19" a="1"/>
  <c r="FQ32" i="19" s="1"/>
  <c r="FP32" i="19" a="1"/>
  <c r="FP32" i="19" s="1"/>
  <c r="FO32" i="19" a="1"/>
  <c r="FO32" i="19" s="1"/>
  <c r="FN32" i="19" a="1"/>
  <c r="FN32" i="19" s="1"/>
  <c r="FM32" i="19" a="1"/>
  <c r="FM32" i="19" s="1"/>
  <c r="ES32" i="19" a="1"/>
  <c r="ES32" i="19" s="1"/>
  <c r="DP32" i="19" a="1"/>
  <c r="DP32" i="19" s="1"/>
  <c r="DH32" i="19" a="1"/>
  <c r="DH32" i="19" s="1"/>
  <c r="DB32" i="19" a="1"/>
  <c r="DB32" i="19" s="1"/>
  <c r="DA32" i="19" a="1"/>
  <c r="DA32" i="19" s="1"/>
  <c r="CZ32" i="19" a="1"/>
  <c r="CZ32" i="19" s="1"/>
  <c r="CY32" i="19" a="1"/>
  <c r="CY32" i="19" s="1"/>
  <c r="CX32" i="19" a="1"/>
  <c r="CX32" i="19" s="1"/>
  <c r="CW32" i="19" a="1"/>
  <c r="CW32" i="19" s="1"/>
  <c r="CV32" i="19" a="1"/>
  <c r="CV32" i="19" s="1"/>
  <c r="CU32" i="19" a="1"/>
  <c r="CU32" i="19" s="1"/>
  <c r="CT32" i="19" a="1"/>
  <c r="CT32" i="19" s="1"/>
  <c r="CS32" i="19" a="1"/>
  <c r="CS32" i="19" s="1"/>
  <c r="CR32" i="19" a="1"/>
  <c r="CR32" i="19" s="1"/>
  <c r="CQ32" i="19" a="1"/>
  <c r="CQ32" i="19" s="1"/>
  <c r="CP32" i="19" a="1"/>
  <c r="CP32" i="19" s="1"/>
  <c r="CO32" i="19" a="1"/>
  <c r="CO32" i="19" s="1"/>
  <c r="CN32" i="19" a="1"/>
  <c r="CN32" i="19" s="1"/>
  <c r="CM32" i="19" a="1"/>
  <c r="CM32" i="19" s="1"/>
  <c r="CL32" i="19" a="1"/>
  <c r="CL32" i="19" s="1"/>
  <c r="CK32" i="19" a="1"/>
  <c r="CK32" i="19" s="1"/>
  <c r="CJ32" i="19" a="1"/>
  <c r="CJ32" i="19" s="1"/>
  <c r="CI32" i="19" a="1"/>
  <c r="CI32" i="19" s="1"/>
  <c r="CE32" i="19" l="1" a="1"/>
  <c r="CE32" i="19" s="1"/>
  <c r="CD32" i="19" a="1"/>
  <c r="CD32" i="19" s="1"/>
  <c r="F32" i="19" l="1" a="1"/>
  <c r="F32" i="19" s="1"/>
  <c r="C32" i="19" a="1"/>
  <c r="C32" i="19" s="1"/>
  <c r="B32" i="19" a="1"/>
  <c r="B32" i="19" l="1"/>
  <c r="HH31" i="19" a="1"/>
  <c r="HH31" i="19" s="1"/>
  <c r="HG31" i="19" a="1"/>
  <c r="HG31" i="19" s="1"/>
  <c r="HF31" i="19" a="1"/>
  <c r="HF31" i="19" s="1"/>
  <c r="HE31" i="19" a="1"/>
  <c r="HE31" i="19" s="1"/>
  <c r="HD31" i="19" a="1"/>
  <c r="HD31" i="19" s="1"/>
  <c r="HC31" i="19" a="1"/>
  <c r="HC31" i="19" s="1"/>
  <c r="HB31" i="19" a="1"/>
  <c r="HB31" i="19" s="1"/>
  <c r="HA31" i="19" a="1"/>
  <c r="HA31" i="19" s="1"/>
  <c r="GZ31" i="19" a="1"/>
  <c r="GZ31" i="19" s="1"/>
  <c r="GY31" i="19" a="1"/>
  <c r="GY31" i="19" s="1"/>
  <c r="GX31" i="19" a="1"/>
  <c r="GX31" i="19" s="1"/>
  <c r="GW31" i="19" a="1"/>
  <c r="GW31" i="19" s="1"/>
  <c r="GV31" i="19" a="1"/>
  <c r="GV31" i="19" s="1"/>
  <c r="GU31" i="19" a="1"/>
  <c r="GU31" i="19" s="1"/>
  <c r="GT31" i="19" a="1"/>
  <c r="GT31" i="19" s="1"/>
  <c r="GS31" i="19" a="1"/>
  <c r="GS31" i="19" s="1"/>
  <c r="GR31" i="19" a="1"/>
  <c r="GR31" i="19" s="1"/>
  <c r="GQ31" i="19" a="1"/>
  <c r="GQ31" i="19" s="1"/>
  <c r="GP31" i="19" a="1"/>
  <c r="GP31" i="19" s="1"/>
  <c r="GO31" i="19" a="1"/>
  <c r="GO31" i="19" s="1"/>
  <c r="GN31" i="19" a="1"/>
  <c r="GN31" i="19" s="1"/>
  <c r="GM31" i="19" a="1"/>
  <c r="GM31" i="19" s="1"/>
  <c r="GL31" i="19" a="1"/>
  <c r="GL31" i="19" s="1"/>
  <c r="GK31" i="19" a="1"/>
  <c r="GK31" i="19" s="1"/>
  <c r="GJ31" i="19" a="1"/>
  <c r="GJ31" i="19" s="1"/>
  <c r="GI31" i="19" a="1"/>
  <c r="GI31" i="19" s="1"/>
  <c r="GH31" i="19" a="1"/>
  <c r="GH31" i="19" s="1"/>
  <c r="GG31" i="19" a="1"/>
  <c r="GG31" i="19" s="1"/>
  <c r="GF31" i="19" a="1"/>
  <c r="GF31" i="19" s="1"/>
  <c r="GE31" i="19" a="1"/>
  <c r="GE31" i="19" s="1"/>
  <c r="GD31" i="19" a="1"/>
  <c r="GD31" i="19" s="1"/>
  <c r="GC31" i="19" a="1"/>
  <c r="GC31" i="19" s="1"/>
  <c r="GB31" i="19" a="1"/>
  <c r="GB31" i="19" s="1"/>
  <c r="GA31" i="19" a="1"/>
  <c r="GA31" i="19" s="1"/>
  <c r="FZ31" i="19" a="1"/>
  <c r="FZ31" i="19" s="1"/>
  <c r="FY31" i="19" a="1"/>
  <c r="FY31" i="19" s="1"/>
  <c r="FX31" i="19" a="1"/>
  <c r="FX31" i="19" s="1"/>
  <c r="FW31" i="19" a="1"/>
  <c r="FW31" i="19" s="1"/>
  <c r="FV31" i="19" a="1"/>
  <c r="FV31" i="19" s="1"/>
  <c r="FU31" i="19" a="1"/>
  <c r="FU31" i="19" s="1"/>
  <c r="FT31" i="19" a="1"/>
  <c r="FT31" i="19" s="1"/>
  <c r="FS31" i="19" a="1"/>
  <c r="FS31" i="19" s="1"/>
  <c r="FR31" i="19" a="1"/>
  <c r="FR31" i="19" s="1"/>
  <c r="FQ31" i="19" a="1"/>
  <c r="FQ31" i="19" s="1"/>
  <c r="FP31" i="19" a="1"/>
  <c r="FP31" i="19" s="1"/>
  <c r="FO31" i="19" a="1"/>
  <c r="FO31" i="19" s="1"/>
  <c r="FN31" i="19" a="1"/>
  <c r="FN31" i="19" s="1"/>
  <c r="FM31" i="19" a="1"/>
  <c r="FM31" i="19" s="1"/>
  <c r="ES31" i="19" a="1"/>
  <c r="ES31" i="19" s="1"/>
  <c r="DP31" i="19" a="1"/>
  <c r="DP31" i="19" s="1"/>
  <c r="DH31" i="19" a="1"/>
  <c r="DH31" i="19" s="1"/>
  <c r="DB31" i="19" a="1"/>
  <c r="DB31" i="19" s="1"/>
  <c r="DA31" i="19" a="1"/>
  <c r="DA31" i="19" s="1"/>
  <c r="CZ31" i="19" a="1"/>
  <c r="CZ31" i="19" s="1"/>
  <c r="CY31" i="19" a="1"/>
  <c r="CY31" i="19" s="1"/>
  <c r="CX31" i="19" a="1"/>
  <c r="CX31" i="19" s="1"/>
  <c r="CW31" i="19" a="1"/>
  <c r="CW31" i="19" s="1"/>
  <c r="CV31" i="19" a="1"/>
  <c r="CV31" i="19" s="1"/>
  <c r="CU31" i="19" a="1"/>
  <c r="CU31" i="19" s="1"/>
  <c r="CT31" i="19" a="1"/>
  <c r="CT31" i="19" s="1"/>
  <c r="CS31" i="19" a="1"/>
  <c r="CS31" i="19" s="1"/>
  <c r="CR31" i="19" a="1"/>
  <c r="CR31" i="19" s="1"/>
  <c r="CQ31" i="19" a="1"/>
  <c r="CQ31" i="19" s="1"/>
  <c r="CP31" i="19" a="1"/>
  <c r="CP31" i="19" s="1"/>
  <c r="CO31" i="19" a="1"/>
  <c r="CO31" i="19" s="1"/>
  <c r="CN31" i="19" a="1"/>
  <c r="CN31" i="19" s="1"/>
  <c r="CM31" i="19" a="1"/>
  <c r="CM31" i="19" s="1"/>
  <c r="CL31" i="19" a="1"/>
  <c r="CL31" i="19" s="1"/>
  <c r="CK31" i="19" a="1"/>
  <c r="CK31" i="19" s="1"/>
  <c r="CJ31" i="19" a="1"/>
  <c r="CJ31" i="19" s="1"/>
  <c r="CI31" i="19" a="1"/>
  <c r="CI31" i="19" s="1"/>
  <c r="CE31" i="19" l="1" a="1"/>
  <c r="CE31" i="19" s="1"/>
  <c r="CD31" i="19" a="1"/>
  <c r="CD31" i="19" s="1"/>
  <c r="F31" i="19" l="1" a="1"/>
  <c r="F31" i="19" s="1"/>
  <c r="C31" i="19" a="1"/>
  <c r="C31" i="19" s="1"/>
  <c r="B31" i="19" a="1"/>
  <c r="B31" i="19" l="1"/>
  <c r="HH30" i="19" a="1"/>
  <c r="HH30" i="19" s="1"/>
  <c r="HG30" i="19" a="1"/>
  <c r="HG30" i="19" s="1"/>
  <c r="HF30" i="19" a="1"/>
  <c r="HF30" i="19" s="1"/>
  <c r="HE30" i="19" a="1"/>
  <c r="HE30" i="19" s="1"/>
  <c r="HD30" i="19" a="1"/>
  <c r="HD30" i="19" s="1"/>
  <c r="HC30" i="19" a="1"/>
  <c r="HC30" i="19" s="1"/>
  <c r="HB30" i="19" a="1"/>
  <c r="HB30" i="19" s="1"/>
  <c r="HA30" i="19" a="1"/>
  <c r="HA30" i="19" s="1"/>
  <c r="GZ30" i="19" a="1"/>
  <c r="GZ30" i="19" s="1"/>
  <c r="GY30" i="19" a="1"/>
  <c r="GY30" i="19" s="1"/>
  <c r="GX30" i="19" a="1"/>
  <c r="GX30" i="19" s="1"/>
  <c r="GW30" i="19" a="1"/>
  <c r="GW30" i="19" s="1"/>
  <c r="GV30" i="19" a="1"/>
  <c r="GV30" i="19" s="1"/>
  <c r="GU30" i="19" a="1"/>
  <c r="GU30" i="19" s="1"/>
  <c r="GT30" i="19" a="1"/>
  <c r="GT30" i="19" s="1"/>
  <c r="GS30" i="19" a="1"/>
  <c r="GS30" i="19" s="1"/>
  <c r="GR30" i="19" a="1"/>
  <c r="GR30" i="19" s="1"/>
  <c r="GQ30" i="19" a="1"/>
  <c r="GQ30" i="19" s="1"/>
  <c r="GP30" i="19" a="1"/>
  <c r="GP30" i="19" s="1"/>
  <c r="GO30" i="19" a="1"/>
  <c r="GO30" i="19" s="1"/>
  <c r="GN30" i="19" a="1"/>
  <c r="GN30" i="19" s="1"/>
  <c r="GM30" i="19" a="1"/>
  <c r="GM30" i="19" s="1"/>
  <c r="GL30" i="19" a="1"/>
  <c r="GL30" i="19" s="1"/>
  <c r="GK30" i="19" a="1"/>
  <c r="GK30" i="19" s="1"/>
  <c r="GJ30" i="19" a="1"/>
  <c r="GJ30" i="19" s="1"/>
  <c r="GI30" i="19" a="1"/>
  <c r="GI30" i="19" s="1"/>
  <c r="GH30" i="19" a="1"/>
  <c r="GH30" i="19" s="1"/>
  <c r="GG30" i="19" a="1"/>
  <c r="GG30" i="19" s="1"/>
  <c r="GF30" i="19" a="1"/>
  <c r="GF30" i="19" s="1"/>
  <c r="GE30" i="19" a="1"/>
  <c r="GE30" i="19" s="1"/>
  <c r="GD30" i="19" a="1"/>
  <c r="GD30" i="19" s="1"/>
  <c r="GC30" i="19" a="1"/>
  <c r="GC30" i="19" s="1"/>
  <c r="GB30" i="19" a="1"/>
  <c r="GB30" i="19" s="1"/>
  <c r="GA30" i="19" a="1"/>
  <c r="GA30" i="19" s="1"/>
  <c r="FZ30" i="19" a="1"/>
  <c r="FZ30" i="19" s="1"/>
  <c r="FY30" i="19" a="1"/>
  <c r="FY30" i="19" s="1"/>
  <c r="FX30" i="19" a="1"/>
  <c r="FX30" i="19" s="1"/>
  <c r="FW30" i="19" a="1"/>
  <c r="FW30" i="19" s="1"/>
  <c r="FV30" i="19" a="1"/>
  <c r="FV30" i="19" s="1"/>
  <c r="FU30" i="19" a="1"/>
  <c r="FU30" i="19" s="1"/>
  <c r="FT30" i="19" a="1"/>
  <c r="FT30" i="19" s="1"/>
  <c r="FS30" i="19" a="1"/>
  <c r="FS30" i="19" s="1"/>
  <c r="FR30" i="19" a="1"/>
  <c r="FR30" i="19" s="1"/>
  <c r="FQ30" i="19" a="1"/>
  <c r="FQ30" i="19" s="1"/>
  <c r="FP30" i="19" a="1"/>
  <c r="FP30" i="19" s="1"/>
  <c r="FO30" i="19" a="1"/>
  <c r="FO30" i="19" s="1"/>
  <c r="FN30" i="19" a="1"/>
  <c r="FN30" i="19" s="1"/>
  <c r="FM30" i="19" a="1"/>
  <c r="FM30" i="19" s="1"/>
  <c r="ES30" i="19" a="1"/>
  <c r="ES30" i="19" s="1"/>
  <c r="DP30" i="19" a="1"/>
  <c r="DP30" i="19" s="1"/>
  <c r="DH30" i="19" a="1"/>
  <c r="DH30" i="19" s="1"/>
  <c r="DB30" i="19" a="1"/>
  <c r="DB30" i="19" s="1"/>
  <c r="DA30" i="19" a="1"/>
  <c r="DA30" i="19" s="1"/>
  <c r="CZ30" i="19" a="1"/>
  <c r="CZ30" i="19" s="1"/>
  <c r="CY30" i="19" a="1"/>
  <c r="CY30" i="19" s="1"/>
  <c r="CX30" i="19" a="1"/>
  <c r="CX30" i="19" s="1"/>
  <c r="CW30" i="19" a="1"/>
  <c r="CW30" i="19" s="1"/>
  <c r="CV30" i="19" a="1"/>
  <c r="CV30" i="19" s="1"/>
  <c r="CU30" i="19" a="1"/>
  <c r="CU30" i="19" s="1"/>
  <c r="CT30" i="19" a="1"/>
  <c r="CT30" i="19" s="1"/>
  <c r="CS30" i="19" a="1"/>
  <c r="CS30" i="19" s="1"/>
  <c r="CR30" i="19" a="1"/>
  <c r="CR30" i="19" s="1"/>
  <c r="CQ30" i="19" a="1"/>
  <c r="CQ30" i="19" s="1"/>
  <c r="CP30" i="19" a="1"/>
  <c r="CP30" i="19" s="1"/>
  <c r="CO30" i="19" a="1"/>
  <c r="CO30" i="19" s="1"/>
  <c r="CN30" i="19" a="1"/>
  <c r="CN30" i="19" s="1"/>
  <c r="CM30" i="19" a="1"/>
  <c r="CM30" i="19" s="1"/>
  <c r="CL30" i="19" a="1"/>
  <c r="CL30" i="19" s="1"/>
  <c r="CK30" i="19" a="1"/>
  <c r="CK30" i="19" s="1"/>
  <c r="CJ30" i="19" a="1"/>
  <c r="CJ30" i="19" s="1"/>
  <c r="CI30" i="19" a="1"/>
  <c r="CI30" i="19" s="1"/>
  <c r="CE30" i="19" l="1" a="1"/>
  <c r="CE30" i="19" s="1"/>
  <c r="CD30" i="19" a="1"/>
  <c r="CD30" i="19" s="1"/>
  <c r="F30" i="19" l="1" a="1"/>
  <c r="F30" i="19" s="1"/>
  <c r="C30" i="19" a="1"/>
  <c r="C30" i="19" s="1"/>
  <c r="B30" i="19" a="1"/>
  <c r="B30" i="19" l="1"/>
  <c r="HH29" i="19" a="1"/>
  <c r="HH29" i="19" s="1"/>
  <c r="HG29" i="19" a="1"/>
  <c r="HG29" i="19" s="1"/>
  <c r="HF29" i="19" a="1"/>
  <c r="HF29" i="19" s="1"/>
  <c r="HE29" i="19" a="1"/>
  <c r="HE29" i="19" s="1"/>
  <c r="HD29" i="19" a="1"/>
  <c r="HD29" i="19" s="1"/>
  <c r="HC29" i="19" a="1"/>
  <c r="HC29" i="19" s="1"/>
  <c r="HB29" i="19" a="1"/>
  <c r="HB29" i="19" s="1"/>
  <c r="HA29" i="19" a="1"/>
  <c r="HA29" i="19" s="1"/>
  <c r="GZ29" i="19" a="1"/>
  <c r="GZ29" i="19" s="1"/>
  <c r="GY29" i="19" a="1"/>
  <c r="GY29" i="19" s="1"/>
  <c r="GX29" i="19" a="1"/>
  <c r="GX29" i="19" s="1"/>
  <c r="GW29" i="19" a="1"/>
  <c r="GW29" i="19" s="1"/>
  <c r="GV29" i="19" a="1"/>
  <c r="GV29" i="19" s="1"/>
  <c r="GU29" i="19" a="1"/>
  <c r="GU29" i="19" s="1"/>
  <c r="GT29" i="19" a="1"/>
  <c r="GT29" i="19" s="1"/>
  <c r="GS29" i="19" a="1"/>
  <c r="GS29" i="19" s="1"/>
  <c r="GR29" i="19" a="1"/>
  <c r="GR29" i="19" s="1"/>
  <c r="GQ29" i="19" a="1"/>
  <c r="GQ29" i="19" s="1"/>
  <c r="GP29" i="19" a="1"/>
  <c r="GP29" i="19" s="1"/>
  <c r="GO29" i="19" a="1"/>
  <c r="GO29" i="19" s="1"/>
  <c r="GN29" i="19" a="1"/>
  <c r="GN29" i="19" s="1"/>
  <c r="GM29" i="19" a="1"/>
  <c r="GM29" i="19" s="1"/>
  <c r="GL29" i="19" a="1"/>
  <c r="GL29" i="19" s="1"/>
  <c r="GK29" i="19" a="1"/>
  <c r="GK29" i="19" s="1"/>
  <c r="GJ29" i="19" a="1"/>
  <c r="GJ29" i="19" s="1"/>
  <c r="GI29" i="19" a="1"/>
  <c r="GI29" i="19" s="1"/>
  <c r="GH29" i="19" a="1"/>
  <c r="GH29" i="19" s="1"/>
  <c r="GG29" i="19" a="1"/>
  <c r="GG29" i="19" s="1"/>
  <c r="GF29" i="19" a="1"/>
  <c r="GF29" i="19" s="1"/>
  <c r="GE29" i="19" a="1"/>
  <c r="GE29" i="19" s="1"/>
  <c r="GD29" i="19" a="1"/>
  <c r="GD29" i="19" s="1"/>
  <c r="GC29" i="19" a="1"/>
  <c r="GC29" i="19" s="1"/>
  <c r="GB29" i="19" a="1"/>
  <c r="GB29" i="19" s="1"/>
  <c r="GA29" i="19" a="1"/>
  <c r="GA29" i="19" s="1"/>
  <c r="FZ29" i="19" a="1"/>
  <c r="FZ29" i="19" s="1"/>
  <c r="FY29" i="19" a="1"/>
  <c r="FY29" i="19" s="1"/>
  <c r="FX29" i="19" a="1"/>
  <c r="FX29" i="19" s="1"/>
  <c r="FW29" i="19" a="1"/>
  <c r="FW29" i="19" s="1"/>
  <c r="FV29" i="19" a="1"/>
  <c r="FV29" i="19" s="1"/>
  <c r="FU29" i="19" a="1"/>
  <c r="FU29" i="19" s="1"/>
  <c r="FT29" i="19" a="1"/>
  <c r="FT29" i="19" s="1"/>
  <c r="FS29" i="19" a="1"/>
  <c r="FS29" i="19" s="1"/>
  <c r="FR29" i="19" a="1"/>
  <c r="FR29" i="19" s="1"/>
  <c r="FQ29" i="19" a="1"/>
  <c r="FQ29" i="19" s="1"/>
  <c r="FP29" i="19" a="1"/>
  <c r="FP29" i="19" s="1"/>
  <c r="FO29" i="19" a="1"/>
  <c r="FO29" i="19" s="1"/>
  <c r="FN29" i="19" a="1"/>
  <c r="FN29" i="19" s="1"/>
  <c r="FM29" i="19" a="1"/>
  <c r="FM29" i="19" s="1"/>
  <c r="ES29" i="19" a="1"/>
  <c r="ES29" i="19" s="1"/>
  <c r="DP29" i="19" a="1"/>
  <c r="DP29" i="19" s="1"/>
  <c r="DH29" i="19" a="1"/>
  <c r="DH29" i="19" s="1"/>
  <c r="DB29" i="19" a="1"/>
  <c r="DB29" i="19" s="1"/>
  <c r="DA29" i="19" a="1"/>
  <c r="DA29" i="19" s="1"/>
  <c r="CZ29" i="19" a="1"/>
  <c r="CZ29" i="19" s="1"/>
  <c r="CY29" i="19" a="1"/>
  <c r="CY29" i="19" s="1"/>
  <c r="CX29" i="19" a="1"/>
  <c r="CX29" i="19" s="1"/>
  <c r="CW29" i="19" a="1"/>
  <c r="CW29" i="19" s="1"/>
  <c r="CV29" i="19" a="1"/>
  <c r="CV29" i="19" s="1"/>
  <c r="CU29" i="19" a="1"/>
  <c r="CU29" i="19" s="1"/>
  <c r="CT29" i="19" a="1"/>
  <c r="CT29" i="19" s="1"/>
  <c r="CS29" i="19" a="1"/>
  <c r="CS29" i="19" s="1"/>
  <c r="CR29" i="19" a="1"/>
  <c r="CR29" i="19" s="1"/>
  <c r="CQ29" i="19" a="1"/>
  <c r="CQ29" i="19" s="1"/>
  <c r="CP29" i="19" a="1"/>
  <c r="CP29" i="19" s="1"/>
  <c r="CO29" i="19" a="1"/>
  <c r="CO29" i="19" s="1"/>
  <c r="CN29" i="19" a="1"/>
  <c r="CN29" i="19" s="1"/>
  <c r="CM29" i="19" a="1"/>
  <c r="CM29" i="19" s="1"/>
  <c r="CL29" i="19" a="1"/>
  <c r="CL29" i="19" s="1"/>
  <c r="CK29" i="19" a="1"/>
  <c r="CK29" i="19" s="1"/>
  <c r="CJ29" i="19" a="1"/>
  <c r="CJ29" i="19" s="1"/>
  <c r="CI29" i="19" a="1"/>
  <c r="CI29" i="19" s="1"/>
  <c r="CE29" i="19" l="1" a="1"/>
  <c r="CE29" i="19" s="1"/>
  <c r="CD29" i="19" a="1"/>
  <c r="CD29" i="19" s="1"/>
  <c r="F29" i="19" l="1" a="1"/>
  <c r="F29" i="19" s="1"/>
  <c r="C29" i="19" a="1"/>
  <c r="C29" i="19" s="1"/>
  <c r="B29" i="19" a="1"/>
  <c r="B29" i="19" l="1"/>
  <c r="HH28" i="19" a="1"/>
  <c r="HH28" i="19" s="1"/>
  <c r="HG28" i="19" a="1"/>
  <c r="HG28" i="19" s="1"/>
  <c r="HF28" i="19" a="1"/>
  <c r="HF28" i="19" s="1"/>
  <c r="HE28" i="19" a="1"/>
  <c r="HE28" i="19" s="1"/>
  <c r="HD28" i="19" a="1"/>
  <c r="HD28" i="19" s="1"/>
  <c r="HC28" i="19" a="1"/>
  <c r="HC28" i="19" s="1"/>
  <c r="HB28" i="19" a="1"/>
  <c r="HB28" i="19" s="1"/>
  <c r="HA28" i="19" a="1"/>
  <c r="HA28" i="19" s="1"/>
  <c r="GZ28" i="19" a="1"/>
  <c r="GZ28" i="19" s="1"/>
  <c r="GY28" i="19" a="1"/>
  <c r="GY28" i="19" s="1"/>
  <c r="GX28" i="19" a="1"/>
  <c r="GX28" i="19" s="1"/>
  <c r="GW28" i="19" a="1"/>
  <c r="GW28" i="19" s="1"/>
  <c r="GV28" i="19" a="1"/>
  <c r="GV28" i="19" s="1"/>
  <c r="GU28" i="19" a="1"/>
  <c r="GU28" i="19" s="1"/>
  <c r="GT28" i="19" a="1"/>
  <c r="GT28" i="19" s="1"/>
  <c r="GS28" i="19" a="1"/>
  <c r="GS28" i="19" s="1"/>
  <c r="GR28" i="19" a="1"/>
  <c r="GR28" i="19" s="1"/>
  <c r="GQ28" i="19" a="1"/>
  <c r="GQ28" i="19" s="1"/>
  <c r="GP28" i="19" a="1"/>
  <c r="GP28" i="19" s="1"/>
  <c r="GO28" i="19" a="1"/>
  <c r="GO28" i="19" s="1"/>
  <c r="GN28" i="19" a="1"/>
  <c r="GN28" i="19" s="1"/>
  <c r="GM28" i="19" a="1"/>
  <c r="GM28" i="19" s="1"/>
  <c r="GL28" i="19" a="1"/>
  <c r="GL28" i="19" s="1"/>
  <c r="GK28" i="19" a="1"/>
  <c r="GK28" i="19" s="1"/>
  <c r="GJ28" i="19" a="1"/>
  <c r="GJ28" i="19" s="1"/>
  <c r="GI28" i="19" a="1"/>
  <c r="GI28" i="19" s="1"/>
  <c r="GH28" i="19" a="1"/>
  <c r="GH28" i="19" s="1"/>
  <c r="GG28" i="19" a="1"/>
  <c r="GG28" i="19" s="1"/>
  <c r="GF28" i="19" a="1"/>
  <c r="GF28" i="19" s="1"/>
  <c r="GE28" i="19" a="1"/>
  <c r="GE28" i="19" s="1"/>
  <c r="GD28" i="19" a="1"/>
  <c r="GD28" i="19" s="1"/>
  <c r="GC28" i="19" a="1"/>
  <c r="GC28" i="19" s="1"/>
  <c r="GB28" i="19" a="1"/>
  <c r="GB28" i="19" s="1"/>
  <c r="GA28" i="19" a="1"/>
  <c r="GA28" i="19" s="1"/>
  <c r="FZ28" i="19" a="1"/>
  <c r="FZ28" i="19" s="1"/>
  <c r="FY28" i="19" a="1"/>
  <c r="FY28" i="19" s="1"/>
  <c r="FX28" i="19" a="1"/>
  <c r="FX28" i="19" s="1"/>
  <c r="FW28" i="19" a="1"/>
  <c r="FW28" i="19" s="1"/>
  <c r="FV28" i="19" a="1"/>
  <c r="FV28" i="19" s="1"/>
  <c r="FU28" i="19" a="1"/>
  <c r="FU28" i="19" s="1"/>
  <c r="FT28" i="19" a="1"/>
  <c r="FT28" i="19" s="1"/>
  <c r="FS28" i="19" a="1"/>
  <c r="FS28" i="19" s="1"/>
  <c r="FR28" i="19" a="1"/>
  <c r="FR28" i="19" s="1"/>
  <c r="FQ28" i="19" a="1"/>
  <c r="FQ28" i="19" s="1"/>
  <c r="FP28" i="19" a="1"/>
  <c r="FP28" i="19" s="1"/>
  <c r="FO28" i="19" a="1"/>
  <c r="FO28" i="19" s="1"/>
  <c r="FN28" i="19" a="1"/>
  <c r="FN28" i="19" s="1"/>
  <c r="FM28" i="19" a="1"/>
  <c r="FM28" i="19" s="1"/>
  <c r="ES28" i="19" a="1"/>
  <c r="ES28" i="19" s="1"/>
  <c r="DP28" i="19" a="1"/>
  <c r="DP28" i="19" s="1"/>
  <c r="DH28" i="19" a="1"/>
  <c r="DH28" i="19" s="1"/>
  <c r="DB28" i="19" a="1"/>
  <c r="DB28" i="19" s="1"/>
  <c r="DA28" i="19" a="1"/>
  <c r="DA28" i="19" s="1"/>
  <c r="CZ28" i="19" a="1"/>
  <c r="CZ28" i="19" s="1"/>
  <c r="CY28" i="19" a="1"/>
  <c r="CY28" i="19" s="1"/>
  <c r="CX28" i="19" a="1"/>
  <c r="CX28" i="19" s="1"/>
  <c r="CW28" i="19" a="1"/>
  <c r="CW28" i="19" s="1"/>
  <c r="CV28" i="19" a="1"/>
  <c r="CV28" i="19" s="1"/>
  <c r="CU28" i="19" a="1"/>
  <c r="CU28" i="19" s="1"/>
  <c r="CT28" i="19" a="1"/>
  <c r="CT28" i="19" s="1"/>
  <c r="CS28" i="19" a="1"/>
  <c r="CS28" i="19" s="1"/>
  <c r="CR28" i="19" a="1"/>
  <c r="CR28" i="19" s="1"/>
  <c r="CQ28" i="19" a="1"/>
  <c r="CQ28" i="19" s="1"/>
  <c r="CP28" i="19" a="1"/>
  <c r="CP28" i="19" s="1"/>
  <c r="CO28" i="19" a="1"/>
  <c r="CO28" i="19" s="1"/>
  <c r="CN28" i="19" a="1"/>
  <c r="CN28" i="19" s="1"/>
  <c r="CM28" i="19" a="1"/>
  <c r="CM28" i="19" s="1"/>
  <c r="CL28" i="19" a="1"/>
  <c r="CL28" i="19" s="1"/>
  <c r="CK28" i="19" a="1"/>
  <c r="CK28" i="19" s="1"/>
  <c r="CJ28" i="19" a="1"/>
  <c r="CJ28" i="19" s="1"/>
  <c r="CI28" i="19" a="1"/>
  <c r="CI28" i="19" s="1"/>
  <c r="CE28" i="19" l="1" a="1"/>
  <c r="CE28" i="19" s="1"/>
  <c r="CD28" i="19" a="1"/>
  <c r="CD28" i="19" s="1"/>
  <c r="F28" i="19" l="1" a="1"/>
  <c r="F28" i="19" s="1"/>
  <c r="C28" i="19" a="1"/>
  <c r="C28" i="19" s="1"/>
  <c r="B28" i="19" a="1"/>
  <c r="B28" i="19" l="1"/>
  <c r="HH27" i="19" a="1"/>
  <c r="HH27" i="19" s="1"/>
  <c r="HG27" i="19" a="1"/>
  <c r="HG27" i="19" s="1"/>
  <c r="HF27" i="19" a="1"/>
  <c r="HF27" i="19" s="1"/>
  <c r="HE27" i="19" a="1"/>
  <c r="HE27" i="19" s="1"/>
  <c r="HD27" i="19" a="1"/>
  <c r="HD27" i="19" s="1"/>
  <c r="HC27" i="19" a="1"/>
  <c r="HC27" i="19" s="1"/>
  <c r="HB27" i="19" a="1"/>
  <c r="HB27" i="19" s="1"/>
  <c r="HA27" i="19" a="1"/>
  <c r="HA27" i="19" s="1"/>
  <c r="GZ27" i="19" a="1"/>
  <c r="GZ27" i="19" s="1"/>
  <c r="GY27" i="19" a="1"/>
  <c r="GY27" i="19" s="1"/>
  <c r="GX27" i="19" a="1"/>
  <c r="GX27" i="19" s="1"/>
  <c r="GW27" i="19" a="1"/>
  <c r="GW27" i="19" s="1"/>
  <c r="GV27" i="19" a="1"/>
  <c r="GV27" i="19" s="1"/>
  <c r="GU27" i="19" a="1"/>
  <c r="GU27" i="19" s="1"/>
  <c r="GT27" i="19" a="1"/>
  <c r="GT27" i="19" s="1"/>
  <c r="GS27" i="19" a="1"/>
  <c r="GS27" i="19" s="1"/>
  <c r="GR27" i="19" a="1"/>
  <c r="GR27" i="19" s="1"/>
  <c r="GQ27" i="19" a="1"/>
  <c r="GQ27" i="19" s="1"/>
  <c r="GP27" i="19" a="1"/>
  <c r="GP27" i="19" s="1"/>
  <c r="GO27" i="19" a="1"/>
  <c r="GO27" i="19" s="1"/>
  <c r="GN27" i="19" a="1"/>
  <c r="GN27" i="19" s="1"/>
  <c r="GM27" i="19" a="1"/>
  <c r="GM27" i="19" s="1"/>
  <c r="GL27" i="19" a="1"/>
  <c r="GL27" i="19" s="1"/>
  <c r="GK27" i="19" a="1"/>
  <c r="GK27" i="19" s="1"/>
  <c r="GJ27" i="19" a="1"/>
  <c r="GJ27" i="19" s="1"/>
  <c r="GI27" i="19" a="1"/>
  <c r="GI27" i="19" s="1"/>
  <c r="GH27" i="19" a="1"/>
  <c r="GH27" i="19" s="1"/>
  <c r="GG27" i="19" a="1"/>
  <c r="GG27" i="19" s="1"/>
  <c r="GF27" i="19" a="1"/>
  <c r="GF27" i="19" s="1"/>
  <c r="GE27" i="19" a="1"/>
  <c r="GE27" i="19" s="1"/>
  <c r="GD27" i="19" a="1"/>
  <c r="GD27" i="19" s="1"/>
  <c r="GC27" i="19" a="1"/>
  <c r="GC27" i="19" s="1"/>
  <c r="GB27" i="19" a="1"/>
  <c r="GB27" i="19" s="1"/>
  <c r="GA27" i="19" a="1"/>
  <c r="GA27" i="19" s="1"/>
  <c r="FZ27" i="19" a="1"/>
  <c r="FZ27" i="19" s="1"/>
  <c r="FY27" i="19" a="1"/>
  <c r="FY27" i="19" s="1"/>
  <c r="FX27" i="19" a="1"/>
  <c r="FX27" i="19" s="1"/>
  <c r="FW27" i="19" a="1"/>
  <c r="FW27" i="19" s="1"/>
  <c r="FV27" i="19" a="1"/>
  <c r="FV27" i="19" s="1"/>
  <c r="FU27" i="19" a="1"/>
  <c r="FU27" i="19" s="1"/>
  <c r="FT27" i="19" a="1"/>
  <c r="FT27" i="19" s="1"/>
  <c r="FS27" i="19" a="1"/>
  <c r="FS27" i="19" s="1"/>
  <c r="FR27" i="19" a="1"/>
  <c r="FR27" i="19" s="1"/>
  <c r="FQ27" i="19" a="1"/>
  <c r="FQ27" i="19" s="1"/>
  <c r="FP27" i="19" a="1"/>
  <c r="FP27" i="19" s="1"/>
  <c r="FO27" i="19" a="1"/>
  <c r="FO27" i="19" s="1"/>
  <c r="FN27" i="19" a="1"/>
  <c r="FN27" i="19" s="1"/>
  <c r="FM27" i="19" a="1"/>
  <c r="FM27" i="19" s="1"/>
  <c r="ES27" i="19" a="1"/>
  <c r="ES27" i="19" s="1"/>
  <c r="DP27" i="19" a="1"/>
  <c r="DP27" i="19" s="1"/>
  <c r="DH27" i="19" a="1"/>
  <c r="DH27" i="19" s="1"/>
  <c r="DB27" i="19" a="1"/>
  <c r="DB27" i="19" s="1"/>
  <c r="DA27" i="19" a="1"/>
  <c r="DA27" i="19" s="1"/>
  <c r="CZ27" i="19" a="1"/>
  <c r="CZ27" i="19" s="1"/>
  <c r="CY27" i="19" a="1"/>
  <c r="CY27" i="19" s="1"/>
  <c r="CX27" i="19" a="1"/>
  <c r="CX27" i="19" s="1"/>
  <c r="CW27" i="19" a="1"/>
  <c r="CW27" i="19" s="1"/>
  <c r="CV27" i="19" a="1"/>
  <c r="CV27" i="19" s="1"/>
  <c r="CU27" i="19" a="1"/>
  <c r="CU27" i="19" s="1"/>
  <c r="CT27" i="19" a="1"/>
  <c r="CT27" i="19" s="1"/>
  <c r="CS27" i="19" a="1"/>
  <c r="CS27" i="19" s="1"/>
  <c r="CR27" i="19" a="1"/>
  <c r="CR27" i="19" s="1"/>
  <c r="CQ27" i="19" a="1"/>
  <c r="CQ27" i="19" s="1"/>
  <c r="CP27" i="19" a="1"/>
  <c r="CP27" i="19" s="1"/>
  <c r="CO27" i="19" a="1"/>
  <c r="CO27" i="19" s="1"/>
  <c r="CN27" i="19" a="1"/>
  <c r="CN27" i="19" s="1"/>
  <c r="CM27" i="19" a="1"/>
  <c r="CM27" i="19" s="1"/>
  <c r="CL27" i="19" a="1"/>
  <c r="CL27" i="19" s="1"/>
  <c r="CK27" i="19" a="1"/>
  <c r="CK27" i="19" s="1"/>
  <c r="CJ27" i="19" a="1"/>
  <c r="CJ27" i="19" s="1"/>
  <c r="CI27" i="19" a="1"/>
  <c r="CI27" i="19" s="1"/>
  <c r="CE27" i="19" l="1" a="1"/>
  <c r="CE27" i="19" s="1"/>
  <c r="CD27" i="19" a="1"/>
  <c r="CD27" i="19" s="1"/>
  <c r="F27" i="19" l="1" a="1"/>
  <c r="F27" i="19" s="1"/>
  <c r="C27" i="19" a="1"/>
  <c r="C27" i="19" s="1"/>
  <c r="B27" i="19" a="1"/>
  <c r="B27" i="19" l="1"/>
  <c r="HH26" i="19" a="1"/>
  <c r="HH26" i="19" s="1"/>
  <c r="HG26" i="19" a="1"/>
  <c r="HG26" i="19" s="1"/>
  <c r="HF26" i="19" a="1"/>
  <c r="HF26" i="19" s="1"/>
  <c r="HE26" i="19" a="1"/>
  <c r="HE26" i="19" s="1"/>
  <c r="HD26" i="19" a="1"/>
  <c r="HD26" i="19" s="1"/>
  <c r="HC26" i="19" a="1"/>
  <c r="HC26" i="19" s="1"/>
  <c r="HB26" i="19" a="1"/>
  <c r="HB26" i="19" s="1"/>
  <c r="HA26" i="19" a="1"/>
  <c r="HA26" i="19" s="1"/>
  <c r="GZ26" i="19" a="1"/>
  <c r="GZ26" i="19" s="1"/>
  <c r="GY26" i="19" a="1"/>
  <c r="GY26" i="19" s="1"/>
  <c r="GX26" i="19" a="1"/>
  <c r="GX26" i="19" s="1"/>
  <c r="GW26" i="19" a="1"/>
  <c r="GW26" i="19" s="1"/>
  <c r="GV26" i="19" a="1"/>
  <c r="GV26" i="19" s="1"/>
  <c r="GU26" i="19" a="1"/>
  <c r="GU26" i="19" s="1"/>
  <c r="GT26" i="19" a="1"/>
  <c r="GT26" i="19" s="1"/>
  <c r="GS26" i="19" a="1"/>
  <c r="GS26" i="19" s="1"/>
  <c r="GR26" i="19" a="1"/>
  <c r="GR26" i="19" s="1"/>
  <c r="GQ26" i="19" a="1"/>
  <c r="GQ26" i="19" s="1"/>
  <c r="GP26" i="19" a="1"/>
  <c r="GP26" i="19" s="1"/>
  <c r="GO26" i="19" a="1"/>
  <c r="GO26" i="19" s="1"/>
  <c r="GN26" i="19" a="1"/>
  <c r="GN26" i="19" s="1"/>
  <c r="GM26" i="19" a="1"/>
  <c r="GM26" i="19" s="1"/>
  <c r="GL26" i="19" a="1"/>
  <c r="GL26" i="19" s="1"/>
  <c r="GK26" i="19" a="1"/>
  <c r="GK26" i="19" s="1"/>
  <c r="GJ26" i="19" a="1"/>
  <c r="GJ26" i="19" s="1"/>
  <c r="GI26" i="19" a="1"/>
  <c r="GI26" i="19" s="1"/>
  <c r="GH26" i="19" a="1"/>
  <c r="GH26" i="19" s="1"/>
  <c r="GG26" i="19" a="1"/>
  <c r="GG26" i="19" s="1"/>
  <c r="GF26" i="19" a="1"/>
  <c r="GF26" i="19" s="1"/>
  <c r="GE26" i="19" a="1"/>
  <c r="GE26" i="19" s="1"/>
  <c r="GD26" i="19" a="1"/>
  <c r="GD26" i="19" s="1"/>
  <c r="GC26" i="19" a="1"/>
  <c r="GC26" i="19" s="1"/>
  <c r="GB26" i="19" a="1"/>
  <c r="GB26" i="19" s="1"/>
  <c r="GA26" i="19" a="1"/>
  <c r="GA26" i="19" s="1"/>
  <c r="FZ26" i="19" a="1"/>
  <c r="FZ26" i="19" s="1"/>
  <c r="FY26" i="19" a="1"/>
  <c r="FY26" i="19" s="1"/>
  <c r="FX26" i="19" a="1"/>
  <c r="FX26" i="19" s="1"/>
  <c r="FW26" i="19" a="1"/>
  <c r="FW26" i="19" s="1"/>
  <c r="FV26" i="19" a="1"/>
  <c r="FV26" i="19" s="1"/>
  <c r="FU26" i="19" a="1"/>
  <c r="FU26" i="19" s="1"/>
  <c r="FT26" i="19" a="1"/>
  <c r="FT26" i="19" s="1"/>
  <c r="FS26" i="19" a="1"/>
  <c r="FS26" i="19" s="1"/>
  <c r="FR26" i="19" a="1"/>
  <c r="FR26" i="19" s="1"/>
  <c r="FQ26" i="19" a="1"/>
  <c r="FQ26" i="19" s="1"/>
  <c r="FP26" i="19" a="1"/>
  <c r="FP26" i="19" s="1"/>
  <c r="FO26" i="19" a="1"/>
  <c r="FO26" i="19" s="1"/>
  <c r="FN26" i="19" a="1"/>
  <c r="FN26" i="19" s="1"/>
  <c r="FM26" i="19" a="1"/>
  <c r="FM26" i="19" s="1"/>
  <c r="ES26" i="19" a="1"/>
  <c r="ES26" i="19" s="1"/>
  <c r="DP26" i="19" a="1"/>
  <c r="DP26" i="19" s="1"/>
  <c r="DH26" i="19" a="1"/>
  <c r="DH26" i="19" s="1"/>
  <c r="DB26" i="19" a="1"/>
  <c r="DB26" i="19" s="1"/>
  <c r="DA26" i="19" a="1"/>
  <c r="DA26" i="19" s="1"/>
  <c r="CZ26" i="19" a="1"/>
  <c r="CZ26" i="19" s="1"/>
  <c r="CY26" i="19" a="1"/>
  <c r="CY26" i="19" s="1"/>
  <c r="CX26" i="19" a="1"/>
  <c r="CX26" i="19" s="1"/>
  <c r="CW26" i="19" a="1"/>
  <c r="CW26" i="19" s="1"/>
  <c r="CV26" i="19" a="1"/>
  <c r="CV26" i="19" s="1"/>
  <c r="CU26" i="19" a="1"/>
  <c r="CU26" i="19" s="1"/>
  <c r="CT26" i="19" a="1"/>
  <c r="CT26" i="19" s="1"/>
  <c r="CS26" i="19" a="1"/>
  <c r="CS26" i="19" s="1"/>
  <c r="CR26" i="19" a="1"/>
  <c r="CR26" i="19" s="1"/>
  <c r="CQ26" i="19" a="1"/>
  <c r="CQ26" i="19" s="1"/>
  <c r="CP26" i="19" a="1"/>
  <c r="CP26" i="19" s="1"/>
  <c r="CO26" i="19" a="1"/>
  <c r="CO26" i="19" s="1"/>
  <c r="CN26" i="19" a="1"/>
  <c r="CN26" i="19" s="1"/>
  <c r="CM26" i="19" a="1"/>
  <c r="CM26" i="19" s="1"/>
  <c r="CL26" i="19" a="1"/>
  <c r="CL26" i="19" s="1"/>
  <c r="CK26" i="19" a="1"/>
  <c r="CK26" i="19" s="1"/>
  <c r="CJ26" i="19" a="1"/>
  <c r="CJ26" i="19" s="1"/>
  <c r="CI26" i="19" a="1"/>
  <c r="CI26" i="19" s="1"/>
  <c r="CE26" i="19" l="1" a="1"/>
  <c r="CE26" i="19" s="1"/>
  <c r="CD26" i="19" a="1"/>
  <c r="CD26" i="19" s="1"/>
  <c r="F26" i="19" l="1" a="1"/>
  <c r="F26" i="19" s="1"/>
  <c r="C26" i="19" a="1"/>
  <c r="C26" i="19" s="1"/>
  <c r="B26" i="19" a="1"/>
  <c r="B26" i="19" l="1"/>
  <c r="HH25" i="19" a="1"/>
  <c r="HH25" i="19" s="1"/>
  <c r="HG25" i="19" a="1"/>
  <c r="HG25" i="19" s="1"/>
  <c r="HF25" i="19" a="1"/>
  <c r="HF25" i="19" s="1"/>
  <c r="HE25" i="19" a="1"/>
  <c r="HE25" i="19" s="1"/>
  <c r="HD25" i="19" a="1"/>
  <c r="HD25" i="19" s="1"/>
  <c r="HC25" i="19" a="1"/>
  <c r="HC25" i="19" s="1"/>
  <c r="HB25" i="19" a="1"/>
  <c r="HB25" i="19" s="1"/>
  <c r="HA25" i="19" a="1"/>
  <c r="HA25" i="19" s="1"/>
  <c r="GZ25" i="19" a="1"/>
  <c r="GZ25" i="19" s="1"/>
  <c r="GY25" i="19" a="1"/>
  <c r="GY25" i="19" s="1"/>
  <c r="GX25" i="19" a="1"/>
  <c r="GX25" i="19" s="1"/>
  <c r="GW25" i="19" a="1"/>
  <c r="GW25" i="19" s="1"/>
  <c r="GV25" i="19" a="1"/>
  <c r="GV25" i="19" s="1"/>
  <c r="GU25" i="19" a="1"/>
  <c r="GU25" i="19" s="1"/>
  <c r="GT25" i="19" a="1"/>
  <c r="GT25" i="19" s="1"/>
  <c r="GS25" i="19" a="1"/>
  <c r="GS25" i="19" s="1"/>
  <c r="GR25" i="19" a="1"/>
  <c r="GR25" i="19" s="1"/>
  <c r="GQ25" i="19" a="1"/>
  <c r="GQ25" i="19" s="1"/>
  <c r="GP25" i="19" a="1"/>
  <c r="GP25" i="19" s="1"/>
  <c r="GO25" i="19" a="1"/>
  <c r="GO25" i="19" s="1"/>
  <c r="GN25" i="19" a="1"/>
  <c r="GN25" i="19" s="1"/>
  <c r="GM25" i="19" a="1"/>
  <c r="GM25" i="19" s="1"/>
  <c r="GL25" i="19" a="1"/>
  <c r="GL25" i="19" s="1"/>
  <c r="GK25" i="19" a="1"/>
  <c r="GK25" i="19" s="1"/>
  <c r="GJ25" i="19" a="1"/>
  <c r="GJ25" i="19" s="1"/>
  <c r="GI25" i="19" a="1"/>
  <c r="GI25" i="19" s="1"/>
  <c r="GH25" i="19" a="1"/>
  <c r="GH25" i="19" s="1"/>
  <c r="GG25" i="19" a="1"/>
  <c r="GG25" i="19" s="1"/>
  <c r="GF25" i="19" a="1"/>
  <c r="GF25" i="19" s="1"/>
  <c r="GE25" i="19" a="1"/>
  <c r="GE25" i="19" s="1"/>
  <c r="GD25" i="19" a="1"/>
  <c r="GD25" i="19" s="1"/>
  <c r="GC25" i="19" a="1"/>
  <c r="GC25" i="19" s="1"/>
  <c r="GB25" i="19" a="1"/>
  <c r="GB25" i="19" s="1"/>
  <c r="GA25" i="19" a="1"/>
  <c r="GA25" i="19" s="1"/>
  <c r="FZ25" i="19" a="1"/>
  <c r="FZ25" i="19" s="1"/>
  <c r="FY25" i="19" a="1"/>
  <c r="FY25" i="19" s="1"/>
  <c r="FX25" i="19" a="1"/>
  <c r="FX25" i="19" s="1"/>
  <c r="FW25" i="19" a="1"/>
  <c r="FW25" i="19" s="1"/>
  <c r="FV25" i="19" a="1"/>
  <c r="FV25" i="19" s="1"/>
  <c r="FU25" i="19" a="1"/>
  <c r="FU25" i="19" s="1"/>
  <c r="FT25" i="19" a="1"/>
  <c r="FT25" i="19" s="1"/>
  <c r="FS25" i="19" a="1"/>
  <c r="FS25" i="19" s="1"/>
  <c r="FR25" i="19" a="1"/>
  <c r="FR25" i="19" s="1"/>
  <c r="FQ25" i="19" a="1"/>
  <c r="FQ25" i="19" s="1"/>
  <c r="FP25" i="19" a="1"/>
  <c r="FP25" i="19" s="1"/>
  <c r="FO25" i="19" a="1"/>
  <c r="FO25" i="19" s="1"/>
  <c r="FN25" i="19" a="1"/>
  <c r="FN25" i="19" s="1"/>
  <c r="FM25" i="19" a="1"/>
  <c r="FM25" i="19" s="1"/>
  <c r="ES25" i="19" a="1"/>
  <c r="ES25" i="19" s="1"/>
  <c r="DP25" i="19" a="1"/>
  <c r="DP25" i="19" s="1"/>
  <c r="DH25" i="19" a="1"/>
  <c r="DH25" i="19" s="1"/>
  <c r="DB25" i="19" a="1"/>
  <c r="DB25" i="19" s="1"/>
  <c r="DA25" i="19" a="1"/>
  <c r="DA25" i="19" s="1"/>
  <c r="CZ25" i="19" a="1"/>
  <c r="CZ25" i="19" s="1"/>
  <c r="CY25" i="19" a="1"/>
  <c r="CY25" i="19" s="1"/>
  <c r="CX25" i="19" a="1"/>
  <c r="CX25" i="19" s="1"/>
  <c r="CW25" i="19" a="1"/>
  <c r="CW25" i="19" s="1"/>
  <c r="CV25" i="19" a="1"/>
  <c r="CV25" i="19" s="1"/>
  <c r="CU25" i="19" a="1"/>
  <c r="CU25" i="19" s="1"/>
  <c r="CT25" i="19" a="1"/>
  <c r="CT25" i="19" s="1"/>
  <c r="CS25" i="19" a="1"/>
  <c r="CS25" i="19" s="1"/>
  <c r="CR25" i="19" a="1"/>
  <c r="CR25" i="19" s="1"/>
  <c r="CQ25" i="19" a="1"/>
  <c r="CQ25" i="19" s="1"/>
  <c r="CP25" i="19" a="1"/>
  <c r="CP25" i="19" s="1"/>
  <c r="CO25" i="19" a="1"/>
  <c r="CO25" i="19" s="1"/>
  <c r="CN25" i="19" a="1"/>
  <c r="CN25" i="19" s="1"/>
  <c r="CM25" i="19" a="1"/>
  <c r="CM25" i="19" s="1"/>
  <c r="CL25" i="19" a="1"/>
  <c r="CL25" i="19" s="1"/>
  <c r="CK25" i="19" a="1"/>
  <c r="CK25" i="19" s="1"/>
  <c r="CJ25" i="19" a="1"/>
  <c r="CJ25" i="19" s="1"/>
  <c r="CI25" i="19" a="1"/>
  <c r="CI25" i="19" s="1"/>
  <c r="CE25" i="19" l="1" a="1"/>
  <c r="CE25" i="19" s="1"/>
  <c r="CD25" i="19" a="1"/>
  <c r="CD25" i="19" s="1"/>
  <c r="F25" i="19" l="1" a="1"/>
  <c r="F25" i="19" s="1"/>
  <c r="C25" i="19" a="1"/>
  <c r="C25" i="19" s="1"/>
  <c r="B25" i="19" a="1"/>
  <c r="B25" i="19" l="1"/>
  <c r="GZ24" i="19" a="1"/>
  <c r="GZ24" i="19" s="1"/>
  <c r="GY24" i="19" a="1"/>
  <c r="GY24" i="19" s="1"/>
  <c r="GX24" i="19" a="1"/>
  <c r="GX24" i="19" s="1"/>
  <c r="GW24" i="19" a="1"/>
  <c r="GW24" i="19" s="1"/>
  <c r="GV24" i="19" a="1"/>
  <c r="GV24" i="19" s="1"/>
  <c r="GU24" i="19" a="1"/>
  <c r="GU24" i="19" s="1"/>
  <c r="GT24" i="19" a="1"/>
  <c r="GT24" i="19" s="1"/>
  <c r="GS24" i="19" a="1"/>
  <c r="GS24" i="19" s="1"/>
  <c r="GR24" i="19" a="1"/>
  <c r="GR24" i="19" s="1"/>
  <c r="GQ24" i="19" a="1"/>
  <c r="GQ24" i="19" s="1"/>
  <c r="GP24" i="19" a="1"/>
  <c r="GP24" i="19" s="1"/>
  <c r="GO24" i="19" a="1"/>
  <c r="GO24" i="19" s="1"/>
  <c r="GN24" i="19" a="1"/>
  <c r="GN24" i="19" s="1"/>
  <c r="GM24" i="19" a="1"/>
  <c r="GM24" i="19" s="1"/>
  <c r="GL24" i="19" a="1"/>
  <c r="GL24" i="19" s="1"/>
  <c r="GK24" i="19" a="1"/>
  <c r="GK24" i="19" s="1"/>
  <c r="GJ24" i="19" a="1"/>
  <c r="GJ24" i="19" s="1"/>
  <c r="GI24" i="19" a="1"/>
  <c r="GI24" i="19" s="1"/>
  <c r="GH24" i="19" a="1"/>
  <c r="GH24" i="19" s="1"/>
  <c r="GG24" i="19" a="1"/>
  <c r="GG24" i="19" s="1"/>
  <c r="GF24" i="19" a="1"/>
  <c r="GF24" i="19" s="1"/>
  <c r="GE24" i="19" a="1"/>
  <c r="GE24" i="19" s="1"/>
  <c r="GD24" i="19" a="1"/>
  <c r="GD24" i="19" s="1"/>
  <c r="GC24" i="19" a="1"/>
  <c r="GC24" i="19" s="1"/>
  <c r="GB24" i="19" a="1"/>
  <c r="GB24" i="19" s="1"/>
  <c r="GA24" i="19" a="1"/>
  <c r="GA24" i="19" s="1"/>
  <c r="FZ24" i="19" a="1"/>
  <c r="FZ24" i="19" s="1"/>
  <c r="FY24" i="19" a="1"/>
  <c r="FY24" i="19" s="1"/>
  <c r="FX24" i="19" a="1"/>
  <c r="FX24" i="19" s="1"/>
  <c r="FW24" i="19" a="1"/>
  <c r="FW24" i="19" s="1"/>
  <c r="FV24" i="19" a="1"/>
  <c r="FV24" i="19" s="1"/>
  <c r="FU24" i="19" a="1"/>
  <c r="FU24" i="19" s="1"/>
  <c r="FT24" i="19" a="1"/>
  <c r="FT24" i="19" s="1"/>
  <c r="FS24" i="19" a="1"/>
  <c r="FS24" i="19" s="1"/>
  <c r="FR24" i="19" a="1"/>
  <c r="FR24" i="19" s="1"/>
  <c r="FQ24" i="19" a="1"/>
  <c r="FQ24" i="19" s="1"/>
  <c r="FP24" i="19" a="1"/>
  <c r="FP24" i="19" s="1"/>
  <c r="FO24" i="19" a="1"/>
  <c r="FO24" i="19" s="1"/>
  <c r="FN24" i="19" a="1"/>
  <c r="FN24" i="19" s="1"/>
  <c r="FM24" i="19" a="1"/>
  <c r="FM24" i="19" s="1"/>
  <c r="ES24" i="19" a="1"/>
  <c r="ES24" i="19" s="1"/>
  <c r="DP24" i="19" a="1"/>
  <c r="DP24" i="19" s="1"/>
  <c r="DH24" i="19" a="1"/>
  <c r="DH24" i="19" s="1"/>
  <c r="DB24" i="19" a="1"/>
  <c r="DB24" i="19" s="1"/>
  <c r="DA24" i="19" a="1"/>
  <c r="DA24" i="19" s="1"/>
  <c r="CZ24" i="19" a="1"/>
  <c r="CZ24" i="19" s="1"/>
  <c r="CY24" i="19" a="1"/>
  <c r="CY24" i="19" s="1"/>
  <c r="CX24" i="19" a="1"/>
  <c r="CX24" i="19" s="1"/>
  <c r="CW24" i="19" a="1"/>
  <c r="CW24" i="19" s="1"/>
  <c r="CV24" i="19" a="1"/>
  <c r="CV24" i="19" s="1"/>
  <c r="CU24" i="19" a="1"/>
  <c r="CU24" i="19" s="1"/>
  <c r="CT24" i="19" a="1"/>
  <c r="CT24" i="19" s="1"/>
  <c r="CS24" i="19" a="1"/>
  <c r="CS24" i="19" s="1"/>
  <c r="CR24" i="19" a="1"/>
  <c r="CR24" i="19" s="1"/>
  <c r="CQ24" i="19" a="1"/>
  <c r="CQ24" i="19" s="1"/>
  <c r="CP24" i="19" a="1"/>
  <c r="CP24" i="19" s="1"/>
  <c r="CO24" i="19" a="1"/>
  <c r="CO24" i="19" s="1"/>
  <c r="CN24" i="19" a="1"/>
  <c r="CN24" i="19" s="1"/>
  <c r="CM24" i="19" a="1"/>
  <c r="CM24" i="19" s="1"/>
  <c r="CL24" i="19" a="1"/>
  <c r="CL24" i="19" s="1"/>
  <c r="CK24" i="19" a="1"/>
  <c r="CK24" i="19" s="1"/>
  <c r="CJ24" i="19" a="1"/>
  <c r="CJ24" i="19" s="1"/>
  <c r="CI24" i="19" a="1"/>
  <c r="CI24" i="19" s="1"/>
  <c r="CE24" i="19" l="1" a="1"/>
  <c r="CE24" i="19" s="1"/>
  <c r="CD24" i="19" a="1"/>
  <c r="CD24" i="19" s="1"/>
  <c r="F24" i="19" l="1" a="1"/>
  <c r="F24" i="19" s="1"/>
  <c r="C24" i="19" a="1"/>
  <c r="C24" i="19" s="1"/>
  <c r="B24" i="19" a="1"/>
  <c r="B24" i="19" l="1"/>
  <c r="GZ23" i="19" a="1"/>
  <c r="GZ23" i="19" s="1"/>
  <c r="GY23" i="19" a="1"/>
  <c r="GY23" i="19" s="1"/>
  <c r="GX23" i="19" a="1"/>
  <c r="GX23" i="19" s="1"/>
  <c r="GW23" i="19" a="1"/>
  <c r="GW23" i="19" s="1"/>
  <c r="GV23" i="19" a="1"/>
  <c r="GV23" i="19" s="1"/>
  <c r="GU23" i="19" a="1"/>
  <c r="GU23" i="19" s="1"/>
  <c r="GT23" i="19" a="1"/>
  <c r="GT23" i="19" s="1"/>
  <c r="GS23" i="19" a="1"/>
  <c r="GS23" i="19" s="1"/>
  <c r="GR23" i="19" a="1"/>
  <c r="GR23" i="19" s="1"/>
  <c r="GQ23" i="19" a="1"/>
  <c r="GQ23" i="19" s="1"/>
  <c r="GP23" i="19" a="1"/>
  <c r="GP23" i="19" s="1"/>
  <c r="GO23" i="19" a="1"/>
  <c r="GO23" i="19" s="1"/>
  <c r="GN23" i="19" a="1"/>
  <c r="GN23" i="19" s="1"/>
  <c r="GM23" i="19" a="1"/>
  <c r="GM23" i="19" s="1"/>
  <c r="GL23" i="19" a="1"/>
  <c r="GL23" i="19" s="1"/>
  <c r="GK23" i="19" a="1"/>
  <c r="GK23" i="19" s="1"/>
  <c r="GJ23" i="19" a="1"/>
  <c r="GJ23" i="19" s="1"/>
  <c r="GI23" i="19" a="1"/>
  <c r="GI23" i="19" s="1"/>
  <c r="GH23" i="19" a="1"/>
  <c r="GH23" i="19" s="1"/>
  <c r="GG23" i="19" a="1"/>
  <c r="GG23" i="19" s="1"/>
  <c r="GF23" i="19" a="1"/>
  <c r="GF23" i="19" s="1"/>
  <c r="GE23" i="19" a="1"/>
  <c r="GE23" i="19" s="1"/>
  <c r="GD23" i="19" a="1"/>
  <c r="GD23" i="19" s="1"/>
  <c r="GC23" i="19" a="1"/>
  <c r="GC23" i="19" s="1"/>
  <c r="GB23" i="19" a="1"/>
  <c r="GB23" i="19" s="1"/>
  <c r="GA23" i="19" a="1"/>
  <c r="GA23" i="19" s="1"/>
  <c r="FZ23" i="19" a="1"/>
  <c r="FZ23" i="19" s="1"/>
  <c r="FY23" i="19" a="1"/>
  <c r="FY23" i="19" s="1"/>
  <c r="FX23" i="19" a="1"/>
  <c r="FX23" i="19" s="1"/>
  <c r="FW23" i="19" a="1"/>
  <c r="FW23" i="19" s="1"/>
  <c r="FV23" i="19" a="1"/>
  <c r="FV23" i="19" s="1"/>
  <c r="FU23" i="19" a="1"/>
  <c r="FU23" i="19" s="1"/>
  <c r="FT23" i="19" a="1"/>
  <c r="FT23" i="19" s="1"/>
  <c r="FS23" i="19" a="1"/>
  <c r="FS23" i="19" s="1"/>
  <c r="FR23" i="19" a="1"/>
  <c r="FR23" i="19" s="1"/>
  <c r="FQ23" i="19" a="1"/>
  <c r="FQ23" i="19" s="1"/>
  <c r="FP23" i="19" a="1"/>
  <c r="FP23" i="19" s="1"/>
  <c r="FO23" i="19" a="1"/>
  <c r="FO23" i="19" s="1"/>
  <c r="FN23" i="19" a="1"/>
  <c r="FN23" i="19" s="1"/>
  <c r="FM23" i="19" a="1"/>
  <c r="FM23" i="19" s="1"/>
  <c r="ES23" i="19" a="1"/>
  <c r="ES23" i="19" s="1"/>
  <c r="DP23" i="19" a="1"/>
  <c r="DP23" i="19" s="1"/>
  <c r="DH23" i="19" a="1"/>
  <c r="DH23" i="19" s="1"/>
  <c r="DB23" i="19" a="1"/>
  <c r="DB23" i="19" s="1"/>
  <c r="DA23" i="19" a="1"/>
  <c r="DA23" i="19" s="1"/>
  <c r="CZ23" i="19" a="1"/>
  <c r="CZ23" i="19" s="1"/>
  <c r="CY23" i="19" a="1"/>
  <c r="CY23" i="19" s="1"/>
  <c r="CX23" i="19" a="1"/>
  <c r="CX23" i="19" s="1"/>
  <c r="CW23" i="19" a="1"/>
  <c r="CW23" i="19" s="1"/>
  <c r="CV23" i="19" a="1"/>
  <c r="CV23" i="19" s="1"/>
  <c r="CU23" i="19" a="1"/>
  <c r="CU23" i="19" s="1"/>
  <c r="CT23" i="19" a="1"/>
  <c r="CT23" i="19" s="1"/>
  <c r="CS23" i="19" a="1"/>
  <c r="CS23" i="19" s="1"/>
  <c r="CR23" i="19" a="1"/>
  <c r="CR23" i="19" s="1"/>
  <c r="CQ23" i="19" a="1"/>
  <c r="CQ23" i="19" s="1"/>
  <c r="CP23" i="19" a="1"/>
  <c r="CP23" i="19" s="1"/>
  <c r="CO23" i="19" a="1"/>
  <c r="CO23" i="19" s="1"/>
  <c r="CN23" i="19" a="1"/>
  <c r="CN23" i="19" s="1"/>
  <c r="CM23" i="19" a="1"/>
  <c r="CM23" i="19" s="1"/>
  <c r="CL23" i="19" a="1"/>
  <c r="CL23" i="19" s="1"/>
  <c r="CK23" i="19" a="1"/>
  <c r="CK23" i="19" s="1"/>
  <c r="CJ23" i="19" a="1"/>
  <c r="CJ23" i="19" s="1"/>
  <c r="CI23" i="19" a="1"/>
  <c r="CI23" i="19" s="1"/>
  <c r="CE23" i="19" l="1" a="1"/>
  <c r="CE23" i="19" s="1"/>
  <c r="CD23" i="19" a="1"/>
  <c r="CD23" i="19" s="1"/>
  <c r="F23" i="19" l="1" a="1"/>
  <c r="F23" i="19" s="1"/>
  <c r="C23" i="19" a="1"/>
  <c r="C23" i="19" s="1"/>
  <c r="B23" i="19" a="1"/>
  <c r="B23" i="19" l="1"/>
  <c r="GZ22" i="19" a="1"/>
  <c r="GZ22" i="19" s="1"/>
  <c r="GY22" i="19" a="1"/>
  <c r="GY22" i="19" s="1"/>
  <c r="GX22" i="19" a="1"/>
  <c r="GX22" i="19" s="1"/>
  <c r="GW22" i="19" a="1"/>
  <c r="GW22" i="19" s="1"/>
  <c r="GV22" i="19" a="1"/>
  <c r="GV22" i="19" s="1"/>
  <c r="GU22" i="19" a="1"/>
  <c r="GU22" i="19" s="1"/>
  <c r="GT22" i="19" a="1"/>
  <c r="GT22" i="19" s="1"/>
  <c r="GS22" i="19" a="1"/>
  <c r="GS22" i="19" s="1"/>
  <c r="GR22" i="19" a="1"/>
  <c r="GR22" i="19" s="1"/>
  <c r="GQ22" i="19" a="1"/>
  <c r="GQ22" i="19" s="1"/>
  <c r="GP22" i="19" a="1"/>
  <c r="GP22" i="19" s="1"/>
  <c r="GO22" i="19" a="1"/>
  <c r="GO22" i="19" s="1"/>
  <c r="GN22" i="19" a="1"/>
  <c r="GN22" i="19" s="1"/>
  <c r="GM22" i="19" a="1"/>
  <c r="GM22" i="19" s="1"/>
  <c r="GL22" i="19" a="1"/>
  <c r="GL22" i="19" s="1"/>
  <c r="GK22" i="19" a="1"/>
  <c r="GK22" i="19" s="1"/>
  <c r="GJ22" i="19" a="1"/>
  <c r="GJ22" i="19" s="1"/>
  <c r="GI22" i="19" a="1"/>
  <c r="GI22" i="19" s="1"/>
  <c r="GH22" i="19" a="1"/>
  <c r="GH22" i="19" s="1"/>
  <c r="GG22" i="19" a="1"/>
  <c r="GG22" i="19" s="1"/>
  <c r="GF22" i="19" a="1"/>
  <c r="GF22" i="19" s="1"/>
  <c r="GE22" i="19" a="1"/>
  <c r="GE22" i="19" s="1"/>
  <c r="GD22" i="19" a="1"/>
  <c r="GD22" i="19" s="1"/>
  <c r="GC22" i="19" a="1"/>
  <c r="GC22" i="19" s="1"/>
  <c r="GB22" i="19" a="1"/>
  <c r="GB22" i="19" s="1"/>
  <c r="GA22" i="19" a="1"/>
  <c r="GA22" i="19" s="1"/>
  <c r="FZ22" i="19" a="1"/>
  <c r="FZ22" i="19" s="1"/>
  <c r="FY22" i="19" a="1"/>
  <c r="FY22" i="19" s="1"/>
  <c r="FX22" i="19" a="1"/>
  <c r="FX22" i="19" s="1"/>
  <c r="FW22" i="19" a="1"/>
  <c r="FW22" i="19" s="1"/>
  <c r="FV22" i="19" a="1"/>
  <c r="FV22" i="19" s="1"/>
  <c r="FU22" i="19" a="1"/>
  <c r="FU22" i="19" s="1"/>
  <c r="FT22" i="19" a="1"/>
  <c r="FT22" i="19" s="1"/>
  <c r="FS22" i="19" a="1"/>
  <c r="FS22" i="19" s="1"/>
  <c r="FR22" i="19" a="1"/>
  <c r="FR22" i="19" s="1"/>
  <c r="FQ22" i="19" a="1"/>
  <c r="FQ22" i="19" s="1"/>
  <c r="FP22" i="19" a="1"/>
  <c r="FP22" i="19" s="1"/>
  <c r="FO22" i="19" a="1"/>
  <c r="FO22" i="19" s="1"/>
  <c r="FN22" i="19" a="1"/>
  <c r="FN22" i="19" s="1"/>
  <c r="FM22" i="19" a="1"/>
  <c r="FM22" i="19" s="1"/>
  <c r="ES22" i="19" a="1"/>
  <c r="ES22" i="19" s="1"/>
  <c r="DP22" i="19" a="1"/>
  <c r="DP22" i="19" s="1"/>
  <c r="DH22" i="19" a="1"/>
  <c r="DH22" i="19" s="1"/>
  <c r="DB22" i="19" a="1"/>
  <c r="DB22" i="19" s="1"/>
  <c r="DA22" i="19" a="1"/>
  <c r="DA22" i="19" s="1"/>
  <c r="CZ22" i="19" a="1"/>
  <c r="CZ22" i="19" s="1"/>
  <c r="CY22" i="19" a="1"/>
  <c r="CY22" i="19" s="1"/>
  <c r="CX22" i="19" a="1"/>
  <c r="CX22" i="19" s="1"/>
  <c r="CW22" i="19" a="1"/>
  <c r="CW22" i="19" s="1"/>
  <c r="CV22" i="19" a="1"/>
  <c r="CV22" i="19" s="1"/>
  <c r="CU22" i="19" a="1"/>
  <c r="CU22" i="19" s="1"/>
  <c r="CT22" i="19" a="1"/>
  <c r="CT22" i="19" s="1"/>
  <c r="CS22" i="19" a="1"/>
  <c r="CS22" i="19" s="1"/>
  <c r="CR22" i="19" a="1"/>
  <c r="CR22" i="19" s="1"/>
  <c r="CQ22" i="19" a="1"/>
  <c r="CQ22" i="19" s="1"/>
  <c r="CP22" i="19" a="1"/>
  <c r="CP22" i="19" s="1"/>
  <c r="CO22" i="19" a="1"/>
  <c r="CO22" i="19" s="1"/>
  <c r="CN22" i="19" a="1"/>
  <c r="CN22" i="19" s="1"/>
  <c r="CM22" i="19" a="1"/>
  <c r="CM22" i="19" s="1"/>
  <c r="CL22" i="19" a="1"/>
  <c r="CL22" i="19" s="1"/>
  <c r="CK22" i="19" a="1"/>
  <c r="CK22" i="19" s="1"/>
  <c r="CJ22" i="19" a="1"/>
  <c r="CJ22" i="19" s="1"/>
  <c r="CI22" i="19" a="1"/>
  <c r="CI22" i="19" s="1"/>
  <c r="CE22" i="19" l="1" a="1"/>
  <c r="CE22" i="19" s="1"/>
  <c r="CD22" i="19" a="1"/>
  <c r="CD22" i="19" s="1"/>
  <c r="F22" i="19" l="1" a="1"/>
  <c r="F22" i="19" s="1"/>
  <c r="C22" i="19" a="1"/>
  <c r="C22" i="19" s="1"/>
  <c r="B22" i="19" a="1"/>
  <c r="B22" i="19" l="1"/>
  <c r="GZ21" i="19" a="1"/>
  <c r="GZ21" i="19" s="1"/>
  <c r="GY21" i="19" a="1"/>
  <c r="GY21" i="19" s="1"/>
  <c r="GX21" i="19" a="1"/>
  <c r="GX21" i="19" s="1"/>
  <c r="GW21" i="19" a="1"/>
  <c r="GW21" i="19" s="1"/>
  <c r="GV21" i="19" a="1"/>
  <c r="GV21" i="19" s="1"/>
  <c r="GU21" i="19" a="1"/>
  <c r="GU21" i="19" s="1"/>
  <c r="GT21" i="19" a="1"/>
  <c r="GT21" i="19" s="1"/>
  <c r="GS21" i="19" a="1"/>
  <c r="GS21" i="19" s="1"/>
  <c r="GR21" i="19" a="1"/>
  <c r="GR21" i="19" s="1"/>
  <c r="GQ21" i="19" a="1"/>
  <c r="GQ21" i="19" s="1"/>
  <c r="GP21" i="19" a="1"/>
  <c r="GP21" i="19" s="1"/>
  <c r="GO21" i="19" a="1"/>
  <c r="GO21" i="19" s="1"/>
  <c r="GN21" i="19" a="1"/>
  <c r="GN21" i="19" s="1"/>
  <c r="GM21" i="19" a="1"/>
  <c r="GM21" i="19" s="1"/>
  <c r="GL21" i="19" a="1"/>
  <c r="GL21" i="19" s="1"/>
  <c r="GK21" i="19" a="1"/>
  <c r="GK21" i="19" s="1"/>
  <c r="GJ21" i="19" a="1"/>
  <c r="GJ21" i="19" s="1"/>
  <c r="GI21" i="19" a="1"/>
  <c r="GI21" i="19" s="1"/>
  <c r="GH21" i="19" a="1"/>
  <c r="GH21" i="19" s="1"/>
  <c r="GG21" i="19" a="1"/>
  <c r="GG21" i="19" s="1"/>
  <c r="GF21" i="19" a="1"/>
  <c r="GF21" i="19" s="1"/>
  <c r="GE21" i="19" a="1"/>
  <c r="GE21" i="19" s="1"/>
  <c r="GD21" i="19" a="1"/>
  <c r="GD21" i="19" s="1"/>
  <c r="GC21" i="19" a="1"/>
  <c r="GC21" i="19" s="1"/>
  <c r="GB21" i="19" a="1"/>
  <c r="GB21" i="19" s="1"/>
  <c r="GA21" i="19" a="1"/>
  <c r="GA21" i="19" s="1"/>
  <c r="FZ21" i="19" a="1"/>
  <c r="FZ21" i="19" s="1"/>
  <c r="FY21" i="19" a="1"/>
  <c r="FY21" i="19" s="1"/>
  <c r="FX21" i="19" a="1"/>
  <c r="FX21" i="19" s="1"/>
  <c r="FW21" i="19" a="1"/>
  <c r="FW21" i="19" s="1"/>
  <c r="FV21" i="19" a="1"/>
  <c r="FV21" i="19" s="1"/>
  <c r="FU21" i="19" a="1"/>
  <c r="FU21" i="19" s="1"/>
  <c r="FT21" i="19" a="1"/>
  <c r="FT21" i="19" s="1"/>
  <c r="FS21" i="19" a="1"/>
  <c r="FS21" i="19" s="1"/>
  <c r="FR21" i="19" a="1"/>
  <c r="FR21" i="19" s="1"/>
  <c r="FQ21" i="19" a="1"/>
  <c r="FQ21" i="19" s="1"/>
  <c r="FP21" i="19" a="1"/>
  <c r="FP21" i="19" s="1"/>
  <c r="FO21" i="19" a="1"/>
  <c r="FO21" i="19" s="1"/>
  <c r="FN21" i="19" a="1"/>
  <c r="FN21" i="19" s="1"/>
  <c r="FM21" i="19" a="1"/>
  <c r="FM21" i="19" s="1"/>
  <c r="ES21" i="19" a="1"/>
  <c r="ES21" i="19" s="1"/>
  <c r="DP21" i="19" a="1"/>
  <c r="DP21" i="19" s="1"/>
  <c r="DH21" i="19" a="1"/>
  <c r="DH21" i="19" s="1"/>
  <c r="DB21" i="19" a="1"/>
  <c r="DB21" i="19" s="1"/>
  <c r="DA21" i="19" a="1"/>
  <c r="DA21" i="19" s="1"/>
  <c r="CZ21" i="19" a="1"/>
  <c r="CZ21" i="19" s="1"/>
  <c r="CY21" i="19" a="1"/>
  <c r="CY21" i="19" s="1"/>
  <c r="CX21" i="19" a="1"/>
  <c r="CX21" i="19" s="1"/>
  <c r="CW21" i="19" a="1"/>
  <c r="CW21" i="19" s="1"/>
  <c r="CV21" i="19" a="1"/>
  <c r="CV21" i="19" s="1"/>
  <c r="CU21" i="19" a="1"/>
  <c r="CU21" i="19" s="1"/>
  <c r="CT21" i="19" a="1"/>
  <c r="CT21" i="19" s="1"/>
  <c r="CS21" i="19" a="1"/>
  <c r="CS21" i="19" s="1"/>
  <c r="CR21" i="19" a="1"/>
  <c r="CR21" i="19" s="1"/>
  <c r="CQ21" i="19" a="1"/>
  <c r="CQ21" i="19" s="1"/>
  <c r="CP21" i="19" a="1"/>
  <c r="CP21" i="19" s="1"/>
  <c r="CO21" i="19" a="1"/>
  <c r="CO21" i="19" s="1"/>
  <c r="CN21" i="19" a="1"/>
  <c r="CN21" i="19" s="1"/>
  <c r="CM21" i="19" a="1"/>
  <c r="CM21" i="19" s="1"/>
  <c r="CL21" i="19" a="1"/>
  <c r="CL21" i="19" s="1"/>
  <c r="CK21" i="19" a="1"/>
  <c r="CK21" i="19" s="1"/>
  <c r="CJ21" i="19" a="1"/>
  <c r="CJ21" i="19" s="1"/>
  <c r="CI21" i="19" a="1"/>
  <c r="CI21" i="19" s="1"/>
  <c r="CE21" i="19" l="1"/>
  <c r="CE21" i="19" a="1"/>
  <c r="CD21" i="19" a="1"/>
  <c r="CD21" i="19" s="1"/>
  <c r="F21" i="19" l="1" a="1"/>
  <c r="F21" i="19" s="1"/>
  <c r="C21" i="19" a="1"/>
  <c r="C21" i="19" s="1"/>
  <c r="B21" i="19" a="1"/>
  <c r="B21" i="19" l="1"/>
  <c r="GZ20" i="19" a="1"/>
  <c r="GZ20" i="19" s="1"/>
  <c r="GY20" i="19" a="1"/>
  <c r="GY20" i="19" s="1"/>
  <c r="GX20" i="19" a="1"/>
  <c r="GX20" i="19" s="1"/>
  <c r="GW20" i="19" a="1"/>
  <c r="GW20" i="19" s="1"/>
  <c r="GV20" i="19" a="1"/>
  <c r="GV20" i="19" s="1"/>
  <c r="GU20" i="19" a="1"/>
  <c r="GU20" i="19" s="1"/>
  <c r="GT20" i="19" a="1"/>
  <c r="GT20" i="19" s="1"/>
  <c r="GS20" i="19" a="1"/>
  <c r="GS20" i="19" s="1"/>
  <c r="GR20" i="19" a="1"/>
  <c r="GR20" i="19" s="1"/>
  <c r="GQ20" i="19" a="1"/>
  <c r="GQ20" i="19" s="1"/>
  <c r="GP20" i="19" a="1"/>
  <c r="GP20" i="19" s="1"/>
  <c r="GO20" i="19" a="1"/>
  <c r="GO20" i="19" s="1"/>
  <c r="GN20" i="19" a="1"/>
  <c r="GN20" i="19" s="1"/>
  <c r="GM20" i="19" a="1"/>
  <c r="GM20" i="19" s="1"/>
  <c r="GL20" i="19" a="1"/>
  <c r="GL20" i="19" s="1"/>
  <c r="GK20" i="19" a="1"/>
  <c r="GK20" i="19" s="1"/>
  <c r="GJ20" i="19" a="1"/>
  <c r="GJ20" i="19" s="1"/>
  <c r="GI20" i="19" a="1"/>
  <c r="GI20" i="19" s="1"/>
  <c r="GH20" i="19" a="1"/>
  <c r="GH20" i="19" s="1"/>
  <c r="GG20" i="19" a="1"/>
  <c r="GG20" i="19" s="1"/>
  <c r="GF20" i="19" a="1"/>
  <c r="GF20" i="19" s="1"/>
  <c r="GE20" i="19" a="1"/>
  <c r="GE20" i="19" s="1"/>
  <c r="GD20" i="19" a="1"/>
  <c r="GD20" i="19" s="1"/>
  <c r="GC20" i="19" a="1"/>
  <c r="GC20" i="19" s="1"/>
  <c r="GB20" i="19" a="1"/>
  <c r="GB20" i="19" s="1"/>
  <c r="GA20" i="19" a="1"/>
  <c r="GA20" i="19" s="1"/>
  <c r="FZ20" i="19" a="1"/>
  <c r="FZ20" i="19" s="1"/>
  <c r="FY20" i="19" a="1"/>
  <c r="FY20" i="19" s="1"/>
  <c r="FX20" i="19" a="1"/>
  <c r="FX20" i="19" s="1"/>
  <c r="FW20" i="19" a="1"/>
  <c r="FW20" i="19" s="1"/>
  <c r="FV20" i="19" a="1"/>
  <c r="FV20" i="19" s="1"/>
  <c r="FU20" i="19" a="1"/>
  <c r="FU20" i="19" s="1"/>
  <c r="FT20" i="19" a="1"/>
  <c r="FT20" i="19" s="1"/>
  <c r="FS20" i="19" a="1"/>
  <c r="FS20" i="19" s="1"/>
  <c r="FR20" i="19" a="1"/>
  <c r="FR20" i="19" s="1"/>
  <c r="FQ20" i="19" a="1"/>
  <c r="FQ20" i="19" s="1"/>
  <c r="FP20" i="19" a="1"/>
  <c r="FP20" i="19" s="1"/>
  <c r="FO20" i="19" a="1"/>
  <c r="FO20" i="19" s="1"/>
  <c r="FN20" i="19" a="1"/>
  <c r="FN20" i="19" s="1"/>
  <c r="FM20" i="19" a="1"/>
  <c r="FM20" i="19" s="1"/>
  <c r="ES20" i="19" a="1"/>
  <c r="ES20" i="19" s="1"/>
  <c r="DP20" i="19" a="1"/>
  <c r="DP20" i="19" s="1"/>
  <c r="DH20" i="19" a="1"/>
  <c r="DH20" i="19" s="1"/>
  <c r="DB20" i="19" a="1"/>
  <c r="DB20" i="19" s="1"/>
  <c r="DA20" i="19" a="1"/>
  <c r="DA20" i="19" s="1"/>
  <c r="CZ20" i="19" a="1"/>
  <c r="CZ20" i="19" s="1"/>
  <c r="CY20" i="19" a="1"/>
  <c r="CY20" i="19" s="1"/>
  <c r="CX20" i="19" a="1"/>
  <c r="CX20" i="19" s="1"/>
  <c r="CW20" i="19" a="1"/>
  <c r="CW20" i="19" s="1"/>
  <c r="CV20" i="19" a="1"/>
  <c r="CV20" i="19" s="1"/>
  <c r="CU20" i="19" a="1"/>
  <c r="CU20" i="19" s="1"/>
  <c r="CT20" i="19" a="1"/>
  <c r="CT20" i="19" s="1"/>
  <c r="CS20" i="19" a="1"/>
  <c r="CS20" i="19" s="1"/>
  <c r="CR20" i="19" a="1"/>
  <c r="CR20" i="19" s="1"/>
  <c r="CQ20" i="19" a="1"/>
  <c r="CQ20" i="19" s="1"/>
  <c r="CP20" i="19" a="1"/>
  <c r="CP20" i="19" s="1"/>
  <c r="CO20" i="19" a="1"/>
  <c r="CO20" i="19" s="1"/>
  <c r="CN20" i="19" a="1"/>
  <c r="CN20" i="19" s="1"/>
  <c r="CM20" i="19" a="1"/>
  <c r="CM20" i="19" s="1"/>
  <c r="CL20" i="19" a="1"/>
  <c r="CL20" i="19" s="1"/>
  <c r="CK20" i="19" a="1"/>
  <c r="CK20" i="19" s="1"/>
  <c r="CJ20" i="19" a="1"/>
  <c r="CJ20" i="19" s="1"/>
  <c r="CI20" i="19" a="1"/>
  <c r="CI20" i="19" s="1"/>
  <c r="CE20" i="19" l="1" a="1"/>
  <c r="CE20" i="19" s="1"/>
  <c r="CD20" i="19" a="1"/>
  <c r="CD20" i="19" s="1"/>
  <c r="F20" i="19" l="1" a="1"/>
  <c r="F20" i="19" s="1"/>
  <c r="C20" i="19" a="1"/>
  <c r="C20" i="19" s="1"/>
  <c r="B20" i="19" a="1"/>
  <c r="B20" i="19" l="1"/>
  <c r="HH24" i="19" a="1"/>
  <c r="HH24" i="19" s="1"/>
  <c r="HG24" i="19" a="1"/>
  <c r="HG24" i="19" s="1"/>
  <c r="HH23" i="19" a="1"/>
  <c r="HH23" i="19" s="1"/>
  <c r="HG23" i="19" a="1"/>
  <c r="HG23" i="19" s="1"/>
  <c r="HH22" i="19" a="1"/>
  <c r="HH22" i="19" s="1"/>
  <c r="HG22" i="19" a="1"/>
  <c r="HG22" i="19" s="1"/>
  <c r="HH21" i="19" a="1"/>
  <c r="HH21" i="19" s="1"/>
  <c r="HG21" i="19" a="1"/>
  <c r="HG21" i="19" s="1"/>
  <c r="HH20" i="19" a="1"/>
  <c r="HH20" i="19" s="1"/>
  <c r="HG20" i="19" a="1"/>
  <c r="HG20" i="19" s="1"/>
  <c r="HH19" i="19" a="1"/>
  <c r="HH19" i="19" s="1"/>
  <c r="HG19" i="19" a="1"/>
  <c r="HG19" i="19" s="1"/>
  <c r="HH18" i="19" a="1"/>
  <c r="HH18" i="19" s="1"/>
  <c r="HG18" i="19" a="1"/>
  <c r="HG18" i="19" s="1"/>
  <c r="HF19" i="19" a="1"/>
  <c r="HF19" i="19" s="1"/>
  <c r="HE19" i="19" a="1"/>
  <c r="HE19" i="19" s="1"/>
  <c r="HD19" i="19" a="1"/>
  <c r="HD19" i="19" s="1"/>
  <c r="HC19" i="19" a="1"/>
  <c r="HC19" i="19" s="1"/>
  <c r="HB19" i="19" a="1"/>
  <c r="HB19" i="19" s="1"/>
  <c r="HA19" i="19" a="1"/>
  <c r="HA19" i="19" s="1"/>
  <c r="GZ19" i="19" a="1"/>
  <c r="GZ19" i="19" s="1"/>
  <c r="GY19" i="19" a="1"/>
  <c r="GY19" i="19" s="1"/>
  <c r="GX19" i="19" a="1"/>
  <c r="GX19" i="19" s="1"/>
  <c r="GW19" i="19" a="1"/>
  <c r="GW19" i="19" s="1"/>
  <c r="GV19" i="19" a="1"/>
  <c r="GV19" i="19" s="1"/>
  <c r="GU19" i="19" a="1"/>
  <c r="GU19" i="19" s="1"/>
  <c r="GT19" i="19" a="1"/>
  <c r="GT19" i="19" s="1"/>
  <c r="GS19" i="19" a="1"/>
  <c r="GS19" i="19" s="1"/>
  <c r="GR19" i="19" a="1"/>
  <c r="GR19" i="19" s="1"/>
  <c r="GQ19" i="19" a="1"/>
  <c r="GQ19" i="19" s="1"/>
  <c r="GP19" i="19" a="1"/>
  <c r="GP19" i="19" s="1"/>
  <c r="GO19" i="19" a="1"/>
  <c r="GO19" i="19" s="1"/>
  <c r="GN19" i="19" a="1"/>
  <c r="GN19" i="19" s="1"/>
  <c r="GM19" i="19" a="1"/>
  <c r="GM19" i="19" s="1"/>
  <c r="GL19" i="19" a="1"/>
  <c r="GL19" i="19" s="1"/>
  <c r="GK19" i="19" a="1"/>
  <c r="GK19" i="19" s="1"/>
  <c r="GJ19" i="19" a="1"/>
  <c r="GJ19" i="19" s="1"/>
  <c r="GI19" i="19" a="1"/>
  <c r="GI19" i="19" s="1"/>
  <c r="GH19" i="19" a="1"/>
  <c r="GH19" i="19" s="1"/>
  <c r="GG19" i="19" a="1"/>
  <c r="GG19" i="19" s="1"/>
  <c r="GF19" i="19" a="1"/>
  <c r="GF19" i="19" s="1"/>
  <c r="GE19" i="19" a="1"/>
  <c r="GE19" i="19" s="1"/>
  <c r="GD19" i="19" a="1"/>
  <c r="GD19" i="19" s="1"/>
  <c r="GC19" i="19" a="1"/>
  <c r="GC19" i="19" s="1"/>
  <c r="GB19" i="19" a="1"/>
  <c r="GB19" i="19" s="1"/>
  <c r="GA19" i="19" a="1"/>
  <c r="GA19" i="19" s="1"/>
  <c r="FZ19" i="19" a="1"/>
  <c r="FZ19" i="19" s="1"/>
  <c r="FY19" i="19" a="1"/>
  <c r="FY19" i="19" s="1"/>
  <c r="FX19" i="19" a="1"/>
  <c r="FX19" i="19" s="1"/>
  <c r="FW19" i="19" a="1"/>
  <c r="FW19" i="19" s="1"/>
  <c r="FV19" i="19" a="1"/>
  <c r="FV19" i="19" s="1"/>
  <c r="FU19" i="19" a="1"/>
  <c r="FU19" i="19" s="1"/>
  <c r="FT19" i="19" a="1"/>
  <c r="FT19" i="19" s="1"/>
  <c r="FS19" i="19" a="1"/>
  <c r="FS19" i="19" s="1"/>
  <c r="FR19" i="19" a="1"/>
  <c r="FR19" i="19" s="1"/>
  <c r="FQ19" i="19" a="1"/>
  <c r="FQ19" i="19" s="1"/>
  <c r="FP19" i="19" a="1"/>
  <c r="FP19" i="19" s="1"/>
  <c r="FO19" i="19" a="1"/>
  <c r="FO19" i="19" s="1"/>
  <c r="FN19" i="19" a="1"/>
  <c r="FN19" i="19" s="1"/>
  <c r="FM19" i="19" a="1"/>
  <c r="FM19" i="19" s="1"/>
  <c r="ES19" i="19" a="1"/>
  <c r="ES19" i="19" s="1"/>
  <c r="DP19" i="19" a="1"/>
  <c r="DP19" i="19" s="1"/>
  <c r="DH19" i="19" a="1"/>
  <c r="DH19" i="19" s="1"/>
  <c r="DB19" i="19" a="1"/>
  <c r="DB19" i="19" s="1"/>
  <c r="DA19" i="19" a="1"/>
  <c r="DA19" i="19" s="1"/>
  <c r="CZ19" i="19" a="1"/>
  <c r="CZ19" i="19" s="1"/>
  <c r="CY19" i="19" a="1"/>
  <c r="CY19" i="19" s="1"/>
  <c r="CX19" i="19" a="1"/>
  <c r="CX19" i="19" s="1"/>
  <c r="CW19" i="19" a="1"/>
  <c r="CW19" i="19" s="1"/>
  <c r="CV19" i="19" a="1"/>
  <c r="CV19" i="19" s="1"/>
  <c r="CU19" i="19" a="1"/>
  <c r="CU19" i="19" s="1"/>
  <c r="CT19" i="19" a="1"/>
  <c r="CT19" i="19" s="1"/>
  <c r="CS19" i="19" a="1"/>
  <c r="CS19" i="19" s="1"/>
  <c r="CR19" i="19" a="1"/>
  <c r="CR19" i="19" s="1"/>
  <c r="CQ19" i="19" a="1"/>
  <c r="CQ19" i="19" s="1"/>
  <c r="CP19" i="19" a="1"/>
  <c r="CP19" i="19" s="1"/>
  <c r="CO19" i="19" a="1"/>
  <c r="CO19" i="19" s="1"/>
  <c r="CN19" i="19" a="1"/>
  <c r="CN19" i="19" s="1"/>
  <c r="CM19" i="19" a="1"/>
  <c r="CM19" i="19" s="1"/>
  <c r="CL19" i="19" a="1"/>
  <c r="CL19" i="19" s="1"/>
  <c r="CK19" i="19" a="1"/>
  <c r="CK19" i="19" s="1"/>
  <c r="CJ19" i="19" a="1"/>
  <c r="CJ19" i="19" s="1"/>
  <c r="CI19" i="19" a="1"/>
  <c r="CI19" i="19" s="1"/>
  <c r="CE19" i="19" l="1" a="1"/>
  <c r="CE19" i="19" s="1"/>
  <c r="CD19" i="19" a="1"/>
  <c r="CD19" i="19" s="1"/>
  <c r="F19" i="19" l="1" a="1"/>
  <c r="F19" i="19" s="1"/>
  <c r="C19" i="19" a="1"/>
  <c r="C19" i="19" s="1"/>
  <c r="B19" i="19" a="1"/>
  <c r="B19" i="19" l="1"/>
  <c r="HF18" i="19" a="1"/>
  <c r="HF18" i="19" s="1"/>
  <c r="HE18" i="19" a="1"/>
  <c r="HE18" i="19" s="1"/>
  <c r="HD18" i="19" a="1"/>
  <c r="HD18" i="19" s="1"/>
  <c r="HC18" i="19" a="1"/>
  <c r="HC18" i="19" s="1"/>
  <c r="HB18" i="19" a="1"/>
  <c r="HB18" i="19" s="1"/>
  <c r="HA18" i="19" a="1"/>
  <c r="HA18" i="19" s="1"/>
  <c r="GZ18" i="19" a="1"/>
  <c r="GZ18" i="19" s="1"/>
  <c r="GY18" i="19" a="1"/>
  <c r="GY18" i="19" s="1"/>
  <c r="GX18" i="19" a="1"/>
  <c r="GX18" i="19" s="1"/>
  <c r="GW18" i="19" a="1"/>
  <c r="GW18" i="19" s="1"/>
  <c r="GV18" i="19" a="1"/>
  <c r="GV18" i="19" s="1"/>
  <c r="GU18" i="19" a="1"/>
  <c r="GU18" i="19" s="1"/>
  <c r="GT18" i="19" a="1"/>
  <c r="GT18" i="19" s="1"/>
  <c r="GS18" i="19" a="1"/>
  <c r="GS18" i="19" s="1"/>
  <c r="GR18" i="19" a="1"/>
  <c r="GR18" i="19" s="1"/>
  <c r="GQ18" i="19" a="1"/>
  <c r="GQ18" i="19" s="1"/>
  <c r="GP18" i="19" a="1"/>
  <c r="GP18" i="19" s="1"/>
  <c r="GO18" i="19" a="1"/>
  <c r="GO18" i="19" s="1"/>
  <c r="GN18" i="19" a="1"/>
  <c r="GN18" i="19" s="1"/>
  <c r="GM18" i="19" a="1"/>
  <c r="GM18" i="19" s="1"/>
  <c r="GL18" i="19" a="1"/>
  <c r="GL18" i="19" s="1"/>
  <c r="GK18" i="19" a="1"/>
  <c r="GK18" i="19" s="1"/>
  <c r="GJ18" i="19" a="1"/>
  <c r="GJ18" i="19" s="1"/>
  <c r="GI18" i="19" a="1"/>
  <c r="GI18" i="19" s="1"/>
  <c r="GH18" i="19" a="1"/>
  <c r="GH18" i="19" s="1"/>
  <c r="GG18" i="19" a="1"/>
  <c r="GG18" i="19" s="1"/>
  <c r="GF18" i="19" a="1"/>
  <c r="GF18" i="19" s="1"/>
  <c r="GE18" i="19" a="1"/>
  <c r="GE18" i="19" s="1"/>
  <c r="GD18" i="19" a="1"/>
  <c r="GD18" i="19" s="1"/>
  <c r="GC18" i="19" a="1"/>
  <c r="GC18" i="19" s="1"/>
  <c r="GB18" i="19" a="1"/>
  <c r="GB18" i="19" s="1"/>
  <c r="GA18" i="19" a="1"/>
  <c r="GA18" i="19" s="1"/>
  <c r="FZ18" i="19" a="1"/>
  <c r="FZ18" i="19" s="1"/>
  <c r="FY18" i="19" a="1"/>
  <c r="FY18" i="19" s="1"/>
  <c r="FX18" i="19" a="1"/>
  <c r="FX18" i="19" s="1"/>
  <c r="FW18" i="19" a="1"/>
  <c r="FW18" i="19" s="1"/>
  <c r="FV18" i="19" a="1"/>
  <c r="FV18" i="19" s="1"/>
  <c r="FU18" i="19" a="1"/>
  <c r="FU18" i="19" s="1"/>
  <c r="FT18" i="19" a="1"/>
  <c r="FT18" i="19" s="1"/>
  <c r="FS18" i="19" a="1"/>
  <c r="FS18" i="19" s="1"/>
  <c r="FR18" i="19" a="1"/>
  <c r="FR18" i="19" s="1"/>
  <c r="FQ18" i="19" a="1"/>
  <c r="FQ18" i="19" s="1"/>
  <c r="FP18" i="19" a="1"/>
  <c r="FP18" i="19" s="1"/>
  <c r="FO18" i="19" a="1"/>
  <c r="FO18" i="19" s="1"/>
  <c r="FN18" i="19" a="1"/>
  <c r="FN18" i="19" s="1"/>
  <c r="FM18" i="19" a="1"/>
  <c r="FM18" i="19" s="1"/>
  <c r="ES18" i="19" a="1"/>
  <c r="ES18" i="19" s="1"/>
  <c r="DP18" i="19" a="1"/>
  <c r="DP18" i="19" s="1"/>
  <c r="DH18" i="19" a="1"/>
  <c r="DH18" i="19" s="1"/>
  <c r="DB18" i="19" a="1"/>
  <c r="DB18" i="19" s="1"/>
  <c r="DA18" i="19" a="1"/>
  <c r="DA18" i="19" s="1"/>
  <c r="CZ18" i="19" a="1"/>
  <c r="CZ18" i="19" s="1"/>
  <c r="CY18" i="19" a="1"/>
  <c r="CY18" i="19" s="1"/>
  <c r="CX18" i="19" a="1"/>
  <c r="CX18" i="19" s="1"/>
  <c r="CW18" i="19" a="1"/>
  <c r="CW18" i="19" s="1"/>
  <c r="CV18" i="19" a="1"/>
  <c r="CV18" i="19" s="1"/>
  <c r="CU18" i="19" a="1"/>
  <c r="CU18" i="19" s="1"/>
  <c r="CT18" i="19" a="1"/>
  <c r="CT18" i="19" s="1"/>
  <c r="CS18" i="19" a="1"/>
  <c r="CS18" i="19" s="1"/>
  <c r="CR18" i="19" a="1"/>
  <c r="CR18" i="19" s="1"/>
  <c r="CQ18" i="19" a="1"/>
  <c r="CQ18" i="19" s="1"/>
  <c r="CP18" i="19" a="1"/>
  <c r="CP18" i="19" s="1"/>
  <c r="CO18" i="19" a="1"/>
  <c r="CO18" i="19" s="1"/>
  <c r="CN18" i="19" a="1"/>
  <c r="CN18" i="19" s="1"/>
  <c r="CM18" i="19" a="1"/>
  <c r="CM18" i="19" s="1"/>
  <c r="CL18" i="19" a="1"/>
  <c r="CL18" i="19" s="1"/>
  <c r="CK18" i="19" a="1"/>
  <c r="CK18" i="19" s="1"/>
  <c r="CJ18" i="19" a="1"/>
  <c r="CJ18" i="19" s="1"/>
  <c r="CI18" i="19" a="1"/>
  <c r="CI18" i="19" s="1"/>
  <c r="CE18" i="19" l="1" a="1"/>
  <c r="CE18" i="19" s="1"/>
  <c r="CD18" i="19" a="1"/>
  <c r="CD18" i="19" s="1"/>
  <c r="F18" i="19" l="1" a="1"/>
  <c r="F18" i="19" s="1"/>
  <c r="C18" i="19" a="1"/>
  <c r="C18" i="19" s="1"/>
  <c r="B18" i="19" a="1"/>
  <c r="B18" i="19" l="1"/>
  <c r="HK17" i="19" a="1"/>
  <c r="HK17" i="19" s="1"/>
  <c r="HH17" i="19" a="1"/>
  <c r="HH17" i="19" s="1"/>
  <c r="HG17" i="19" a="1"/>
  <c r="HG17" i="19" s="1"/>
  <c r="HF17" i="19" a="1"/>
  <c r="HF17" i="19" s="1"/>
  <c r="HE17" i="19" a="1"/>
  <c r="HE17" i="19" s="1"/>
  <c r="HD17" i="19" a="1"/>
  <c r="HD17" i="19" s="1"/>
  <c r="HC17" i="19" a="1"/>
  <c r="HC17" i="19" s="1"/>
  <c r="HB17" i="19" a="1"/>
  <c r="HB17" i="19" s="1"/>
  <c r="HA17" i="19" a="1"/>
  <c r="HA17" i="19" s="1"/>
  <c r="GZ17" i="19" a="1"/>
  <c r="GZ17" i="19" s="1"/>
  <c r="GY17" i="19" a="1"/>
  <c r="GY17" i="19" s="1"/>
  <c r="GX17" i="19" a="1"/>
  <c r="GX17" i="19" s="1"/>
  <c r="GW17" i="19" a="1"/>
  <c r="GW17" i="19" s="1"/>
  <c r="GV17" i="19" a="1"/>
  <c r="GV17" i="19" s="1"/>
  <c r="GU17" i="19" a="1"/>
  <c r="GU17" i="19" s="1"/>
  <c r="GT17" i="19" a="1"/>
  <c r="GT17" i="19" s="1"/>
  <c r="GS17" i="19" a="1"/>
  <c r="GS17" i="19" s="1"/>
  <c r="GR17" i="19" a="1"/>
  <c r="GR17" i="19" s="1"/>
  <c r="GQ17" i="19" a="1"/>
  <c r="GQ17" i="19" s="1"/>
  <c r="GP17" i="19" a="1"/>
  <c r="GP17" i="19" s="1"/>
  <c r="GO17" i="19" a="1"/>
  <c r="GO17" i="19" s="1"/>
  <c r="GN17" i="19" a="1"/>
  <c r="GN17" i="19" s="1"/>
  <c r="GM17" i="19" a="1"/>
  <c r="GM17" i="19" s="1"/>
  <c r="GL17" i="19" a="1"/>
  <c r="GL17" i="19" s="1"/>
  <c r="GK17" i="19" a="1"/>
  <c r="GK17" i="19" s="1"/>
  <c r="GJ17" i="19" a="1"/>
  <c r="GJ17" i="19" s="1"/>
  <c r="GI17" i="19" a="1"/>
  <c r="GI17" i="19" s="1"/>
  <c r="GH17" i="19" a="1"/>
  <c r="GH17" i="19" s="1"/>
  <c r="GG17" i="19" a="1"/>
  <c r="GG17" i="19" s="1"/>
  <c r="GF17" i="19" a="1"/>
  <c r="GF17" i="19" s="1"/>
  <c r="GE17" i="19" a="1"/>
  <c r="GE17" i="19" s="1"/>
  <c r="GD17" i="19" a="1"/>
  <c r="GD17" i="19" s="1"/>
  <c r="GC17" i="19" a="1"/>
  <c r="GC17" i="19" s="1"/>
  <c r="GB17" i="19" a="1"/>
  <c r="GB17" i="19" s="1"/>
  <c r="GA17" i="19" a="1"/>
  <c r="GA17" i="19" s="1"/>
  <c r="FZ17" i="19" a="1"/>
  <c r="FZ17" i="19" s="1"/>
  <c r="FY17" i="19" a="1"/>
  <c r="FY17" i="19" s="1"/>
  <c r="FX17" i="19" a="1"/>
  <c r="FX17" i="19" s="1"/>
  <c r="FW17" i="19" a="1"/>
  <c r="FW17" i="19" s="1"/>
  <c r="FV17" i="19" a="1"/>
  <c r="FV17" i="19" s="1"/>
  <c r="FU17" i="19" a="1"/>
  <c r="FU17" i="19" s="1"/>
  <c r="FT17" i="19" a="1"/>
  <c r="FT17" i="19" s="1"/>
  <c r="FS17" i="19" a="1"/>
  <c r="FS17" i="19" s="1"/>
  <c r="FR17" i="19" a="1"/>
  <c r="FR17" i="19" s="1"/>
  <c r="FQ17" i="19" a="1"/>
  <c r="FQ17" i="19" s="1"/>
  <c r="FP17" i="19" a="1"/>
  <c r="FP17" i="19" s="1"/>
  <c r="FO17" i="19" a="1"/>
  <c r="FO17" i="19" s="1"/>
  <c r="FN17" i="19" a="1"/>
  <c r="FN17" i="19" s="1"/>
  <c r="FM17" i="19" a="1"/>
  <c r="FM17" i="19" s="1"/>
  <c r="ES17" i="19" a="1"/>
  <c r="ES17" i="19" s="1"/>
  <c r="DP17" i="19" a="1"/>
  <c r="DP17" i="19" s="1"/>
  <c r="DH17" i="19" a="1"/>
  <c r="DH17" i="19" s="1"/>
  <c r="DB17" i="19" a="1"/>
  <c r="DB17" i="19" s="1"/>
  <c r="DA17" i="19" a="1"/>
  <c r="DA17" i="19" s="1"/>
  <c r="CZ17" i="19" a="1"/>
  <c r="CZ17" i="19" s="1"/>
  <c r="CY17" i="19" a="1"/>
  <c r="CY17" i="19" s="1"/>
  <c r="CX17" i="19" a="1"/>
  <c r="CX17" i="19" s="1"/>
  <c r="CW17" i="19" a="1"/>
  <c r="CW17" i="19" s="1"/>
  <c r="CV17" i="19" a="1"/>
  <c r="CV17" i="19" s="1"/>
  <c r="CU17" i="19" a="1"/>
  <c r="CU17" i="19" s="1"/>
  <c r="CT17" i="19" a="1"/>
  <c r="CT17" i="19" s="1"/>
  <c r="CS17" i="19" a="1"/>
  <c r="CS17" i="19" s="1"/>
  <c r="CR17" i="19" a="1"/>
  <c r="CR17" i="19" s="1"/>
  <c r="CQ17" i="19" a="1"/>
  <c r="CQ17" i="19" s="1"/>
  <c r="CP17" i="19" a="1"/>
  <c r="CP17" i="19" s="1"/>
  <c r="CO17" i="19" a="1"/>
  <c r="CO17" i="19" s="1"/>
  <c r="CN17" i="19" a="1"/>
  <c r="CN17" i="19" s="1"/>
  <c r="CM17" i="19" a="1"/>
  <c r="CM17" i="19" s="1"/>
  <c r="CL17" i="19" a="1"/>
  <c r="CL17" i="19" s="1"/>
  <c r="CK17" i="19" a="1"/>
  <c r="CK17" i="19" s="1"/>
  <c r="CJ17" i="19" a="1"/>
  <c r="CJ17" i="19" s="1"/>
  <c r="CI17" i="19" a="1"/>
  <c r="CI17" i="19" s="1"/>
  <c r="CE17" i="19" l="1" a="1"/>
  <c r="CE17" i="19" s="1"/>
  <c r="CD17" i="19" a="1"/>
  <c r="CD17" i="19" s="1"/>
  <c r="F17" i="19" l="1" a="1"/>
  <c r="F17" i="19" s="1"/>
  <c r="C17" i="19" a="1"/>
  <c r="C17" i="19" s="1"/>
  <c r="B17" i="19" a="1"/>
  <c r="B17" i="19" l="1"/>
  <c r="HK16" i="19" a="1"/>
  <c r="HK16" i="19" s="1"/>
  <c r="HH16" i="19" a="1"/>
  <c r="HH16" i="19" s="1"/>
  <c r="HG16" i="19" a="1"/>
  <c r="HG16" i="19" s="1"/>
  <c r="HF16" i="19" a="1"/>
  <c r="HF16" i="19" s="1"/>
  <c r="HE16" i="19" a="1"/>
  <c r="HE16" i="19" s="1"/>
  <c r="HD16" i="19" a="1"/>
  <c r="HD16" i="19" s="1"/>
  <c r="HC16" i="19" a="1"/>
  <c r="HC16" i="19" s="1"/>
  <c r="HB16" i="19" a="1"/>
  <c r="HB16" i="19" s="1"/>
  <c r="HA16" i="19" a="1"/>
  <c r="HA16" i="19" s="1"/>
  <c r="GZ16" i="19" a="1"/>
  <c r="GZ16" i="19" s="1"/>
  <c r="GY16" i="19" a="1"/>
  <c r="GY16" i="19" s="1"/>
  <c r="GX16" i="19" a="1"/>
  <c r="GX16" i="19" s="1"/>
  <c r="GW16" i="19" a="1"/>
  <c r="GW16" i="19" s="1"/>
  <c r="GV16" i="19" a="1"/>
  <c r="GV16" i="19" s="1"/>
  <c r="GU16" i="19" a="1"/>
  <c r="GU16" i="19" s="1"/>
  <c r="GT16" i="19" a="1"/>
  <c r="GT16" i="19" s="1"/>
  <c r="GS16" i="19" a="1"/>
  <c r="GS16" i="19" s="1"/>
  <c r="GR16" i="19" a="1"/>
  <c r="GR16" i="19" s="1"/>
  <c r="GQ16" i="19" a="1"/>
  <c r="GQ16" i="19" s="1"/>
  <c r="GP16" i="19" a="1"/>
  <c r="GP16" i="19" s="1"/>
  <c r="GO16" i="19" a="1"/>
  <c r="GO16" i="19" s="1"/>
  <c r="GN16" i="19" a="1"/>
  <c r="GN16" i="19" s="1"/>
  <c r="GM16" i="19" a="1"/>
  <c r="GM16" i="19" s="1"/>
  <c r="GL16" i="19" a="1"/>
  <c r="GL16" i="19" s="1"/>
  <c r="GK16" i="19" a="1"/>
  <c r="GK16" i="19" s="1"/>
  <c r="GJ16" i="19" a="1"/>
  <c r="GJ16" i="19" s="1"/>
  <c r="GI16" i="19" a="1"/>
  <c r="GI16" i="19" s="1"/>
  <c r="GH16" i="19" a="1"/>
  <c r="GH16" i="19" s="1"/>
  <c r="GG16" i="19" a="1"/>
  <c r="GG16" i="19" s="1"/>
  <c r="GF16" i="19" a="1"/>
  <c r="GF16" i="19" s="1"/>
  <c r="GE16" i="19" a="1"/>
  <c r="GE16" i="19" s="1"/>
  <c r="GD16" i="19" a="1"/>
  <c r="GD16" i="19" s="1"/>
  <c r="GC16" i="19" a="1"/>
  <c r="GC16" i="19" s="1"/>
  <c r="GB16" i="19" a="1"/>
  <c r="GB16" i="19" s="1"/>
  <c r="GA16" i="19" a="1"/>
  <c r="GA16" i="19" s="1"/>
  <c r="FZ16" i="19" a="1"/>
  <c r="FZ16" i="19" s="1"/>
  <c r="FY16" i="19" a="1"/>
  <c r="FY16" i="19" s="1"/>
  <c r="FX16" i="19" a="1"/>
  <c r="FX16" i="19" s="1"/>
  <c r="FW16" i="19" a="1"/>
  <c r="FW16" i="19" s="1"/>
  <c r="FV16" i="19" a="1"/>
  <c r="FV16" i="19" s="1"/>
  <c r="FU16" i="19" a="1"/>
  <c r="FU16" i="19" s="1"/>
  <c r="FT16" i="19" a="1"/>
  <c r="FT16" i="19" s="1"/>
  <c r="FS16" i="19" a="1"/>
  <c r="FS16" i="19" s="1"/>
  <c r="FR16" i="19" a="1"/>
  <c r="FR16" i="19" s="1"/>
  <c r="FQ16" i="19" a="1"/>
  <c r="FQ16" i="19" s="1"/>
  <c r="FP16" i="19" a="1"/>
  <c r="FP16" i="19" s="1"/>
  <c r="FO16" i="19" a="1"/>
  <c r="FO16" i="19" s="1"/>
  <c r="FN16" i="19" a="1"/>
  <c r="FN16" i="19" s="1"/>
  <c r="FM16" i="19" a="1"/>
  <c r="FM16" i="19" s="1"/>
  <c r="ES16" i="19" a="1"/>
  <c r="ES16" i="19" s="1"/>
  <c r="DP16" i="19" a="1"/>
  <c r="DP16" i="19" s="1"/>
  <c r="DH16" i="19" a="1"/>
  <c r="DH16" i="19" s="1"/>
  <c r="DB16" i="19" a="1"/>
  <c r="DB16" i="19" s="1"/>
  <c r="DA16" i="19" a="1"/>
  <c r="DA16" i="19" s="1"/>
  <c r="CZ16" i="19" a="1"/>
  <c r="CZ16" i="19" s="1"/>
  <c r="CY16" i="19" a="1"/>
  <c r="CY16" i="19" s="1"/>
  <c r="CX16" i="19" a="1"/>
  <c r="CX16" i="19" s="1"/>
  <c r="CW16" i="19" a="1"/>
  <c r="CW16" i="19" s="1"/>
  <c r="CV16" i="19" a="1"/>
  <c r="CV16" i="19" s="1"/>
  <c r="CU16" i="19" a="1"/>
  <c r="CU16" i="19" s="1"/>
  <c r="CT16" i="19" a="1"/>
  <c r="CT16" i="19" s="1"/>
  <c r="CS16" i="19" a="1"/>
  <c r="CS16" i="19" s="1"/>
  <c r="CR16" i="19" a="1"/>
  <c r="CR16" i="19" s="1"/>
  <c r="CQ16" i="19" a="1"/>
  <c r="CQ16" i="19" s="1"/>
  <c r="CP16" i="19" a="1"/>
  <c r="CP16" i="19" s="1"/>
  <c r="CO16" i="19" a="1"/>
  <c r="CO16" i="19" s="1"/>
  <c r="CN16" i="19" a="1"/>
  <c r="CN16" i="19" s="1"/>
  <c r="CM16" i="19" a="1"/>
  <c r="CM16" i="19" s="1"/>
  <c r="CL16" i="19" a="1"/>
  <c r="CL16" i="19" s="1"/>
  <c r="CK16" i="19" a="1"/>
  <c r="CK16" i="19" s="1"/>
  <c r="CJ16" i="19" a="1"/>
  <c r="CJ16" i="19" s="1"/>
  <c r="CI16" i="19" a="1"/>
  <c r="CI16" i="19" s="1"/>
  <c r="CE16" i="19" l="1"/>
  <c r="CE16" i="19" a="1"/>
  <c r="CD16" i="19" a="1"/>
  <c r="CD16" i="19" s="1"/>
  <c r="F16" i="19" l="1" a="1"/>
  <c r="F16" i="19" s="1"/>
  <c r="C16" i="19" a="1"/>
  <c r="C16" i="19" s="1"/>
  <c r="B16" i="19" a="1"/>
  <c r="B16" i="19" l="1"/>
  <c r="HK15" i="19" a="1"/>
  <c r="HK15" i="19" s="1"/>
  <c r="HH15" i="19" a="1"/>
  <c r="HH15" i="19" s="1"/>
  <c r="HG15" i="19" a="1"/>
  <c r="HG15" i="19" s="1"/>
  <c r="HF15" i="19" a="1"/>
  <c r="HF15" i="19" s="1"/>
  <c r="HE15" i="19" a="1"/>
  <c r="HE15" i="19" s="1"/>
  <c r="HD15" i="19" a="1"/>
  <c r="HD15" i="19" s="1"/>
  <c r="HC15" i="19" a="1"/>
  <c r="HC15" i="19" s="1"/>
  <c r="HB15" i="19" a="1"/>
  <c r="HB15" i="19" s="1"/>
  <c r="HA15" i="19" a="1"/>
  <c r="HA15" i="19" s="1"/>
  <c r="GZ15" i="19" a="1"/>
  <c r="GZ15" i="19" s="1"/>
  <c r="GY15" i="19" a="1"/>
  <c r="GY15" i="19" s="1"/>
  <c r="GX15" i="19" a="1"/>
  <c r="GX15" i="19" s="1"/>
  <c r="GW15" i="19" a="1"/>
  <c r="GW15" i="19" s="1"/>
  <c r="GV15" i="19" a="1"/>
  <c r="GV15" i="19" s="1"/>
  <c r="GU15" i="19" a="1"/>
  <c r="GU15" i="19" s="1"/>
  <c r="GT15" i="19" a="1"/>
  <c r="GT15" i="19" s="1"/>
  <c r="GS15" i="19" a="1"/>
  <c r="GS15" i="19" s="1"/>
  <c r="GR15" i="19" a="1"/>
  <c r="GR15" i="19" s="1"/>
  <c r="GQ15" i="19" a="1"/>
  <c r="GQ15" i="19" s="1"/>
  <c r="GP15" i="19" a="1"/>
  <c r="GP15" i="19" s="1"/>
  <c r="GO15" i="19" a="1"/>
  <c r="GO15" i="19" s="1"/>
  <c r="GN15" i="19" a="1"/>
  <c r="GN15" i="19" s="1"/>
  <c r="GM15" i="19" a="1"/>
  <c r="GM15" i="19" s="1"/>
  <c r="GL15" i="19" a="1"/>
  <c r="GL15" i="19" s="1"/>
  <c r="GK15" i="19" a="1"/>
  <c r="GK15" i="19" s="1"/>
  <c r="GJ15" i="19" a="1"/>
  <c r="GJ15" i="19" s="1"/>
  <c r="GI15" i="19" a="1"/>
  <c r="GI15" i="19" s="1"/>
  <c r="GH15" i="19" a="1"/>
  <c r="GH15" i="19" s="1"/>
  <c r="GG15" i="19" a="1"/>
  <c r="GG15" i="19" s="1"/>
  <c r="GF15" i="19" a="1"/>
  <c r="GF15" i="19" s="1"/>
  <c r="GE15" i="19" a="1"/>
  <c r="GE15" i="19" s="1"/>
  <c r="GD15" i="19" a="1"/>
  <c r="GD15" i="19" s="1"/>
  <c r="GC15" i="19" a="1"/>
  <c r="GC15" i="19" s="1"/>
  <c r="GB15" i="19" a="1"/>
  <c r="GB15" i="19" s="1"/>
  <c r="GA15" i="19" a="1"/>
  <c r="GA15" i="19" s="1"/>
  <c r="FZ15" i="19" a="1"/>
  <c r="FZ15" i="19" s="1"/>
  <c r="FY15" i="19" a="1"/>
  <c r="FY15" i="19" s="1"/>
  <c r="FX15" i="19" a="1"/>
  <c r="FX15" i="19" s="1"/>
  <c r="FW15" i="19" a="1"/>
  <c r="FW15" i="19" s="1"/>
  <c r="FV15" i="19" a="1"/>
  <c r="FV15" i="19" s="1"/>
  <c r="FU15" i="19" a="1"/>
  <c r="FU15" i="19" s="1"/>
  <c r="FT15" i="19" a="1"/>
  <c r="FT15" i="19" s="1"/>
  <c r="FS15" i="19" a="1"/>
  <c r="FS15" i="19" s="1"/>
  <c r="FR15" i="19" a="1"/>
  <c r="FR15" i="19" s="1"/>
  <c r="FQ15" i="19" a="1"/>
  <c r="FQ15" i="19" s="1"/>
  <c r="FP15" i="19" a="1"/>
  <c r="FP15" i="19" s="1"/>
  <c r="FO15" i="19" a="1"/>
  <c r="FO15" i="19" s="1"/>
  <c r="FN15" i="19" a="1"/>
  <c r="FN15" i="19" s="1"/>
  <c r="FM15" i="19" a="1"/>
  <c r="FM15" i="19" s="1"/>
  <c r="ES15" i="19" a="1"/>
  <c r="ES15" i="19" s="1"/>
  <c r="DP15" i="19" a="1"/>
  <c r="DP15" i="19" s="1"/>
  <c r="DH15" i="19" a="1"/>
  <c r="DH15" i="19" s="1"/>
  <c r="DB15" i="19" a="1"/>
  <c r="DB15" i="19" s="1"/>
  <c r="DA15" i="19" a="1"/>
  <c r="DA15" i="19" s="1"/>
  <c r="CZ15" i="19" a="1"/>
  <c r="CZ15" i="19" s="1"/>
  <c r="CY15" i="19" a="1"/>
  <c r="CY15" i="19" s="1"/>
  <c r="CX15" i="19" a="1"/>
  <c r="CX15" i="19" s="1"/>
  <c r="CW15" i="19" a="1"/>
  <c r="CW15" i="19" s="1"/>
  <c r="CV15" i="19" a="1"/>
  <c r="CV15" i="19" s="1"/>
  <c r="CU15" i="19" a="1"/>
  <c r="CU15" i="19" s="1"/>
  <c r="CT15" i="19" a="1"/>
  <c r="CT15" i="19" s="1"/>
  <c r="CS15" i="19" a="1"/>
  <c r="CS15" i="19" s="1"/>
  <c r="CR15" i="19" a="1"/>
  <c r="CR15" i="19" s="1"/>
  <c r="CQ15" i="19" a="1"/>
  <c r="CQ15" i="19" s="1"/>
  <c r="CP15" i="19" a="1"/>
  <c r="CP15" i="19" s="1"/>
  <c r="CO15" i="19" a="1"/>
  <c r="CO15" i="19" s="1"/>
  <c r="CN15" i="19" a="1"/>
  <c r="CN15" i="19" s="1"/>
  <c r="CM15" i="19" a="1"/>
  <c r="CM15" i="19" s="1"/>
  <c r="CL15" i="19" a="1"/>
  <c r="CL15" i="19" s="1"/>
  <c r="CK15" i="19" a="1"/>
  <c r="CK15" i="19" s="1"/>
  <c r="CJ15" i="19" a="1"/>
  <c r="CJ15" i="19" s="1"/>
  <c r="CI15" i="19" a="1"/>
  <c r="CI15" i="19" s="1"/>
  <c r="CE15" i="19" l="1" a="1"/>
  <c r="CE15" i="19" s="1"/>
  <c r="CD15" i="19" a="1"/>
  <c r="CD15" i="19" s="1"/>
  <c r="F15" i="19" l="1" a="1"/>
  <c r="F15" i="19" s="1"/>
  <c r="C15" i="19" a="1"/>
  <c r="C15" i="19" s="1"/>
  <c r="B15" i="19" a="1"/>
  <c r="B15" i="19" l="1"/>
  <c r="HK14" i="19" a="1"/>
  <c r="HK14" i="19" s="1"/>
  <c r="HH14" i="19" a="1"/>
  <c r="HH14" i="19" s="1"/>
  <c r="HG14" i="19" a="1"/>
  <c r="HG14" i="19" s="1"/>
  <c r="HF14" i="19" a="1"/>
  <c r="HF14" i="19" s="1"/>
  <c r="HE14" i="19" a="1"/>
  <c r="HE14" i="19" s="1"/>
  <c r="HD14" i="19" a="1"/>
  <c r="HD14" i="19" s="1"/>
  <c r="HC14" i="19" a="1"/>
  <c r="HC14" i="19" s="1"/>
  <c r="HB14" i="19" a="1"/>
  <c r="HB14" i="19" s="1"/>
  <c r="HA14" i="19" a="1"/>
  <c r="HA14" i="19" s="1"/>
  <c r="GZ14" i="19" a="1"/>
  <c r="GZ14" i="19" s="1"/>
  <c r="GY14" i="19" a="1"/>
  <c r="GY14" i="19" s="1"/>
  <c r="GX14" i="19" a="1"/>
  <c r="GX14" i="19" s="1"/>
  <c r="GW14" i="19" a="1"/>
  <c r="GW14" i="19" s="1"/>
  <c r="GV14" i="19" a="1"/>
  <c r="GV14" i="19" s="1"/>
  <c r="GU14" i="19" a="1"/>
  <c r="GU14" i="19" s="1"/>
  <c r="GT14" i="19" a="1"/>
  <c r="GT14" i="19" s="1"/>
  <c r="GS14" i="19" a="1"/>
  <c r="GS14" i="19" s="1"/>
  <c r="GR14" i="19" a="1"/>
  <c r="GR14" i="19" s="1"/>
  <c r="GQ14" i="19" a="1"/>
  <c r="GQ14" i="19" s="1"/>
  <c r="GP14" i="19" a="1"/>
  <c r="GP14" i="19" s="1"/>
  <c r="GO14" i="19" a="1"/>
  <c r="GO14" i="19" s="1"/>
  <c r="GN14" i="19" a="1"/>
  <c r="GN14" i="19" s="1"/>
  <c r="GM14" i="19" a="1"/>
  <c r="GM14" i="19" s="1"/>
  <c r="GL14" i="19" a="1"/>
  <c r="GL14" i="19" s="1"/>
  <c r="GK14" i="19" a="1"/>
  <c r="GK14" i="19" s="1"/>
  <c r="GJ14" i="19" a="1"/>
  <c r="GJ14" i="19" s="1"/>
  <c r="GI14" i="19" a="1"/>
  <c r="GI14" i="19" s="1"/>
  <c r="GH14" i="19" a="1"/>
  <c r="GH14" i="19" s="1"/>
  <c r="GG14" i="19" a="1"/>
  <c r="GG14" i="19" s="1"/>
  <c r="GF14" i="19" a="1"/>
  <c r="GF14" i="19" s="1"/>
  <c r="GE14" i="19" a="1"/>
  <c r="GE14" i="19" s="1"/>
  <c r="GD14" i="19" a="1"/>
  <c r="GD14" i="19" s="1"/>
  <c r="GC14" i="19" a="1"/>
  <c r="GC14" i="19" s="1"/>
  <c r="GB14" i="19" a="1"/>
  <c r="GB14" i="19" s="1"/>
  <c r="GA14" i="19" a="1"/>
  <c r="GA14" i="19" s="1"/>
  <c r="FZ14" i="19" a="1"/>
  <c r="FZ14" i="19" s="1"/>
  <c r="FY14" i="19" a="1"/>
  <c r="FY14" i="19" s="1"/>
  <c r="FX14" i="19" a="1"/>
  <c r="FX14" i="19" s="1"/>
  <c r="FW14" i="19" a="1"/>
  <c r="FW14" i="19" s="1"/>
  <c r="FV14" i="19" a="1"/>
  <c r="FV14" i="19" s="1"/>
  <c r="FU14" i="19" a="1"/>
  <c r="FU14" i="19" s="1"/>
  <c r="FT14" i="19" a="1"/>
  <c r="FT14" i="19" s="1"/>
  <c r="FS14" i="19" a="1"/>
  <c r="FS14" i="19" s="1"/>
  <c r="FR14" i="19" a="1"/>
  <c r="FR14" i="19" s="1"/>
  <c r="FQ14" i="19" a="1"/>
  <c r="FQ14" i="19" s="1"/>
  <c r="FP14" i="19" a="1"/>
  <c r="FP14" i="19" s="1"/>
  <c r="FO14" i="19" a="1"/>
  <c r="FO14" i="19" s="1"/>
  <c r="FN14" i="19" a="1"/>
  <c r="FN14" i="19" s="1"/>
  <c r="FM14" i="19" a="1"/>
  <c r="FM14" i="19" s="1"/>
  <c r="ES14" i="19" a="1"/>
  <c r="ES14" i="19" s="1"/>
  <c r="DP14" i="19" a="1"/>
  <c r="DP14" i="19" s="1"/>
  <c r="DH14" i="19" a="1"/>
  <c r="DH14" i="19" s="1"/>
  <c r="DB14" i="19" a="1"/>
  <c r="DB14" i="19" s="1"/>
  <c r="DA14" i="19" a="1"/>
  <c r="DA14" i="19" s="1"/>
  <c r="CZ14" i="19" a="1"/>
  <c r="CZ14" i="19" s="1"/>
  <c r="CY14" i="19" a="1"/>
  <c r="CY14" i="19" s="1"/>
  <c r="CX14" i="19" a="1"/>
  <c r="CX14" i="19" s="1"/>
  <c r="CW14" i="19" a="1"/>
  <c r="CW14" i="19" s="1"/>
  <c r="CV14" i="19" a="1"/>
  <c r="CV14" i="19" s="1"/>
  <c r="CU14" i="19" a="1"/>
  <c r="CU14" i="19" s="1"/>
  <c r="CT14" i="19" a="1"/>
  <c r="CT14" i="19" s="1"/>
  <c r="CS14" i="19" a="1"/>
  <c r="CS14" i="19" s="1"/>
  <c r="CR14" i="19" a="1"/>
  <c r="CR14" i="19" s="1"/>
  <c r="CQ14" i="19" a="1"/>
  <c r="CQ14" i="19" s="1"/>
  <c r="CP14" i="19" a="1"/>
  <c r="CP14" i="19" s="1"/>
  <c r="CO14" i="19" a="1"/>
  <c r="CO14" i="19" s="1"/>
  <c r="CN14" i="19" a="1"/>
  <c r="CN14" i="19" s="1"/>
  <c r="CM14" i="19" a="1"/>
  <c r="CM14" i="19" s="1"/>
  <c r="CL14" i="19" a="1"/>
  <c r="CL14" i="19" s="1"/>
  <c r="CK14" i="19" a="1"/>
  <c r="CK14" i="19" s="1"/>
  <c r="CJ14" i="19" a="1"/>
  <c r="CJ14" i="19" s="1"/>
  <c r="CI14" i="19" a="1"/>
  <c r="CI14" i="19" s="1"/>
  <c r="CE14" i="19" l="1" a="1"/>
  <c r="CE14" i="19" s="1"/>
  <c r="CD14" i="19" a="1"/>
  <c r="CD14" i="19" s="1"/>
  <c r="F14" i="19" l="1" a="1"/>
  <c r="F14" i="19" s="1"/>
  <c r="C14" i="19" a="1"/>
  <c r="C14" i="19" s="1"/>
  <c r="B14" i="19" a="1"/>
  <c r="B14" i="19" l="1"/>
  <c r="HK13" i="19" a="1"/>
  <c r="HK13" i="19" s="1"/>
  <c r="HH13" i="19" a="1"/>
  <c r="HH13" i="19" s="1"/>
  <c r="HG13" i="19" a="1"/>
  <c r="HG13" i="19" s="1"/>
  <c r="HF13" i="19" a="1"/>
  <c r="HF13" i="19" s="1"/>
  <c r="HE13" i="19" a="1"/>
  <c r="HE13" i="19" s="1"/>
  <c r="HD13" i="19" a="1"/>
  <c r="HD13" i="19" s="1"/>
  <c r="HC13" i="19" a="1"/>
  <c r="HC13" i="19" s="1"/>
  <c r="HB13" i="19" a="1"/>
  <c r="HB13" i="19" s="1"/>
  <c r="HA13" i="19" a="1"/>
  <c r="HA13" i="19" s="1"/>
  <c r="GZ13" i="19" a="1"/>
  <c r="GZ13" i="19" s="1"/>
  <c r="GY13" i="19" a="1"/>
  <c r="GY13" i="19" s="1"/>
  <c r="GX13" i="19" a="1"/>
  <c r="GX13" i="19" s="1"/>
  <c r="GW13" i="19" a="1"/>
  <c r="GW13" i="19" s="1"/>
  <c r="GV13" i="19" a="1"/>
  <c r="GV13" i="19" s="1"/>
  <c r="GU13" i="19" a="1"/>
  <c r="GU13" i="19" s="1"/>
  <c r="GT13" i="19" a="1"/>
  <c r="GT13" i="19" s="1"/>
  <c r="GS13" i="19" a="1"/>
  <c r="GS13" i="19" s="1"/>
  <c r="GR13" i="19" a="1"/>
  <c r="GR13" i="19" s="1"/>
  <c r="GQ13" i="19" a="1"/>
  <c r="GQ13" i="19" s="1"/>
  <c r="GP13" i="19" a="1"/>
  <c r="GP13" i="19" s="1"/>
  <c r="GO13" i="19" a="1"/>
  <c r="GO13" i="19" s="1"/>
  <c r="GN13" i="19" a="1"/>
  <c r="GN13" i="19" s="1"/>
  <c r="GM13" i="19" a="1"/>
  <c r="GM13" i="19" s="1"/>
  <c r="GL13" i="19" a="1"/>
  <c r="GL13" i="19" s="1"/>
  <c r="GK13" i="19" a="1"/>
  <c r="GK13" i="19" s="1"/>
  <c r="GJ13" i="19" a="1"/>
  <c r="GJ13" i="19" s="1"/>
  <c r="GI13" i="19" a="1"/>
  <c r="GI13" i="19" s="1"/>
  <c r="GH13" i="19" a="1"/>
  <c r="GH13" i="19" s="1"/>
  <c r="GG13" i="19" a="1"/>
  <c r="GG13" i="19" s="1"/>
  <c r="GF13" i="19" a="1"/>
  <c r="GF13" i="19" s="1"/>
  <c r="GE13" i="19" a="1"/>
  <c r="GE13" i="19" s="1"/>
  <c r="GD13" i="19" a="1"/>
  <c r="GD13" i="19" s="1"/>
  <c r="GC13" i="19" a="1"/>
  <c r="GC13" i="19" s="1"/>
  <c r="GB13" i="19" a="1"/>
  <c r="GB13" i="19" s="1"/>
  <c r="GA13" i="19" a="1"/>
  <c r="GA13" i="19" s="1"/>
  <c r="FZ13" i="19" a="1"/>
  <c r="FZ13" i="19" s="1"/>
  <c r="FY13" i="19" a="1"/>
  <c r="FY13" i="19" s="1"/>
  <c r="FX13" i="19" a="1"/>
  <c r="FX13" i="19" s="1"/>
  <c r="FW13" i="19" a="1"/>
  <c r="FW13" i="19" s="1"/>
  <c r="FV13" i="19" a="1"/>
  <c r="FV13" i="19" s="1"/>
  <c r="FU13" i="19" a="1"/>
  <c r="FU13" i="19" s="1"/>
  <c r="FT13" i="19" a="1"/>
  <c r="FT13" i="19" s="1"/>
  <c r="FS13" i="19" a="1"/>
  <c r="FS13" i="19" s="1"/>
  <c r="FR13" i="19" a="1"/>
  <c r="FR13" i="19" s="1"/>
  <c r="FQ13" i="19" a="1"/>
  <c r="FQ13" i="19" s="1"/>
  <c r="FP13" i="19" a="1"/>
  <c r="FP13" i="19" s="1"/>
  <c r="FO13" i="19" a="1"/>
  <c r="FO13" i="19" s="1"/>
  <c r="FN13" i="19" a="1"/>
  <c r="FN13" i="19" s="1"/>
  <c r="FM13" i="19" a="1"/>
  <c r="FM13" i="19" s="1"/>
  <c r="ES13" i="19" a="1"/>
  <c r="ES13" i="19" s="1"/>
  <c r="DP13" i="19" a="1"/>
  <c r="DP13" i="19" s="1"/>
  <c r="DH13" i="19" a="1"/>
  <c r="DH13" i="19" s="1"/>
  <c r="DB13" i="19" a="1"/>
  <c r="DB13" i="19" s="1"/>
  <c r="DA13" i="19" a="1"/>
  <c r="DA13" i="19" s="1"/>
  <c r="CZ13" i="19" a="1"/>
  <c r="CZ13" i="19" s="1"/>
  <c r="CY13" i="19" a="1"/>
  <c r="CY13" i="19" s="1"/>
  <c r="CX13" i="19" a="1"/>
  <c r="CX13" i="19" s="1"/>
  <c r="CW13" i="19" a="1"/>
  <c r="CW13" i="19" s="1"/>
  <c r="CV13" i="19" a="1"/>
  <c r="CV13" i="19" s="1"/>
  <c r="CU13" i="19" a="1"/>
  <c r="CU13" i="19" s="1"/>
  <c r="CT13" i="19" a="1"/>
  <c r="CT13" i="19" s="1"/>
  <c r="CS13" i="19" a="1"/>
  <c r="CS13" i="19" s="1"/>
  <c r="CR13" i="19" a="1"/>
  <c r="CR13" i="19" s="1"/>
  <c r="CQ13" i="19" a="1"/>
  <c r="CQ13" i="19" s="1"/>
  <c r="CP13" i="19" a="1"/>
  <c r="CP13" i="19" s="1"/>
  <c r="CO13" i="19" a="1"/>
  <c r="CO13" i="19" s="1"/>
  <c r="CN13" i="19" a="1"/>
  <c r="CN13" i="19" s="1"/>
  <c r="CM13" i="19" a="1"/>
  <c r="CM13" i="19" s="1"/>
  <c r="CL13" i="19" a="1"/>
  <c r="CL13" i="19" s="1"/>
  <c r="CK13" i="19" a="1"/>
  <c r="CK13" i="19" s="1"/>
  <c r="CJ13" i="19" a="1"/>
  <c r="CJ13" i="19" s="1"/>
  <c r="CI13" i="19" a="1"/>
  <c r="CI13" i="19" s="1"/>
  <c r="CE13" i="19" l="1" a="1"/>
  <c r="CE13" i="19" s="1"/>
  <c r="CD13" i="19" a="1"/>
  <c r="CD13" i="19" s="1"/>
  <c r="F13" i="19" l="1" a="1"/>
  <c r="F13" i="19" s="1"/>
  <c r="C13" i="19" a="1"/>
  <c r="C13" i="19" s="1"/>
  <c r="B13" i="19" a="1"/>
  <c r="B13" i="19" l="1"/>
  <c r="HK12" i="19" a="1"/>
  <c r="HK12" i="19" s="1"/>
  <c r="HH12" i="19" a="1"/>
  <c r="HH12" i="19" s="1"/>
  <c r="HG12" i="19" a="1"/>
  <c r="HG12" i="19" s="1"/>
  <c r="HF12" i="19" a="1"/>
  <c r="HF12" i="19" s="1"/>
  <c r="HE12" i="19" a="1"/>
  <c r="HE12" i="19" s="1"/>
  <c r="HD12" i="19" a="1"/>
  <c r="HD12" i="19" s="1"/>
  <c r="HC12" i="19" a="1"/>
  <c r="HC12" i="19" s="1"/>
  <c r="HB12" i="19" a="1"/>
  <c r="HB12" i="19" s="1"/>
  <c r="HA12" i="19" a="1"/>
  <c r="HA12" i="19" s="1"/>
  <c r="GZ12" i="19" a="1"/>
  <c r="GZ12" i="19" s="1"/>
  <c r="GY12" i="19" a="1"/>
  <c r="GY12" i="19" s="1"/>
  <c r="GX12" i="19" a="1"/>
  <c r="GX12" i="19" s="1"/>
  <c r="GW12" i="19" a="1"/>
  <c r="GW12" i="19" s="1"/>
  <c r="GV12" i="19" a="1"/>
  <c r="GV12" i="19" s="1"/>
  <c r="GU12" i="19" a="1"/>
  <c r="GU12" i="19" s="1"/>
  <c r="GT12" i="19" a="1"/>
  <c r="GT12" i="19" s="1"/>
  <c r="GS12" i="19" a="1"/>
  <c r="GS12" i="19" s="1"/>
  <c r="GR12" i="19" a="1"/>
  <c r="GR12" i="19" s="1"/>
  <c r="GQ12" i="19" a="1"/>
  <c r="GQ12" i="19" s="1"/>
  <c r="GP12" i="19" a="1"/>
  <c r="GP12" i="19" s="1"/>
  <c r="GO12" i="19" a="1"/>
  <c r="GO12" i="19" s="1"/>
  <c r="GN12" i="19" a="1"/>
  <c r="GN12" i="19" s="1"/>
  <c r="GM12" i="19" a="1"/>
  <c r="GM12" i="19" s="1"/>
  <c r="GL12" i="19" a="1"/>
  <c r="GL12" i="19" s="1"/>
  <c r="GK12" i="19" a="1"/>
  <c r="GK12" i="19" s="1"/>
  <c r="GJ12" i="19" a="1"/>
  <c r="GJ12" i="19" s="1"/>
  <c r="GI12" i="19" a="1"/>
  <c r="GI12" i="19" s="1"/>
  <c r="GH12" i="19" a="1"/>
  <c r="GH12" i="19" s="1"/>
  <c r="GG12" i="19" a="1"/>
  <c r="GG12" i="19" s="1"/>
  <c r="GF12" i="19" a="1"/>
  <c r="GF12" i="19" s="1"/>
  <c r="GE12" i="19" a="1"/>
  <c r="GE12" i="19" s="1"/>
  <c r="GD12" i="19" a="1"/>
  <c r="GD12" i="19" s="1"/>
  <c r="GC12" i="19" a="1"/>
  <c r="GC12" i="19" s="1"/>
  <c r="GB12" i="19" a="1"/>
  <c r="GB12" i="19" s="1"/>
  <c r="GA12" i="19" a="1"/>
  <c r="GA12" i="19" s="1"/>
  <c r="FZ12" i="19" a="1"/>
  <c r="FZ12" i="19" s="1"/>
  <c r="FY12" i="19" a="1"/>
  <c r="FY12" i="19" s="1"/>
  <c r="FX12" i="19" a="1"/>
  <c r="FX12" i="19" s="1"/>
  <c r="FW12" i="19" a="1"/>
  <c r="FW12" i="19" s="1"/>
  <c r="FV12" i="19" a="1"/>
  <c r="FV12" i="19" s="1"/>
  <c r="FU12" i="19" a="1"/>
  <c r="FU12" i="19" s="1"/>
  <c r="FT12" i="19" a="1"/>
  <c r="FT12" i="19" s="1"/>
  <c r="FS12" i="19" a="1"/>
  <c r="FS12" i="19" s="1"/>
  <c r="FR12" i="19" a="1"/>
  <c r="FR12" i="19" s="1"/>
  <c r="FQ12" i="19" a="1"/>
  <c r="FQ12" i="19" s="1"/>
  <c r="FP12" i="19" a="1"/>
  <c r="FP12" i="19" s="1"/>
  <c r="FO12" i="19" a="1"/>
  <c r="FO12" i="19" s="1"/>
  <c r="FN12" i="19" a="1"/>
  <c r="FN12" i="19" s="1"/>
  <c r="FM12" i="19" a="1"/>
  <c r="FM12" i="19" s="1"/>
  <c r="ES12" i="19" a="1"/>
  <c r="ES12" i="19" s="1"/>
  <c r="DP12" i="19" a="1"/>
  <c r="DP12" i="19" s="1"/>
  <c r="DH12" i="19" a="1"/>
  <c r="DH12" i="19" s="1"/>
  <c r="DB12" i="19" a="1"/>
  <c r="DB12" i="19" s="1"/>
  <c r="DA12" i="19" a="1"/>
  <c r="DA12" i="19" s="1"/>
  <c r="CZ12" i="19" a="1"/>
  <c r="CZ12" i="19" s="1"/>
  <c r="CY12" i="19" a="1"/>
  <c r="CY12" i="19" s="1"/>
  <c r="CX12" i="19" a="1"/>
  <c r="CX12" i="19" s="1"/>
  <c r="CW12" i="19" a="1"/>
  <c r="CW12" i="19" s="1"/>
  <c r="CV12" i="19" a="1"/>
  <c r="CV12" i="19" s="1"/>
  <c r="CU12" i="19" a="1"/>
  <c r="CU12" i="19" s="1"/>
  <c r="CT12" i="19" a="1"/>
  <c r="CT12" i="19" s="1"/>
  <c r="CS12" i="19" a="1"/>
  <c r="CS12" i="19" s="1"/>
  <c r="CR12" i="19" a="1"/>
  <c r="CR12" i="19" s="1"/>
  <c r="CQ12" i="19" a="1"/>
  <c r="CQ12" i="19" s="1"/>
  <c r="CP12" i="19" a="1"/>
  <c r="CP12" i="19" s="1"/>
  <c r="CO12" i="19" a="1"/>
  <c r="CO12" i="19" s="1"/>
  <c r="CN12" i="19" a="1"/>
  <c r="CN12" i="19" s="1"/>
  <c r="CM12" i="19" a="1"/>
  <c r="CM12" i="19" s="1"/>
  <c r="CL12" i="19" a="1"/>
  <c r="CL12" i="19" s="1"/>
  <c r="CK12" i="19" a="1"/>
  <c r="CK12" i="19" s="1"/>
  <c r="CJ12" i="19" a="1"/>
  <c r="CJ12" i="19" s="1"/>
  <c r="CI12" i="19" a="1"/>
  <c r="CI12" i="19" s="1"/>
  <c r="CE12" i="19" l="1" a="1"/>
  <c r="CE12" i="19" s="1"/>
  <c r="CD12" i="19" a="1"/>
  <c r="CD12" i="19" s="1"/>
  <c r="F12" i="19" l="1" a="1"/>
  <c r="F12" i="19" s="1"/>
  <c r="C12" i="19" a="1"/>
  <c r="C12" i="19" s="1"/>
  <c r="B12" i="19" a="1"/>
  <c r="B12" i="19" l="1"/>
  <c r="HK11" i="19" a="1"/>
  <c r="HK11" i="19" s="1"/>
  <c r="HH11" i="19" a="1"/>
  <c r="HH11" i="19" s="1"/>
  <c r="HG11" i="19" a="1"/>
  <c r="HG11" i="19" s="1"/>
  <c r="HF11" i="19" a="1"/>
  <c r="HF11" i="19" s="1"/>
  <c r="HE11" i="19" a="1"/>
  <c r="HE11" i="19" s="1"/>
  <c r="HD11" i="19" a="1"/>
  <c r="HD11" i="19" s="1"/>
  <c r="HC11" i="19" a="1"/>
  <c r="HC11" i="19" s="1"/>
  <c r="HB11" i="19" a="1"/>
  <c r="HB11" i="19" s="1"/>
  <c r="HA11" i="19" a="1"/>
  <c r="HA11" i="19" s="1"/>
  <c r="GZ11" i="19" a="1"/>
  <c r="GZ11" i="19" s="1"/>
  <c r="GY11" i="19" a="1"/>
  <c r="GY11" i="19" s="1"/>
  <c r="GX11" i="19" a="1"/>
  <c r="GX11" i="19" s="1"/>
  <c r="GW11" i="19" a="1"/>
  <c r="GW11" i="19" s="1"/>
  <c r="GV11" i="19" a="1"/>
  <c r="GV11" i="19" s="1"/>
  <c r="GU11" i="19" a="1"/>
  <c r="GU11" i="19" s="1"/>
  <c r="GT11" i="19" a="1"/>
  <c r="GT11" i="19" s="1"/>
  <c r="GS11" i="19" a="1"/>
  <c r="GS11" i="19" s="1"/>
  <c r="GR11" i="19" a="1"/>
  <c r="GR11" i="19" s="1"/>
  <c r="GQ11" i="19" a="1"/>
  <c r="GQ11" i="19" s="1"/>
  <c r="GP11" i="19" a="1"/>
  <c r="GP11" i="19" s="1"/>
  <c r="GO11" i="19" a="1"/>
  <c r="GO11" i="19" s="1"/>
  <c r="GN11" i="19" a="1"/>
  <c r="GN11" i="19" s="1"/>
  <c r="GM11" i="19" a="1"/>
  <c r="GM11" i="19" s="1"/>
  <c r="GL11" i="19" a="1"/>
  <c r="GL11" i="19" s="1"/>
  <c r="GK11" i="19" a="1"/>
  <c r="GK11" i="19" s="1"/>
  <c r="GJ11" i="19" a="1"/>
  <c r="GJ11" i="19" s="1"/>
  <c r="GI11" i="19" a="1"/>
  <c r="GI11" i="19" s="1"/>
  <c r="GH11" i="19" a="1"/>
  <c r="GH11" i="19" s="1"/>
  <c r="GG11" i="19" a="1"/>
  <c r="GG11" i="19" s="1"/>
  <c r="GF11" i="19" a="1"/>
  <c r="GF11" i="19" s="1"/>
  <c r="GE11" i="19" a="1"/>
  <c r="GE11" i="19" s="1"/>
  <c r="GD11" i="19" a="1"/>
  <c r="GD11" i="19" s="1"/>
  <c r="GC11" i="19" a="1"/>
  <c r="GC11" i="19" s="1"/>
  <c r="GB11" i="19" a="1"/>
  <c r="GB11" i="19" s="1"/>
  <c r="GA11" i="19" a="1"/>
  <c r="GA11" i="19" s="1"/>
  <c r="FZ11" i="19" a="1"/>
  <c r="FZ11" i="19" s="1"/>
  <c r="FY11" i="19" a="1"/>
  <c r="FY11" i="19" s="1"/>
  <c r="FX11" i="19" a="1"/>
  <c r="FX11" i="19" s="1"/>
  <c r="FW11" i="19" a="1"/>
  <c r="FW11" i="19" s="1"/>
  <c r="FV11" i="19" a="1"/>
  <c r="FV11" i="19" s="1"/>
  <c r="FU11" i="19" a="1"/>
  <c r="FU11" i="19" s="1"/>
  <c r="FT11" i="19" a="1"/>
  <c r="FT11" i="19" s="1"/>
  <c r="FS11" i="19" a="1"/>
  <c r="FS11" i="19" s="1"/>
  <c r="FR11" i="19" a="1"/>
  <c r="FR11" i="19" s="1"/>
  <c r="FQ11" i="19" a="1"/>
  <c r="FQ11" i="19" s="1"/>
  <c r="FP11" i="19" a="1"/>
  <c r="FP11" i="19" s="1"/>
  <c r="FO11" i="19" a="1"/>
  <c r="FO11" i="19" s="1"/>
  <c r="FN11" i="19" a="1"/>
  <c r="FN11" i="19" s="1"/>
  <c r="FM11" i="19" a="1"/>
  <c r="FM11" i="19" s="1"/>
  <c r="ES11" i="19" a="1"/>
  <c r="ES11" i="19" s="1"/>
  <c r="DP11" i="19" a="1"/>
  <c r="DP11" i="19" s="1"/>
  <c r="DH11" i="19" a="1"/>
  <c r="DH11" i="19" s="1"/>
  <c r="DB11" i="19" a="1"/>
  <c r="DB11" i="19" s="1"/>
  <c r="DA11" i="19" a="1"/>
  <c r="DA11" i="19" s="1"/>
  <c r="CZ11" i="19" a="1"/>
  <c r="CZ11" i="19" s="1"/>
  <c r="CY11" i="19" a="1"/>
  <c r="CY11" i="19" s="1"/>
  <c r="CX11" i="19" a="1"/>
  <c r="CX11" i="19" s="1"/>
  <c r="CW11" i="19" a="1"/>
  <c r="CW11" i="19" s="1"/>
  <c r="CV11" i="19" a="1"/>
  <c r="CV11" i="19" s="1"/>
  <c r="CU11" i="19" a="1"/>
  <c r="CU11" i="19" s="1"/>
  <c r="CT11" i="19" a="1"/>
  <c r="CT11" i="19" s="1"/>
  <c r="CS11" i="19" a="1"/>
  <c r="CS11" i="19" s="1"/>
  <c r="CR11" i="19" a="1"/>
  <c r="CR11" i="19" s="1"/>
  <c r="CQ11" i="19" a="1"/>
  <c r="CQ11" i="19" s="1"/>
  <c r="CP11" i="19" a="1"/>
  <c r="CP11" i="19" s="1"/>
  <c r="CO11" i="19" a="1"/>
  <c r="CO11" i="19" s="1"/>
  <c r="CN11" i="19" a="1"/>
  <c r="CN11" i="19" s="1"/>
  <c r="CM11" i="19" a="1"/>
  <c r="CM11" i="19" s="1"/>
  <c r="CL11" i="19" a="1"/>
  <c r="CL11" i="19" s="1"/>
  <c r="CK11" i="19" a="1"/>
  <c r="CK11" i="19" s="1"/>
  <c r="CJ11" i="19" a="1"/>
  <c r="CJ11" i="19" s="1"/>
  <c r="CI11" i="19" a="1"/>
  <c r="CI11" i="19" s="1"/>
  <c r="CE11" i="19" l="1" a="1"/>
  <c r="CE11" i="19" s="1"/>
  <c r="CD11" i="19" a="1"/>
  <c r="CD11" i="19" s="1"/>
  <c r="F11" i="19" l="1" a="1"/>
  <c r="F11" i="19" s="1"/>
  <c r="C11" i="19" a="1"/>
  <c r="C11" i="19" s="1"/>
  <c r="B11" i="19" a="1"/>
  <c r="B11" i="19" l="1"/>
  <c r="HK10" i="19" a="1"/>
  <c r="HK10" i="19" s="1"/>
  <c r="HH10" i="19" a="1"/>
  <c r="HH10" i="19" s="1"/>
  <c r="HG10" i="19" a="1"/>
  <c r="HG10" i="19" s="1"/>
  <c r="HF10" i="19" a="1"/>
  <c r="HF10" i="19" s="1"/>
  <c r="HE10" i="19" a="1"/>
  <c r="HE10" i="19" s="1"/>
  <c r="HD10" i="19" a="1"/>
  <c r="HD10" i="19" s="1"/>
  <c r="HC10" i="19" a="1"/>
  <c r="HC10" i="19" s="1"/>
  <c r="HB10" i="19" a="1"/>
  <c r="HB10" i="19" s="1"/>
  <c r="HA10" i="19" a="1"/>
  <c r="HA10" i="19" s="1"/>
  <c r="GZ10" i="19" a="1"/>
  <c r="GZ10" i="19" s="1"/>
  <c r="GY10" i="19" a="1"/>
  <c r="GY10" i="19" s="1"/>
  <c r="GX10" i="19" a="1"/>
  <c r="GX10" i="19" s="1"/>
  <c r="GW10" i="19" a="1"/>
  <c r="GW10" i="19" s="1"/>
  <c r="GV10" i="19" a="1"/>
  <c r="GV10" i="19" s="1"/>
  <c r="GU10" i="19" a="1"/>
  <c r="GU10" i="19" s="1"/>
  <c r="GT10" i="19" a="1"/>
  <c r="GT10" i="19" s="1"/>
  <c r="GS10" i="19" a="1"/>
  <c r="GS10" i="19" s="1"/>
  <c r="GR10" i="19" a="1"/>
  <c r="GR10" i="19" s="1"/>
  <c r="GQ10" i="19" a="1"/>
  <c r="GQ10" i="19" s="1"/>
  <c r="GP10" i="19" a="1"/>
  <c r="GP10" i="19" s="1"/>
  <c r="GO10" i="19" a="1"/>
  <c r="GO10" i="19" s="1"/>
  <c r="GN10" i="19" a="1"/>
  <c r="GN10" i="19" s="1"/>
  <c r="GM10" i="19" a="1"/>
  <c r="GM10" i="19" s="1"/>
  <c r="GL10" i="19" a="1"/>
  <c r="GL10" i="19" s="1"/>
  <c r="GK10" i="19" a="1"/>
  <c r="GK10" i="19" s="1"/>
  <c r="GJ10" i="19" a="1"/>
  <c r="GJ10" i="19" s="1"/>
  <c r="GI10" i="19" a="1"/>
  <c r="GI10" i="19" s="1"/>
  <c r="GH10" i="19" a="1"/>
  <c r="GH10" i="19" s="1"/>
  <c r="GG10" i="19" a="1"/>
  <c r="GG10" i="19" s="1"/>
  <c r="GF10" i="19" a="1"/>
  <c r="GF10" i="19" s="1"/>
  <c r="GE10" i="19" a="1"/>
  <c r="GE10" i="19" s="1"/>
  <c r="GD10" i="19" a="1"/>
  <c r="GD10" i="19" s="1"/>
  <c r="GC10" i="19" a="1"/>
  <c r="GC10" i="19" s="1"/>
  <c r="GB10" i="19" a="1"/>
  <c r="GB10" i="19" s="1"/>
  <c r="GA10" i="19" a="1"/>
  <c r="GA10" i="19" s="1"/>
  <c r="FZ10" i="19" a="1"/>
  <c r="FZ10" i="19" s="1"/>
  <c r="FY10" i="19" a="1"/>
  <c r="FY10" i="19" s="1"/>
  <c r="FX10" i="19" a="1"/>
  <c r="FX10" i="19" s="1"/>
  <c r="FW10" i="19" a="1"/>
  <c r="FW10" i="19" s="1"/>
  <c r="FV10" i="19" a="1"/>
  <c r="FV10" i="19" s="1"/>
  <c r="FU10" i="19" a="1"/>
  <c r="FU10" i="19" s="1"/>
  <c r="FT10" i="19" a="1"/>
  <c r="FT10" i="19" s="1"/>
  <c r="FS10" i="19" a="1"/>
  <c r="FS10" i="19" s="1"/>
  <c r="FR10" i="19" a="1"/>
  <c r="FR10" i="19" s="1"/>
  <c r="FQ10" i="19" a="1"/>
  <c r="FQ10" i="19" s="1"/>
  <c r="FP10" i="19" a="1"/>
  <c r="FP10" i="19" s="1"/>
  <c r="FO10" i="19" a="1"/>
  <c r="FO10" i="19" s="1"/>
  <c r="FN10" i="19" a="1"/>
  <c r="FN10" i="19" s="1"/>
  <c r="FM10" i="19" a="1"/>
  <c r="FM10" i="19" s="1"/>
  <c r="ES10" i="19" a="1"/>
  <c r="ES10" i="19" s="1"/>
  <c r="DP10" i="19" a="1"/>
  <c r="DP10" i="19" s="1"/>
  <c r="DH10" i="19" a="1"/>
  <c r="DH10" i="19" s="1"/>
  <c r="DB10" i="19" a="1"/>
  <c r="DB10" i="19" s="1"/>
  <c r="DA10" i="19" a="1"/>
  <c r="DA10" i="19" s="1"/>
  <c r="CZ10" i="19" a="1"/>
  <c r="CZ10" i="19" s="1"/>
  <c r="CY10" i="19" a="1"/>
  <c r="CY10" i="19" s="1"/>
  <c r="CX10" i="19" a="1"/>
  <c r="CX10" i="19" s="1"/>
  <c r="CW10" i="19" a="1"/>
  <c r="CW10" i="19" s="1"/>
  <c r="CV10" i="19" a="1"/>
  <c r="CV10" i="19" s="1"/>
  <c r="CU10" i="19" a="1"/>
  <c r="CU10" i="19" s="1"/>
  <c r="CT10" i="19" a="1"/>
  <c r="CT10" i="19" s="1"/>
  <c r="CS10" i="19" a="1"/>
  <c r="CS10" i="19" s="1"/>
  <c r="CR10" i="19" a="1"/>
  <c r="CR10" i="19" s="1"/>
  <c r="CQ10" i="19" a="1"/>
  <c r="CQ10" i="19" s="1"/>
  <c r="CP10" i="19" a="1"/>
  <c r="CP10" i="19" s="1"/>
  <c r="CO10" i="19" a="1"/>
  <c r="CO10" i="19" s="1"/>
  <c r="CN10" i="19" a="1"/>
  <c r="CN10" i="19" s="1"/>
  <c r="CM10" i="19" a="1"/>
  <c r="CM10" i="19" s="1"/>
  <c r="CL10" i="19" a="1"/>
  <c r="CL10" i="19" s="1"/>
  <c r="CK10" i="19" a="1"/>
  <c r="CK10" i="19" s="1"/>
  <c r="CJ10" i="19" a="1"/>
  <c r="CJ10" i="19" s="1"/>
  <c r="CI10" i="19" a="1"/>
  <c r="CI10" i="19" s="1"/>
  <c r="CE10" i="19" l="1" a="1"/>
  <c r="CE10" i="19" s="1"/>
  <c r="CD10" i="19" a="1"/>
  <c r="CD10" i="19" s="1"/>
  <c r="F10" i="19" l="1" a="1"/>
  <c r="F10" i="19" s="1"/>
  <c r="C10" i="19" a="1"/>
  <c r="C10" i="19" s="1"/>
  <c r="B10" i="19" a="1"/>
  <c r="B10" i="19" l="1"/>
  <c r="HK9" i="19" a="1"/>
  <c r="HK9" i="19" s="1"/>
  <c r="HH9" i="19" a="1"/>
  <c r="HH9" i="19" s="1"/>
  <c r="HG9" i="19" a="1"/>
  <c r="HG9" i="19" s="1"/>
  <c r="HF9" i="19" a="1"/>
  <c r="HF9" i="19" s="1"/>
  <c r="HE9" i="19" a="1"/>
  <c r="HE9" i="19" s="1"/>
  <c r="HD9" i="19" a="1"/>
  <c r="HD9" i="19" s="1"/>
  <c r="HC9" i="19" a="1"/>
  <c r="HC9" i="19" s="1"/>
  <c r="HB9" i="19" a="1"/>
  <c r="HB9" i="19" s="1"/>
  <c r="HA9" i="19" a="1"/>
  <c r="HA9" i="19" s="1"/>
  <c r="GZ9" i="19" a="1"/>
  <c r="GZ9" i="19" s="1"/>
  <c r="GY9" i="19" a="1"/>
  <c r="GY9" i="19" s="1"/>
  <c r="GX9" i="19" a="1"/>
  <c r="GX9" i="19" s="1"/>
  <c r="GW9" i="19" a="1"/>
  <c r="GW9" i="19" s="1"/>
  <c r="GV9" i="19" a="1"/>
  <c r="GV9" i="19" s="1"/>
  <c r="GU9" i="19" a="1"/>
  <c r="GU9" i="19" s="1"/>
  <c r="GT9" i="19" a="1"/>
  <c r="GT9" i="19" s="1"/>
  <c r="GS9" i="19" a="1"/>
  <c r="GS9" i="19" s="1"/>
  <c r="GR9" i="19" a="1"/>
  <c r="GR9" i="19" s="1"/>
  <c r="GQ9" i="19" a="1"/>
  <c r="GQ9" i="19" s="1"/>
  <c r="GP9" i="19" a="1"/>
  <c r="GP9" i="19" s="1"/>
  <c r="GO9" i="19" a="1"/>
  <c r="GO9" i="19" s="1"/>
  <c r="GN9" i="19" a="1"/>
  <c r="GN9" i="19" s="1"/>
  <c r="GM9" i="19" a="1"/>
  <c r="GM9" i="19" s="1"/>
  <c r="GL9" i="19" a="1"/>
  <c r="GL9" i="19" s="1"/>
  <c r="GK9" i="19" a="1"/>
  <c r="GK9" i="19" s="1"/>
  <c r="GJ9" i="19" a="1"/>
  <c r="GJ9" i="19" s="1"/>
  <c r="GI9" i="19" a="1"/>
  <c r="GI9" i="19" s="1"/>
  <c r="GH9" i="19" a="1"/>
  <c r="GH9" i="19" s="1"/>
  <c r="GG9" i="19" a="1"/>
  <c r="GG9" i="19" s="1"/>
  <c r="GF9" i="19" a="1"/>
  <c r="GF9" i="19" s="1"/>
  <c r="GE9" i="19" a="1"/>
  <c r="GE9" i="19" s="1"/>
  <c r="GD9" i="19" a="1"/>
  <c r="GD9" i="19" s="1"/>
  <c r="GC9" i="19" a="1"/>
  <c r="GC9" i="19" s="1"/>
  <c r="GB9" i="19" a="1"/>
  <c r="GB9" i="19" s="1"/>
  <c r="GA9" i="19" a="1"/>
  <c r="GA9" i="19" s="1"/>
  <c r="FZ9" i="19" a="1"/>
  <c r="FZ9" i="19" s="1"/>
  <c r="FY9" i="19" a="1"/>
  <c r="FY9" i="19" s="1"/>
  <c r="FX9" i="19" a="1"/>
  <c r="FX9" i="19" s="1"/>
  <c r="FW9" i="19" a="1"/>
  <c r="FW9" i="19" s="1"/>
  <c r="FV9" i="19" a="1"/>
  <c r="FV9" i="19" s="1"/>
  <c r="FU9" i="19" a="1"/>
  <c r="FU9" i="19" s="1"/>
  <c r="FT9" i="19" a="1"/>
  <c r="FT9" i="19" s="1"/>
  <c r="FS9" i="19" a="1"/>
  <c r="FS9" i="19" s="1"/>
  <c r="FR9" i="19" a="1"/>
  <c r="FR9" i="19" s="1"/>
  <c r="FQ9" i="19" a="1"/>
  <c r="FQ9" i="19" s="1"/>
  <c r="FP9" i="19" a="1"/>
  <c r="FP9" i="19" s="1"/>
  <c r="FO9" i="19" a="1"/>
  <c r="FO9" i="19" s="1"/>
  <c r="FN9" i="19" a="1"/>
  <c r="FN9" i="19" s="1"/>
  <c r="FM9" i="19" a="1"/>
  <c r="FM9" i="19" s="1"/>
  <c r="ES9" i="19" a="1"/>
  <c r="ES9" i="19" s="1"/>
  <c r="DP9" i="19" a="1"/>
  <c r="DP9" i="19" s="1"/>
  <c r="DH9" i="19" a="1"/>
  <c r="DH9" i="19" s="1"/>
  <c r="DB9" i="19" a="1"/>
  <c r="DB9" i="19" s="1"/>
  <c r="DA9" i="19" a="1"/>
  <c r="DA9" i="19" s="1"/>
  <c r="CZ9" i="19" a="1"/>
  <c r="CZ9" i="19" s="1"/>
  <c r="CY9" i="19" a="1"/>
  <c r="CY9" i="19" s="1"/>
  <c r="CX9" i="19" a="1"/>
  <c r="CX9" i="19" s="1"/>
  <c r="CW9" i="19" a="1"/>
  <c r="CW9" i="19" s="1"/>
  <c r="CV9" i="19" a="1"/>
  <c r="CV9" i="19" s="1"/>
  <c r="CU9" i="19" a="1"/>
  <c r="CU9" i="19" s="1"/>
  <c r="CT9" i="19" a="1"/>
  <c r="CT9" i="19" s="1"/>
  <c r="CS9" i="19" a="1"/>
  <c r="CS9" i="19" s="1"/>
  <c r="CR9" i="19" a="1"/>
  <c r="CR9" i="19" s="1"/>
  <c r="CQ9" i="19" a="1"/>
  <c r="CQ9" i="19" s="1"/>
  <c r="CP9" i="19" a="1"/>
  <c r="CP9" i="19" s="1"/>
  <c r="CO9" i="19" a="1"/>
  <c r="CO9" i="19" s="1"/>
  <c r="CN9" i="19" a="1"/>
  <c r="CN9" i="19" s="1"/>
  <c r="CM9" i="19" a="1"/>
  <c r="CM9" i="19" s="1"/>
  <c r="CL9" i="19" a="1"/>
  <c r="CL9" i="19" s="1"/>
  <c r="CK9" i="19" a="1"/>
  <c r="CK9" i="19" s="1"/>
  <c r="CJ9" i="19" a="1"/>
  <c r="CJ9" i="19" s="1"/>
  <c r="CI9" i="19" a="1"/>
  <c r="CI9" i="19" s="1"/>
  <c r="CE9" i="19" l="1" a="1"/>
  <c r="CE9" i="19" s="1"/>
  <c r="CD9" i="19" a="1"/>
  <c r="CD9" i="19" s="1"/>
  <c r="F9" i="19" l="1" a="1"/>
  <c r="F9" i="19" s="1"/>
  <c r="C9" i="19" a="1"/>
  <c r="C9" i="19" s="1"/>
  <c r="B9" i="19" a="1"/>
  <c r="B9" i="19" l="1"/>
  <c r="HK8" i="19"/>
  <c r="HK8" i="19" a="1"/>
  <c r="HH8" i="19" a="1"/>
  <c r="HH8" i="19" s="1"/>
  <c r="HG8" i="19" a="1"/>
  <c r="HG8" i="19" s="1"/>
  <c r="HF8" i="19" a="1"/>
  <c r="HF8" i="19" s="1"/>
  <c r="HE8" i="19" a="1"/>
  <c r="HE8" i="19" s="1"/>
  <c r="HD8" i="19" a="1"/>
  <c r="HD8" i="19" s="1"/>
  <c r="HC8" i="19" a="1"/>
  <c r="HC8" i="19" s="1"/>
  <c r="HB8" i="19" a="1"/>
  <c r="HB8" i="19" s="1"/>
  <c r="HA8" i="19" a="1"/>
  <c r="HA8" i="19" s="1"/>
  <c r="GZ8" i="19" a="1"/>
  <c r="GZ8" i="19" s="1"/>
  <c r="GY8" i="19" a="1"/>
  <c r="GY8" i="19" s="1"/>
  <c r="GX8" i="19" a="1"/>
  <c r="GX8" i="19" s="1"/>
  <c r="GW8" i="19" a="1"/>
  <c r="GW8" i="19" s="1"/>
  <c r="GV8" i="19" a="1"/>
  <c r="GV8" i="19" s="1"/>
  <c r="GU8" i="19" a="1"/>
  <c r="GU8" i="19" s="1"/>
  <c r="GT8" i="19" a="1"/>
  <c r="GT8" i="19" s="1"/>
  <c r="GS8" i="19" a="1"/>
  <c r="GS8" i="19" s="1"/>
  <c r="GR8" i="19" a="1"/>
  <c r="GR8" i="19" s="1"/>
  <c r="GQ8" i="19" a="1"/>
  <c r="GQ8" i="19" s="1"/>
  <c r="GP8" i="19" a="1"/>
  <c r="GP8" i="19" s="1"/>
  <c r="GO8" i="19" a="1"/>
  <c r="GO8" i="19" s="1"/>
  <c r="GN8" i="19" a="1"/>
  <c r="GN8" i="19" s="1"/>
  <c r="GM8" i="19" a="1"/>
  <c r="GM8" i="19" s="1"/>
  <c r="GL8" i="19" a="1"/>
  <c r="GL8" i="19" s="1"/>
  <c r="GK8" i="19" a="1"/>
  <c r="GK8" i="19" s="1"/>
  <c r="GJ8" i="19" a="1"/>
  <c r="GJ8" i="19" s="1"/>
  <c r="GI8" i="19" a="1"/>
  <c r="GI8" i="19" s="1"/>
  <c r="GH8" i="19" a="1"/>
  <c r="GH8" i="19" s="1"/>
  <c r="GG8" i="19" a="1"/>
  <c r="GG8" i="19" s="1"/>
  <c r="GF8" i="19" a="1"/>
  <c r="GF8" i="19" s="1"/>
  <c r="GE8" i="19" a="1"/>
  <c r="GE8" i="19" s="1"/>
  <c r="GD8" i="19" a="1"/>
  <c r="GD8" i="19" s="1"/>
  <c r="GC8" i="19" a="1"/>
  <c r="GC8" i="19" s="1"/>
  <c r="GB8" i="19" a="1"/>
  <c r="GB8" i="19" s="1"/>
  <c r="GA8" i="19" a="1"/>
  <c r="GA8" i="19" s="1"/>
  <c r="FZ8" i="19" a="1"/>
  <c r="FZ8" i="19" s="1"/>
  <c r="FY8" i="19" a="1"/>
  <c r="FY8" i="19" s="1"/>
  <c r="FX8" i="19" a="1"/>
  <c r="FX8" i="19" s="1"/>
  <c r="FW8" i="19" a="1"/>
  <c r="FW8" i="19" s="1"/>
  <c r="FV8" i="19" a="1"/>
  <c r="FV8" i="19" s="1"/>
  <c r="FU8" i="19" a="1"/>
  <c r="FU8" i="19" s="1"/>
  <c r="FT8" i="19" a="1"/>
  <c r="FT8" i="19" s="1"/>
  <c r="FS8" i="19" a="1"/>
  <c r="FS8" i="19" s="1"/>
  <c r="FR8" i="19" a="1"/>
  <c r="FR8" i="19" s="1"/>
  <c r="FQ8" i="19" a="1"/>
  <c r="FQ8" i="19" s="1"/>
  <c r="FP8" i="19" a="1"/>
  <c r="FP8" i="19" s="1"/>
  <c r="FO8" i="19" a="1"/>
  <c r="FO8" i="19" s="1"/>
  <c r="FN8" i="19" a="1"/>
  <c r="FN8" i="19" s="1"/>
  <c r="FM8" i="19" a="1"/>
  <c r="FM8" i="19" s="1"/>
  <c r="ES8" i="19" a="1"/>
  <c r="ES8" i="19" s="1"/>
  <c r="DP8" i="19" a="1"/>
  <c r="DP8" i="19" s="1"/>
  <c r="DH8" i="19" a="1"/>
  <c r="DH8" i="19" s="1"/>
  <c r="DB8" i="19" a="1"/>
  <c r="DB8" i="19" s="1"/>
  <c r="DA8" i="19" a="1"/>
  <c r="DA8" i="19" s="1"/>
  <c r="CZ8" i="19" a="1"/>
  <c r="CZ8" i="19" s="1"/>
  <c r="CY8" i="19" a="1"/>
  <c r="CY8" i="19" s="1"/>
  <c r="CX8" i="19" a="1"/>
  <c r="CX8" i="19" s="1"/>
  <c r="CW8" i="19" a="1"/>
  <c r="CW8" i="19" s="1"/>
  <c r="CV8" i="19" a="1"/>
  <c r="CV8" i="19" s="1"/>
  <c r="CU8" i="19" a="1"/>
  <c r="CU8" i="19" s="1"/>
  <c r="CT8" i="19" a="1"/>
  <c r="CT8" i="19" s="1"/>
  <c r="CS8" i="19" a="1"/>
  <c r="CS8" i="19" s="1"/>
  <c r="CR8" i="19" a="1"/>
  <c r="CR8" i="19" s="1"/>
  <c r="CQ8" i="19" a="1"/>
  <c r="CQ8" i="19" s="1"/>
  <c r="CP8" i="19" a="1"/>
  <c r="CP8" i="19" s="1"/>
  <c r="CO8" i="19" a="1"/>
  <c r="CO8" i="19" s="1"/>
  <c r="CN8" i="19" a="1"/>
  <c r="CN8" i="19" s="1"/>
  <c r="CM8" i="19" a="1"/>
  <c r="CM8" i="19" s="1"/>
  <c r="CL8" i="19" a="1"/>
  <c r="CL8" i="19" s="1"/>
  <c r="CK8" i="19" a="1"/>
  <c r="CK8" i="19" s="1"/>
  <c r="CJ8" i="19" a="1"/>
  <c r="CJ8" i="19" s="1"/>
  <c r="CI8" i="19" a="1"/>
  <c r="CI8" i="19" s="1"/>
  <c r="CE8" i="19" l="1" a="1"/>
  <c r="CE8" i="19" s="1"/>
  <c r="CD8" i="19" a="1"/>
  <c r="CD8" i="19" s="1"/>
  <c r="F8" i="19" l="1" a="1"/>
  <c r="F8" i="19" s="1"/>
  <c r="C8" i="19" a="1"/>
  <c r="C8" i="19" s="1"/>
  <c r="B8" i="19" a="1"/>
  <c r="B8" i="19" l="1"/>
  <c r="HK7" i="19" a="1"/>
  <c r="HK7" i="19" s="1"/>
  <c r="HH7" i="19" a="1"/>
  <c r="HH7" i="19" s="1"/>
  <c r="HG7" i="19" a="1"/>
  <c r="HG7" i="19" s="1"/>
  <c r="HF7" i="19" a="1"/>
  <c r="HF7" i="19" s="1"/>
  <c r="HE7" i="19" a="1"/>
  <c r="HE7" i="19" s="1"/>
  <c r="HD7" i="19" a="1"/>
  <c r="HD7" i="19" s="1"/>
  <c r="HC7" i="19" a="1"/>
  <c r="HC7" i="19" s="1"/>
  <c r="HB7" i="19" a="1"/>
  <c r="HB7" i="19" s="1"/>
  <c r="HA7" i="19" a="1"/>
  <c r="HA7" i="19" s="1"/>
  <c r="GZ7" i="19" a="1"/>
  <c r="GZ7" i="19" s="1"/>
  <c r="GY7" i="19" a="1"/>
  <c r="GY7" i="19" s="1"/>
  <c r="GX7" i="19" a="1"/>
  <c r="GX7" i="19" s="1"/>
  <c r="GW7" i="19" a="1"/>
  <c r="GW7" i="19" s="1"/>
  <c r="GV7" i="19" a="1"/>
  <c r="GV7" i="19" s="1"/>
  <c r="GU7" i="19" a="1"/>
  <c r="GU7" i="19" s="1"/>
  <c r="GT7" i="19" a="1"/>
  <c r="GT7" i="19" s="1"/>
  <c r="GS7" i="19" a="1"/>
  <c r="GS7" i="19" s="1"/>
  <c r="GR7" i="19" a="1"/>
  <c r="GR7" i="19" s="1"/>
  <c r="GQ7" i="19" a="1"/>
  <c r="GQ7" i="19" s="1"/>
  <c r="GP7" i="19" a="1"/>
  <c r="GP7" i="19" s="1"/>
  <c r="GO7" i="19" a="1"/>
  <c r="GO7" i="19" s="1"/>
  <c r="GN7" i="19" a="1"/>
  <c r="GN7" i="19" s="1"/>
  <c r="GM7" i="19" a="1"/>
  <c r="GM7" i="19" s="1"/>
  <c r="GL7" i="19" a="1"/>
  <c r="GL7" i="19" s="1"/>
  <c r="GK7" i="19" a="1"/>
  <c r="GK7" i="19" s="1"/>
  <c r="GJ7" i="19" a="1"/>
  <c r="GJ7" i="19" s="1"/>
  <c r="GI7" i="19" a="1"/>
  <c r="GI7" i="19" s="1"/>
  <c r="GH7" i="19" a="1"/>
  <c r="GH7" i="19" s="1"/>
  <c r="GG7" i="19" a="1"/>
  <c r="GG7" i="19" s="1"/>
  <c r="GF7" i="19" a="1"/>
  <c r="GF7" i="19" s="1"/>
  <c r="GE7" i="19" a="1"/>
  <c r="GE7" i="19" s="1"/>
  <c r="GD7" i="19" a="1"/>
  <c r="GD7" i="19" s="1"/>
  <c r="GC7" i="19" a="1"/>
  <c r="GC7" i="19" s="1"/>
  <c r="GB7" i="19" a="1"/>
  <c r="GB7" i="19" s="1"/>
  <c r="GA7" i="19" a="1"/>
  <c r="GA7" i="19" s="1"/>
  <c r="FZ7" i="19" a="1"/>
  <c r="FZ7" i="19" s="1"/>
  <c r="FY7" i="19" a="1"/>
  <c r="FY7" i="19" s="1"/>
  <c r="FX7" i="19" a="1"/>
  <c r="FX7" i="19" s="1"/>
  <c r="FW7" i="19" a="1"/>
  <c r="FW7" i="19" s="1"/>
  <c r="FV7" i="19" a="1"/>
  <c r="FV7" i="19" s="1"/>
  <c r="FU7" i="19" a="1"/>
  <c r="FU7" i="19" s="1"/>
  <c r="FT7" i="19" a="1"/>
  <c r="FT7" i="19" s="1"/>
  <c r="FS7" i="19" a="1"/>
  <c r="FS7" i="19" s="1"/>
  <c r="FR7" i="19" a="1"/>
  <c r="FR7" i="19" s="1"/>
  <c r="FQ7" i="19" a="1"/>
  <c r="FQ7" i="19" s="1"/>
  <c r="FP7" i="19" a="1"/>
  <c r="FP7" i="19" s="1"/>
  <c r="FO7" i="19" a="1"/>
  <c r="FO7" i="19" s="1"/>
  <c r="FN7" i="19" a="1"/>
  <c r="FN7" i="19" s="1"/>
  <c r="FM7" i="19" a="1"/>
  <c r="FM7" i="19" s="1"/>
  <c r="ES7" i="19" a="1"/>
  <c r="ES7" i="19" s="1"/>
  <c r="DP7" i="19" a="1"/>
  <c r="DP7" i="19" s="1"/>
  <c r="DH7" i="19" a="1"/>
  <c r="DH7" i="19" s="1"/>
  <c r="DB7" i="19" a="1"/>
  <c r="DB7" i="19" s="1"/>
  <c r="DA7" i="19" a="1"/>
  <c r="DA7" i="19" s="1"/>
  <c r="CZ7" i="19" a="1"/>
  <c r="CZ7" i="19" s="1"/>
  <c r="CY7" i="19" a="1"/>
  <c r="CY7" i="19" s="1"/>
  <c r="CX7" i="19" a="1"/>
  <c r="CX7" i="19" s="1"/>
  <c r="CW7" i="19" a="1"/>
  <c r="CW7" i="19" s="1"/>
  <c r="CV7" i="19" a="1"/>
  <c r="CV7" i="19" s="1"/>
  <c r="CU7" i="19" a="1"/>
  <c r="CU7" i="19" s="1"/>
  <c r="CT7" i="19" a="1"/>
  <c r="CT7" i="19" s="1"/>
  <c r="CS7" i="19" a="1"/>
  <c r="CS7" i="19" s="1"/>
  <c r="CR7" i="19" a="1"/>
  <c r="CR7" i="19" s="1"/>
  <c r="CQ7" i="19" a="1"/>
  <c r="CQ7" i="19" s="1"/>
  <c r="CP7" i="19" a="1"/>
  <c r="CP7" i="19" s="1"/>
  <c r="CO7" i="19" a="1"/>
  <c r="CO7" i="19" s="1"/>
  <c r="CN7" i="19" a="1"/>
  <c r="CN7" i="19" s="1"/>
  <c r="CM7" i="19" a="1"/>
  <c r="CM7" i="19" s="1"/>
  <c r="CL7" i="19" a="1"/>
  <c r="CL7" i="19" s="1"/>
  <c r="CK7" i="19" a="1"/>
  <c r="CK7" i="19" s="1"/>
  <c r="CJ7" i="19" a="1"/>
  <c r="CJ7" i="19" s="1"/>
  <c r="CI7" i="19" a="1"/>
  <c r="CI7" i="19" s="1"/>
  <c r="CE7" i="19" l="1" a="1"/>
  <c r="CE7" i="19" s="1"/>
  <c r="CD7" i="19" a="1"/>
  <c r="CD7" i="19" s="1"/>
  <c r="F7" i="19" l="1" a="1"/>
  <c r="F7" i="19" s="1"/>
  <c r="C7" i="19" a="1"/>
  <c r="C7" i="19" s="1"/>
  <c r="B7" i="19" a="1"/>
  <c r="B7" i="19" l="1"/>
  <c r="HK6" i="19" a="1"/>
  <c r="HK6" i="19" s="1"/>
  <c r="HH6" i="19" a="1"/>
  <c r="HH6" i="19" s="1"/>
  <c r="HG6" i="19" a="1"/>
  <c r="HG6" i="19" s="1"/>
  <c r="HF6" i="19" a="1"/>
  <c r="HF6" i="19" s="1"/>
  <c r="HE6" i="19" a="1"/>
  <c r="HE6" i="19" s="1"/>
  <c r="HD6" i="19" a="1"/>
  <c r="HD6" i="19" s="1"/>
  <c r="HC6" i="19" a="1"/>
  <c r="HC6" i="19" s="1"/>
  <c r="HB6" i="19" a="1"/>
  <c r="HB6" i="19" s="1"/>
  <c r="HA6" i="19" a="1"/>
  <c r="HA6" i="19" s="1"/>
  <c r="GZ6" i="19" a="1"/>
  <c r="GZ6" i="19" s="1"/>
  <c r="GY6" i="19" a="1"/>
  <c r="GY6" i="19" s="1"/>
  <c r="GX6" i="19" a="1"/>
  <c r="GX6" i="19" s="1"/>
  <c r="GW6" i="19" a="1"/>
  <c r="GW6" i="19" s="1"/>
  <c r="GV6" i="19" a="1"/>
  <c r="GV6" i="19" s="1"/>
  <c r="GU6" i="19" a="1"/>
  <c r="GU6" i="19" s="1"/>
  <c r="GT6" i="19" a="1"/>
  <c r="GT6" i="19" s="1"/>
  <c r="GS6" i="19" a="1"/>
  <c r="GS6" i="19" s="1"/>
  <c r="GR6" i="19" a="1"/>
  <c r="GR6" i="19" s="1"/>
  <c r="GQ6" i="19" a="1"/>
  <c r="GQ6" i="19" s="1"/>
  <c r="GP6" i="19" a="1"/>
  <c r="GP6" i="19" s="1"/>
  <c r="GO6" i="19" a="1"/>
  <c r="GO6" i="19" s="1"/>
  <c r="GN6" i="19" a="1"/>
  <c r="GN6" i="19" s="1"/>
  <c r="GM6" i="19" a="1"/>
  <c r="GM6" i="19" s="1"/>
  <c r="GL6" i="19" a="1"/>
  <c r="GL6" i="19" s="1"/>
  <c r="GK6" i="19" a="1"/>
  <c r="GK6" i="19" s="1"/>
  <c r="GJ6" i="19" a="1"/>
  <c r="GJ6" i="19" s="1"/>
  <c r="GI6" i="19" a="1"/>
  <c r="GI6" i="19" s="1"/>
  <c r="GH6" i="19" a="1"/>
  <c r="GH6" i="19" s="1"/>
  <c r="GG6" i="19" a="1"/>
  <c r="GG6" i="19" s="1"/>
  <c r="GF6" i="19" a="1"/>
  <c r="GF6" i="19" s="1"/>
  <c r="GE6" i="19" a="1"/>
  <c r="GE6" i="19" s="1"/>
  <c r="GD6" i="19" a="1"/>
  <c r="GD6" i="19" s="1"/>
  <c r="GC6" i="19" a="1"/>
  <c r="GC6" i="19" s="1"/>
  <c r="GB6" i="19" a="1"/>
  <c r="GB6" i="19" s="1"/>
  <c r="GA6" i="19" a="1"/>
  <c r="GA6" i="19" s="1"/>
  <c r="FZ6" i="19" a="1"/>
  <c r="FZ6" i="19" s="1"/>
  <c r="FY6" i="19" a="1"/>
  <c r="FY6" i="19" s="1"/>
  <c r="FX6" i="19" a="1"/>
  <c r="FX6" i="19" s="1"/>
  <c r="FW6" i="19" a="1"/>
  <c r="FW6" i="19" s="1"/>
  <c r="FV6" i="19" a="1"/>
  <c r="FV6" i="19" s="1"/>
  <c r="FU6" i="19" a="1"/>
  <c r="FU6" i="19" s="1"/>
  <c r="FT6" i="19" a="1"/>
  <c r="FT6" i="19" s="1"/>
  <c r="FS6" i="19" a="1"/>
  <c r="FS6" i="19" s="1"/>
  <c r="FR6" i="19" a="1"/>
  <c r="FR6" i="19" s="1"/>
  <c r="FQ6" i="19" a="1"/>
  <c r="FQ6" i="19" s="1"/>
  <c r="FP6" i="19" a="1"/>
  <c r="FP6" i="19" s="1"/>
  <c r="FO6" i="19" a="1"/>
  <c r="FO6" i="19" s="1"/>
  <c r="FN6" i="19" a="1"/>
  <c r="FN6" i="19" s="1"/>
  <c r="FM6" i="19" a="1"/>
  <c r="FM6" i="19" s="1"/>
  <c r="ES6" i="19" a="1"/>
  <c r="ES6" i="19" s="1"/>
  <c r="DP6" i="19" a="1"/>
  <c r="DP6" i="19" s="1"/>
  <c r="DH6" i="19" a="1"/>
  <c r="DH6" i="19" s="1"/>
  <c r="DB6" i="19" a="1"/>
  <c r="DB6" i="19" s="1"/>
  <c r="DA6" i="19" a="1"/>
  <c r="DA6" i="19" s="1"/>
  <c r="CZ6" i="19" a="1"/>
  <c r="CZ6" i="19" s="1"/>
  <c r="CY6" i="19" a="1"/>
  <c r="CY6" i="19" s="1"/>
  <c r="CX6" i="19" a="1"/>
  <c r="CX6" i="19" s="1"/>
  <c r="CW6" i="19" a="1"/>
  <c r="CW6" i="19" s="1"/>
  <c r="CV6" i="19" a="1"/>
  <c r="CV6" i="19" s="1"/>
  <c r="CU6" i="19" a="1"/>
  <c r="CU6" i="19" s="1"/>
  <c r="CT6" i="19" a="1"/>
  <c r="CT6" i="19" s="1"/>
  <c r="CS6" i="19" a="1"/>
  <c r="CS6" i="19" s="1"/>
  <c r="CR6" i="19" a="1"/>
  <c r="CR6" i="19" s="1"/>
  <c r="CQ6" i="19" a="1"/>
  <c r="CQ6" i="19" s="1"/>
  <c r="CP6" i="19" a="1"/>
  <c r="CP6" i="19" s="1"/>
  <c r="CO6" i="19" a="1"/>
  <c r="CO6" i="19" s="1"/>
  <c r="CN6" i="19" a="1"/>
  <c r="CN6" i="19" s="1"/>
  <c r="CM6" i="19" a="1"/>
  <c r="CM6" i="19" s="1"/>
  <c r="CL6" i="19" a="1"/>
  <c r="CL6" i="19" s="1"/>
  <c r="CK6" i="19" a="1"/>
  <c r="CK6" i="19" s="1"/>
  <c r="CJ6" i="19" a="1"/>
  <c r="CJ6" i="19" s="1"/>
  <c r="CI6" i="19" a="1"/>
  <c r="CI6" i="19" s="1"/>
  <c r="CE6" i="19" l="1" a="1"/>
  <c r="CE6" i="19" s="1"/>
  <c r="CD6" i="19" a="1"/>
  <c r="CD6" i="19" s="1"/>
  <c r="F6" i="19" l="1" a="1"/>
  <c r="F6" i="19" s="1"/>
  <c r="C6" i="19" a="1"/>
  <c r="C6" i="19" s="1"/>
  <c r="B6" i="19" a="1"/>
  <c r="B6" i="19" l="1"/>
  <c r="HK5" i="19" a="1"/>
  <c r="HK5" i="19" s="1"/>
  <c r="HH5" i="19" a="1"/>
  <c r="HH5" i="19" s="1"/>
  <c r="HG5" i="19" a="1"/>
  <c r="HG5" i="19" s="1"/>
  <c r="HF5" i="19" a="1"/>
  <c r="HF5" i="19" s="1"/>
  <c r="HE5" i="19" a="1"/>
  <c r="HE5" i="19" s="1"/>
  <c r="HD5" i="19" a="1"/>
  <c r="HD5" i="19" s="1"/>
  <c r="HC5" i="19" a="1"/>
  <c r="HC5" i="19" s="1"/>
  <c r="HB5" i="19" a="1"/>
  <c r="HB5" i="19" s="1"/>
  <c r="HA5" i="19" a="1"/>
  <c r="HA5" i="19" s="1"/>
  <c r="GZ5" i="19" a="1"/>
  <c r="GZ5" i="19" s="1"/>
  <c r="GY5" i="19" a="1"/>
  <c r="GY5" i="19" s="1"/>
  <c r="GX5" i="19" a="1"/>
  <c r="GX5" i="19" s="1"/>
  <c r="GW5" i="19" a="1"/>
  <c r="GW5" i="19" s="1"/>
  <c r="GV5" i="19" a="1"/>
  <c r="GV5" i="19" s="1"/>
  <c r="GU5" i="19" a="1"/>
  <c r="GU5" i="19" s="1"/>
  <c r="GT5" i="19" a="1"/>
  <c r="GT5" i="19" s="1"/>
  <c r="GS5" i="19" a="1"/>
  <c r="GS5" i="19" s="1"/>
  <c r="GR5" i="19" a="1"/>
  <c r="GR5" i="19" s="1"/>
  <c r="GQ5" i="19" a="1"/>
  <c r="GQ5" i="19" s="1"/>
  <c r="GP5" i="19" a="1"/>
  <c r="GP5" i="19" s="1"/>
  <c r="GO5" i="19" a="1"/>
  <c r="GO5" i="19" s="1"/>
  <c r="GN5" i="19" a="1"/>
  <c r="GN5" i="19" s="1"/>
  <c r="GM5" i="19" a="1"/>
  <c r="GM5" i="19" s="1"/>
  <c r="GL5" i="19" a="1"/>
  <c r="GL5" i="19" s="1"/>
  <c r="GK5" i="19" a="1"/>
  <c r="GK5" i="19" s="1"/>
  <c r="GJ5" i="19" a="1"/>
  <c r="GJ5" i="19" s="1"/>
  <c r="GI5" i="19" a="1"/>
  <c r="GI5" i="19" s="1"/>
  <c r="GH5" i="19" a="1"/>
  <c r="GH5" i="19" s="1"/>
  <c r="GG5" i="19" a="1"/>
  <c r="GG5" i="19" s="1"/>
  <c r="GF5" i="19" a="1"/>
  <c r="GF5" i="19" s="1"/>
  <c r="GE5" i="19" a="1"/>
  <c r="GE5" i="19" s="1"/>
  <c r="GD5" i="19" a="1"/>
  <c r="GD5" i="19" s="1"/>
  <c r="GC5" i="19" a="1"/>
  <c r="GC5" i="19" s="1"/>
  <c r="GB5" i="19" a="1"/>
  <c r="GB5" i="19" s="1"/>
  <c r="GA5" i="19" a="1"/>
  <c r="GA5" i="19" s="1"/>
  <c r="FZ5" i="19" a="1"/>
  <c r="FZ5" i="19" s="1"/>
  <c r="FY5" i="19" a="1"/>
  <c r="FY5" i="19" s="1"/>
  <c r="FX5" i="19" a="1"/>
  <c r="FX5" i="19" s="1"/>
  <c r="FW5" i="19" a="1"/>
  <c r="FW5" i="19" s="1"/>
  <c r="FV5" i="19" a="1"/>
  <c r="FV5" i="19" s="1"/>
  <c r="FU5" i="19" a="1"/>
  <c r="FU5" i="19" s="1"/>
  <c r="FT5" i="19" a="1"/>
  <c r="FT5" i="19" s="1"/>
  <c r="FS5" i="19" a="1"/>
  <c r="FS5" i="19" s="1"/>
  <c r="FR5" i="19" a="1"/>
  <c r="FR5" i="19" s="1"/>
  <c r="FQ5" i="19" a="1"/>
  <c r="FQ5" i="19" s="1"/>
  <c r="FP5" i="19" a="1"/>
  <c r="FP5" i="19" s="1"/>
  <c r="FO5" i="19" a="1"/>
  <c r="FO5" i="19" s="1"/>
  <c r="FN5" i="19" a="1"/>
  <c r="FN5" i="19" s="1"/>
  <c r="FM5" i="19" a="1"/>
  <c r="FM5" i="19" s="1"/>
  <c r="ES5" i="19" a="1"/>
  <c r="ES5" i="19" s="1"/>
  <c r="DP5" i="19" a="1"/>
  <c r="DP5" i="19" s="1"/>
  <c r="DH5" i="19" a="1"/>
  <c r="DH5" i="19" s="1"/>
  <c r="DB5" i="19" a="1"/>
  <c r="DB5" i="19" s="1"/>
  <c r="DA5" i="19" a="1"/>
  <c r="DA5" i="19" s="1"/>
  <c r="CZ5" i="19" a="1"/>
  <c r="CZ5" i="19" s="1"/>
  <c r="CY5" i="19" a="1"/>
  <c r="CY5" i="19" s="1"/>
  <c r="CX5" i="19" a="1"/>
  <c r="CX5" i="19" s="1"/>
  <c r="CW5" i="19" a="1"/>
  <c r="CW5" i="19" s="1"/>
  <c r="CV5" i="19" a="1"/>
  <c r="CV5" i="19" s="1"/>
  <c r="CU5" i="19" a="1"/>
  <c r="CU5" i="19" s="1"/>
  <c r="CT5" i="19" a="1"/>
  <c r="CT5" i="19" s="1"/>
  <c r="CS5" i="19" a="1"/>
  <c r="CS5" i="19" s="1"/>
  <c r="CR5" i="19" a="1"/>
  <c r="CR5" i="19" s="1"/>
  <c r="CQ5" i="19" a="1"/>
  <c r="CQ5" i="19" s="1"/>
  <c r="CP5" i="19" a="1"/>
  <c r="CP5" i="19" s="1"/>
  <c r="CO5" i="19" a="1"/>
  <c r="CO5" i="19" s="1"/>
  <c r="CN5" i="19" a="1"/>
  <c r="CN5" i="19" s="1"/>
  <c r="CM5" i="19" a="1"/>
  <c r="CM5" i="19" s="1"/>
  <c r="CL5" i="19" a="1"/>
  <c r="CL5" i="19" s="1"/>
  <c r="CK5" i="19" a="1"/>
  <c r="CK5" i="19" s="1"/>
  <c r="CJ5" i="19" a="1"/>
  <c r="CJ5" i="19" s="1"/>
  <c r="CI5" i="19" a="1"/>
  <c r="CI5" i="19" s="1"/>
  <c r="CE5" i="19" l="1" a="1"/>
  <c r="CE5" i="19" s="1"/>
  <c r="CD5" i="19" a="1"/>
  <c r="CD5" i="19" s="1"/>
  <c r="F5" i="19" l="1" a="1"/>
  <c r="F5" i="19" s="1"/>
  <c r="C5" i="19" a="1"/>
  <c r="C5" i="19" s="1"/>
  <c r="B5" i="19" a="1"/>
  <c r="B5" i="19" l="1"/>
  <c r="HK4" i="19" a="1"/>
  <c r="HK4" i="19" s="1"/>
  <c r="HH4" i="19" a="1"/>
  <c r="HH4" i="19" s="1"/>
  <c r="HG4" i="19" a="1"/>
  <c r="HG4" i="19" s="1"/>
  <c r="HF4" i="19" a="1"/>
  <c r="HF4" i="19" s="1"/>
  <c r="HE4" i="19" a="1"/>
  <c r="HE4" i="19" s="1"/>
  <c r="HD4" i="19" a="1"/>
  <c r="HD4" i="19" s="1"/>
  <c r="HC4" i="19" a="1"/>
  <c r="HC4" i="19" s="1"/>
  <c r="HB4" i="19" a="1"/>
  <c r="HB4" i="19" s="1"/>
  <c r="HA4" i="19" a="1"/>
  <c r="HA4" i="19" s="1"/>
  <c r="GZ4" i="19" a="1"/>
  <c r="GZ4" i="19" s="1"/>
  <c r="GY4" i="19" a="1"/>
  <c r="GY4" i="19" s="1"/>
  <c r="GX4" i="19" a="1"/>
  <c r="GX4" i="19" s="1"/>
  <c r="GW4" i="19" a="1"/>
  <c r="GW4" i="19" s="1"/>
  <c r="GV4" i="19" a="1"/>
  <c r="GV4" i="19" s="1"/>
  <c r="GU4" i="19" a="1"/>
  <c r="GU4" i="19" s="1"/>
  <c r="GT4" i="19" a="1"/>
  <c r="GT4" i="19" s="1"/>
  <c r="GS4" i="19" a="1"/>
  <c r="GS4" i="19" s="1"/>
  <c r="GR4" i="19" a="1"/>
  <c r="GR4" i="19" s="1"/>
  <c r="GQ4" i="19" a="1"/>
  <c r="GQ4" i="19" s="1"/>
  <c r="GP4" i="19" a="1"/>
  <c r="GP4" i="19" s="1"/>
  <c r="GO4" i="19" a="1"/>
  <c r="GO4" i="19" s="1"/>
  <c r="GN4" i="19" a="1"/>
  <c r="GN4" i="19" s="1"/>
  <c r="GM4" i="19" a="1"/>
  <c r="GM4" i="19" s="1"/>
  <c r="GL4" i="19" a="1"/>
  <c r="GL4" i="19" s="1"/>
  <c r="GK4" i="19" a="1"/>
  <c r="GK4" i="19" s="1"/>
  <c r="GJ4" i="19" a="1"/>
  <c r="GJ4" i="19" s="1"/>
  <c r="GI4" i="19" a="1"/>
  <c r="GI4" i="19" s="1"/>
  <c r="GH4" i="19" a="1"/>
  <c r="GH4" i="19" s="1"/>
  <c r="GG4" i="19" a="1"/>
  <c r="GG4" i="19" s="1"/>
  <c r="GF4" i="19" a="1"/>
  <c r="GF4" i="19" s="1"/>
  <c r="GE4" i="19" a="1"/>
  <c r="GE4" i="19" s="1"/>
  <c r="GD4" i="19" a="1"/>
  <c r="GD4" i="19" s="1"/>
  <c r="GC4" i="19" a="1"/>
  <c r="GC4" i="19" s="1"/>
  <c r="GB4" i="19" a="1"/>
  <c r="GB4" i="19" s="1"/>
  <c r="GA4" i="19" a="1"/>
  <c r="GA4" i="19" s="1"/>
  <c r="FZ4" i="19" a="1"/>
  <c r="FZ4" i="19" s="1"/>
  <c r="FY4" i="19" a="1"/>
  <c r="FY4" i="19" s="1"/>
  <c r="FX4" i="19" a="1"/>
  <c r="FX4" i="19" s="1"/>
  <c r="FW4" i="19" a="1"/>
  <c r="FW4" i="19" s="1"/>
  <c r="FV4" i="19" a="1"/>
  <c r="FV4" i="19" s="1"/>
  <c r="FU4" i="19" a="1"/>
  <c r="FU4" i="19" s="1"/>
  <c r="FT4" i="19" a="1"/>
  <c r="FT4" i="19" s="1"/>
  <c r="FS4" i="19" a="1"/>
  <c r="FS4" i="19" s="1"/>
  <c r="FR4" i="19" a="1"/>
  <c r="FR4" i="19" s="1"/>
  <c r="FQ4" i="19" a="1"/>
  <c r="FQ4" i="19" s="1"/>
  <c r="FP4" i="19" a="1"/>
  <c r="FP4" i="19" s="1"/>
  <c r="FO4" i="19" a="1"/>
  <c r="FO4" i="19" s="1"/>
  <c r="FN4" i="19" a="1"/>
  <c r="FN4" i="19" s="1"/>
  <c r="FM4" i="19" a="1"/>
  <c r="FM4" i="19" s="1"/>
  <c r="ES4" i="19" a="1"/>
  <c r="ES4" i="19" s="1"/>
  <c r="DP4" i="19" a="1"/>
  <c r="DP4" i="19" s="1"/>
  <c r="DH4" i="19" a="1"/>
  <c r="DH4" i="19" s="1"/>
  <c r="DB4" i="19" a="1"/>
  <c r="DB4" i="19" s="1"/>
  <c r="DA4" i="19" a="1"/>
  <c r="DA4" i="19" s="1"/>
  <c r="CZ4" i="19" a="1"/>
  <c r="CZ4" i="19" s="1"/>
  <c r="CY4" i="19" a="1"/>
  <c r="CY4" i="19" s="1"/>
  <c r="CX4" i="19" a="1"/>
  <c r="CX4" i="19" s="1"/>
  <c r="CW4" i="19" a="1"/>
  <c r="CW4" i="19" s="1"/>
  <c r="CV4" i="19" a="1"/>
  <c r="CV4" i="19" s="1"/>
  <c r="CU4" i="19" a="1"/>
  <c r="CU4" i="19" s="1"/>
  <c r="CT4" i="19" a="1"/>
  <c r="CT4" i="19" s="1"/>
  <c r="CS4" i="19" a="1"/>
  <c r="CS4" i="19" s="1"/>
  <c r="CR4" i="19" a="1"/>
  <c r="CR4" i="19" s="1"/>
  <c r="CQ4" i="19" a="1"/>
  <c r="CQ4" i="19" s="1"/>
  <c r="CP4" i="19" a="1"/>
  <c r="CP4" i="19" s="1"/>
  <c r="CO4" i="19" a="1"/>
  <c r="CO4" i="19" s="1"/>
  <c r="CN4" i="19" a="1"/>
  <c r="CN4" i="19" s="1"/>
  <c r="CM4" i="19" a="1"/>
  <c r="CM4" i="19" s="1"/>
  <c r="CL4" i="19" a="1"/>
  <c r="CL4" i="19" s="1"/>
  <c r="CK4" i="19" a="1"/>
  <c r="CK4" i="19" s="1"/>
  <c r="CJ4" i="19" a="1"/>
  <c r="CJ4" i="19" s="1"/>
  <c r="CI4" i="19" a="1"/>
  <c r="CI4" i="19" s="1"/>
  <c r="CE4" i="19" l="1" a="1"/>
  <c r="CE4" i="19" s="1"/>
  <c r="CD4" i="19" a="1"/>
  <c r="CD4" i="19" s="1"/>
  <c r="F4" i="19" l="1" a="1"/>
  <c r="F4" i="19" s="1"/>
  <c r="C4" i="19" a="1"/>
  <c r="C4" i="19" s="1"/>
  <c r="B4" i="19" a="1"/>
  <c r="B4" i="19" l="1"/>
  <c r="HK3" i="19" a="1"/>
  <c r="HK3" i="19" s="1"/>
  <c r="HH3" i="19" a="1"/>
  <c r="HH3" i="19" s="1"/>
  <c r="HG3" i="19" a="1"/>
  <c r="HG3" i="19" s="1"/>
  <c r="HF3" i="19" a="1"/>
  <c r="HF3" i="19" s="1"/>
  <c r="HE3" i="19" a="1"/>
  <c r="HE3" i="19" s="1"/>
  <c r="HD3" i="19" a="1"/>
  <c r="HD3" i="19" s="1"/>
  <c r="HC3" i="19" a="1"/>
  <c r="HC3" i="19" s="1"/>
  <c r="HB3" i="19" a="1"/>
  <c r="HB3" i="19" s="1"/>
  <c r="HA3" i="19" a="1"/>
  <c r="HA3" i="19" s="1"/>
  <c r="GZ3" i="19" a="1"/>
  <c r="GZ3" i="19" s="1"/>
  <c r="GY3" i="19" a="1"/>
  <c r="GY3" i="19" s="1"/>
  <c r="GX3" i="19" a="1"/>
  <c r="GX3" i="19" s="1"/>
  <c r="GW3" i="19" a="1"/>
  <c r="GW3" i="19" s="1"/>
  <c r="GV3" i="19" a="1"/>
  <c r="GV3" i="19" s="1"/>
  <c r="GU3" i="19" a="1"/>
  <c r="GU3" i="19" s="1"/>
  <c r="GT3" i="19" a="1"/>
  <c r="GT3" i="19" s="1"/>
  <c r="GS3" i="19" a="1"/>
  <c r="GS3" i="19" s="1"/>
  <c r="GR3" i="19" a="1"/>
  <c r="GR3" i="19" s="1"/>
  <c r="GQ3" i="19" a="1"/>
  <c r="GQ3" i="19" s="1"/>
  <c r="GP3" i="19" a="1"/>
  <c r="GP3" i="19" s="1"/>
  <c r="GO3" i="19" a="1"/>
  <c r="GO3" i="19" s="1"/>
  <c r="GN3" i="19" a="1"/>
  <c r="GN3" i="19" s="1"/>
  <c r="GM3" i="19" a="1"/>
  <c r="GM3" i="19" s="1"/>
  <c r="GL3" i="19" a="1"/>
  <c r="GL3" i="19" s="1"/>
  <c r="GK3" i="19" a="1"/>
  <c r="GK3" i="19" s="1"/>
  <c r="GJ3" i="19" a="1"/>
  <c r="GJ3" i="19" s="1"/>
  <c r="GI3" i="19" a="1"/>
  <c r="GI3" i="19" s="1"/>
  <c r="GH3" i="19" a="1"/>
  <c r="GH3" i="19" s="1"/>
  <c r="GG3" i="19" a="1"/>
  <c r="GG3" i="19" s="1"/>
  <c r="GF3" i="19" a="1"/>
  <c r="GF3" i="19" s="1"/>
  <c r="GE3" i="19" a="1"/>
  <c r="GE3" i="19" s="1"/>
  <c r="GD3" i="19" a="1"/>
  <c r="GD3" i="19" s="1"/>
  <c r="GC3" i="19" a="1"/>
  <c r="GC3" i="19" s="1"/>
  <c r="GB3" i="19" a="1"/>
  <c r="GB3" i="19" s="1"/>
  <c r="GA3" i="19" a="1"/>
  <c r="GA3" i="19" s="1"/>
  <c r="FZ3" i="19" a="1"/>
  <c r="FZ3" i="19" s="1"/>
  <c r="FY3" i="19" a="1"/>
  <c r="FY3" i="19" s="1"/>
  <c r="FX3" i="19" a="1"/>
  <c r="FX3" i="19" s="1"/>
  <c r="FW3" i="19" a="1"/>
  <c r="FW3" i="19" s="1"/>
  <c r="FV3" i="19" a="1"/>
  <c r="FV3" i="19" s="1"/>
  <c r="FU3" i="19" a="1"/>
  <c r="FU3" i="19" s="1"/>
  <c r="FT3" i="19" a="1"/>
  <c r="FT3" i="19" s="1"/>
  <c r="FS3" i="19" a="1"/>
  <c r="FS3" i="19" s="1"/>
  <c r="FR3" i="19" a="1"/>
  <c r="FR3" i="19" s="1"/>
  <c r="FQ3" i="19" a="1"/>
  <c r="FQ3" i="19" s="1"/>
  <c r="FP3" i="19" a="1"/>
  <c r="FP3" i="19" s="1"/>
  <c r="FO3" i="19" a="1"/>
  <c r="FO3" i="19" s="1"/>
  <c r="FN3" i="19" a="1"/>
  <c r="FN3" i="19" s="1"/>
  <c r="FM3" i="19" a="1"/>
  <c r="FM3" i="19" s="1"/>
  <c r="ES3" i="19" a="1"/>
  <c r="ES3" i="19" s="1"/>
  <c r="DP3" i="19" a="1"/>
  <c r="DP3" i="19" s="1"/>
  <c r="DH3" i="19" a="1"/>
  <c r="DH3" i="19" s="1"/>
  <c r="DB3" i="19" a="1"/>
  <c r="DB3" i="19" s="1"/>
  <c r="DA3" i="19" a="1"/>
  <c r="DA3" i="19" s="1"/>
  <c r="CZ3" i="19" a="1"/>
  <c r="CZ3" i="19" s="1"/>
  <c r="CY3" i="19" a="1"/>
  <c r="CY3" i="19" s="1"/>
  <c r="CX3" i="19" a="1"/>
  <c r="CX3" i="19" s="1"/>
  <c r="CW3" i="19" a="1"/>
  <c r="CW3" i="19" s="1"/>
  <c r="CV3" i="19" a="1"/>
  <c r="CV3" i="19" s="1"/>
  <c r="CU3" i="19" a="1"/>
  <c r="CU3" i="19" s="1"/>
  <c r="CT3" i="19" a="1"/>
  <c r="CT3" i="19" s="1"/>
  <c r="CS3" i="19" a="1"/>
  <c r="CS3" i="19" s="1"/>
  <c r="CR3" i="19" a="1"/>
  <c r="CR3" i="19" s="1"/>
  <c r="CQ3" i="19" a="1"/>
  <c r="CQ3" i="19" s="1"/>
  <c r="CP3" i="19" a="1"/>
  <c r="CP3" i="19" s="1"/>
  <c r="CO3" i="19" a="1"/>
  <c r="CO3" i="19" s="1"/>
  <c r="CN3" i="19" a="1"/>
  <c r="CN3" i="19" s="1"/>
  <c r="CM3" i="19" a="1"/>
  <c r="CM3" i="19" s="1"/>
  <c r="CL3" i="19" a="1"/>
  <c r="CL3" i="19" s="1"/>
  <c r="CK3" i="19" a="1"/>
  <c r="CK3" i="19" s="1"/>
  <c r="CJ3" i="19" a="1"/>
  <c r="CJ3" i="19" s="1"/>
  <c r="CI3" i="19" a="1"/>
  <c r="CI3" i="19" s="1"/>
  <c r="CE3" i="19" l="1" a="1"/>
  <c r="CE3" i="19" s="1"/>
  <c r="CD3" i="19" a="1"/>
  <c r="CD3" i="19" s="1"/>
  <c r="F3" i="19" l="1" a="1"/>
  <c r="F3" i="19" s="1"/>
  <c r="C3" i="19" a="1"/>
  <c r="C3" i="19" s="1"/>
  <c r="B3" i="19" a="1"/>
  <c r="B3" i="19" l="1"/>
  <c r="A2" i="19" a="1"/>
  <c r="A2" i="19" l="1"/>
  <c r="A2" i="5"/>
  <c r="B2" i="19" a="1"/>
  <c r="B2" i="19" l="1"/>
  <c r="HW2" i="19" a="1"/>
  <c r="HW2" i="19" s="1"/>
  <c r="HV2" i="19" a="1"/>
  <c r="HV2" i="19" s="1"/>
  <c r="HU2" i="19" a="1"/>
  <c r="HU2" i="19" s="1"/>
  <c r="HT2" i="19" a="1"/>
  <c r="HT2" i="19" s="1"/>
  <c r="HS2" i="19" a="1"/>
  <c r="HS2" i="19" s="1"/>
  <c r="HR2" i="19" a="1"/>
  <c r="HR2" i="19" s="1"/>
  <c r="HQ2" i="19" a="1"/>
  <c r="HQ2" i="19" s="1"/>
  <c r="HO2" i="19" a="1"/>
  <c r="HO2" i="19" s="1"/>
  <c r="HN2" i="19" a="1"/>
  <c r="HN2" i="19" s="1"/>
  <c r="HM2" i="19" a="1"/>
  <c r="HM2" i="19" s="1"/>
  <c r="HL2" i="19" a="1"/>
  <c r="HL2" i="19" s="1"/>
  <c r="HK2" i="19" a="1"/>
  <c r="HK2" i="19" s="1"/>
  <c r="HH2" i="19" a="1"/>
  <c r="HH2" i="19" s="1"/>
  <c r="HG2" i="19" a="1"/>
  <c r="HG2" i="19" s="1"/>
  <c r="HF2" i="19" a="1"/>
  <c r="HF2" i="19" s="1"/>
  <c r="HE2" i="19" a="1"/>
  <c r="HE2" i="19" s="1"/>
  <c r="HD2" i="19" a="1"/>
  <c r="HD2" i="19" s="1"/>
  <c r="HC2" i="19" a="1"/>
  <c r="HC2" i="19" s="1"/>
  <c r="HB2" i="19" a="1"/>
  <c r="HB2" i="19" s="1"/>
  <c r="HA2" i="19" a="1"/>
  <c r="HA2" i="19" s="1"/>
  <c r="GZ2" i="19" a="1"/>
  <c r="GZ2" i="19" s="1"/>
  <c r="GY2" i="19" a="1"/>
  <c r="GY2" i="19" s="1"/>
  <c r="GX2" i="19" a="1"/>
  <c r="GX2" i="19" s="1"/>
  <c r="GW2" i="19" a="1"/>
  <c r="GW2" i="19" s="1"/>
  <c r="GV2" i="19" a="1"/>
  <c r="GV2" i="19" s="1"/>
  <c r="GU2" i="19" a="1"/>
  <c r="GU2" i="19" s="1"/>
  <c r="GS2" i="19" a="1"/>
  <c r="GS2" i="19" s="1"/>
  <c r="GR2" i="19" a="1"/>
  <c r="GR2" i="19" s="1"/>
  <c r="GQ2" i="19" a="1"/>
  <c r="GQ2" i="19" s="1"/>
  <c r="GO2" i="19" a="1"/>
  <c r="GO2" i="19" s="1"/>
  <c r="GM2" i="19" a="1"/>
  <c r="GM2" i="19" s="1"/>
  <c r="GL2" i="19" a="1"/>
  <c r="GL2" i="19" s="1"/>
  <c r="GJ2" i="19" a="1"/>
  <c r="GJ2" i="19" s="1"/>
  <c r="GH2" i="19" a="1"/>
  <c r="GH2" i="19" s="1"/>
  <c r="GF2" i="19" a="1"/>
  <c r="GF2" i="19" s="1"/>
  <c r="GD2" i="19" a="1"/>
  <c r="GD2" i="19" s="1"/>
  <c r="GB2" i="19" a="1"/>
  <c r="GB2" i="19" s="1"/>
  <c r="FZ2" i="19" a="1"/>
  <c r="FZ2" i="19" s="1"/>
  <c r="FW2" i="19" a="1"/>
  <c r="FW2" i="19" s="1"/>
  <c r="FV2" i="19" a="1"/>
  <c r="FV2" i="19" s="1"/>
  <c r="FT2" i="19" a="1"/>
  <c r="FT2" i="19" s="1"/>
  <c r="FR2" i="19" a="1"/>
  <c r="FR2" i="19" s="1"/>
  <c r="FP2" i="19" a="1"/>
  <c r="FP2" i="19" s="1"/>
  <c r="FN2" i="19" a="1"/>
  <c r="FN2" i="19" s="1"/>
  <c r="ES2" i="19" a="1"/>
  <c r="ES2" i="19" s="1"/>
  <c r="GT2" i="19" a="1"/>
  <c r="GT2" i="19" s="1"/>
  <c r="GP2" i="19" a="1"/>
  <c r="GP2" i="19" s="1"/>
  <c r="GN2" i="19" a="1"/>
  <c r="GN2" i="19" s="1"/>
  <c r="GK2" i="19" a="1"/>
  <c r="GK2" i="19" s="1"/>
  <c r="GI2" i="19" a="1"/>
  <c r="GI2" i="19" s="1"/>
  <c r="GG2" i="19" a="1"/>
  <c r="GG2" i="19" s="1"/>
  <c r="GE2" i="19" a="1"/>
  <c r="GE2" i="19" s="1"/>
  <c r="GC2" i="19" a="1"/>
  <c r="GC2" i="19" s="1"/>
  <c r="GA2" i="19" a="1"/>
  <c r="GA2" i="19" s="1"/>
  <c r="FY2" i="19" a="1"/>
  <c r="FY2" i="19" s="1"/>
  <c r="FX2" i="19" a="1"/>
  <c r="FX2" i="19" s="1"/>
  <c r="FU2" i="19" a="1"/>
  <c r="FU2" i="19" s="1"/>
  <c r="FS2" i="19" a="1"/>
  <c r="FS2" i="19" s="1"/>
  <c r="FQ2" i="19" a="1"/>
  <c r="FQ2" i="19" s="1"/>
  <c r="FO2" i="19" a="1"/>
  <c r="FO2" i="19" s="1"/>
  <c r="FM2" i="19" a="1"/>
  <c r="FM2" i="19" s="1"/>
  <c r="DA2" i="19" a="1"/>
  <c r="DA2" i="19" s="1"/>
  <c r="CY2" i="19" a="1"/>
  <c r="CY2" i="19" s="1"/>
  <c r="CW2" i="19" a="1"/>
  <c r="CW2" i="19" s="1"/>
  <c r="CU2" i="19" a="1"/>
  <c r="CU2" i="19" s="1"/>
  <c r="CS2" i="19" a="1"/>
  <c r="CS2" i="19" s="1"/>
  <c r="CO2" i="19" a="1"/>
  <c r="CO2" i="19" s="1"/>
  <c r="CK2" i="19" a="1"/>
  <c r="CK2" i="19" s="1"/>
  <c r="DP2" i="19" a="1"/>
  <c r="DP2" i="19" s="1"/>
  <c r="DH2" i="19" a="1"/>
  <c r="DH2" i="19" s="1"/>
  <c r="DB2" i="19" a="1"/>
  <c r="DB2" i="19" s="1"/>
  <c r="CZ2" i="19" a="1"/>
  <c r="CZ2" i="19" s="1"/>
  <c r="CX2" i="19" a="1"/>
  <c r="CX2" i="19" s="1"/>
  <c r="CV2" i="19" a="1"/>
  <c r="CV2" i="19" s="1"/>
  <c r="CT2" i="19" a="1"/>
  <c r="CT2" i="19" s="1"/>
  <c r="CR2" i="19" a="1"/>
  <c r="CR2" i="19" s="1"/>
  <c r="CP2" i="19" a="1"/>
  <c r="CP2" i="19" s="1"/>
  <c r="CN2" i="19" a="1"/>
  <c r="CN2" i="19" s="1"/>
  <c r="CL2" i="19" a="1"/>
  <c r="CL2" i="19" s="1"/>
  <c r="CJ2" i="19" a="1"/>
  <c r="CJ2" i="19" s="1"/>
  <c r="CQ2" i="19" a="1"/>
  <c r="CQ2" i="19" s="1"/>
  <c r="CM2" i="19" a="1"/>
  <c r="CM2" i="19" s="1"/>
  <c r="CI2" i="19" a="1"/>
  <c r="CI2" i="19" s="1"/>
  <c r="CE2" i="19" a="1"/>
  <c r="CE2" i="19" s="1"/>
  <c r="CD2" i="19" a="1"/>
  <c r="CD2" i="19" s="1"/>
  <c r="F2" i="19" a="1"/>
  <c r="F2" i="19" s="1"/>
  <c r="C2" i="19" a="1"/>
  <c r="C2" i="19" s="1"/>
  <c r="HK2" i="5" a="1"/>
  <c r="HK2" i="5" l="1"/>
  <c r="HJ2" i="5" a="1"/>
  <c r="HJ2" i="5" l="1"/>
  <c r="HI2" i="5" a="1"/>
  <c r="HI2" i="5" l="1"/>
  <c r="HH2" i="5" a="1"/>
  <c r="HH2" i="5" l="1"/>
  <c r="HG2" i="5" a="1"/>
  <c r="HG2" i="5" l="1"/>
  <c r="HF2" i="5" a="1"/>
  <c r="HF2" i="5" l="1"/>
  <c r="HE2" i="5" a="1"/>
  <c r="HE2" i="5" l="1"/>
  <c r="HD2" i="5" a="1"/>
  <c r="HD2" i="5" l="1"/>
  <c r="HC2" i="5" a="1"/>
  <c r="HC2" i="5" l="1"/>
  <c r="HB2" i="5" a="1"/>
  <c r="HB2" i="5" l="1"/>
  <c r="HA2" i="5" a="1"/>
  <c r="HA2" i="5" l="1"/>
  <c r="GZ2" i="5" a="1"/>
  <c r="GZ2" i="5" l="1"/>
  <c r="GY2" i="5" a="1"/>
  <c r="GY2" i="5" l="1"/>
  <c r="GX2" i="5" a="1"/>
  <c r="GX2" i="5" l="1"/>
  <c r="GW2" i="5" a="1"/>
  <c r="GW2" i="5" l="1"/>
  <c r="GV2" i="5" a="1"/>
  <c r="GV2" i="5" l="1"/>
  <c r="GU2" i="5" a="1"/>
  <c r="GU2" i="5" l="1"/>
  <c r="GT2" i="5" a="1"/>
  <c r="GT2" i="5" l="1"/>
  <c r="GS2" i="5" a="1"/>
  <c r="GS2" i="5" l="1"/>
  <c r="GR2" i="5" a="1"/>
  <c r="GR2" i="5" l="1"/>
  <c r="GQ2" i="5" a="1"/>
  <c r="GQ2" i="5" l="1"/>
  <c r="GP2" i="5" a="1"/>
  <c r="GP2" i="5" l="1"/>
  <c r="GO2" i="5" a="1"/>
  <c r="GO2" i="5" l="1"/>
  <c r="GN2" i="5" a="1"/>
  <c r="GN2" i="5" l="1"/>
  <c r="GM2" i="5" a="1"/>
  <c r="GM2" i="5" l="1"/>
  <c r="GL2" i="5" a="1"/>
  <c r="GL2" i="5" l="1"/>
  <c r="GK2" i="5" a="1"/>
  <c r="GK2" i="5" l="1"/>
  <c r="GJ2" i="5" a="1"/>
  <c r="GJ2" i="5" l="1"/>
  <c r="GI2" i="5" a="1"/>
  <c r="GI2" i="5" l="1"/>
  <c r="GH2" i="5" a="1"/>
  <c r="GH2" i="5" l="1"/>
  <c r="GG2" i="5" a="1"/>
  <c r="GG2" i="5" l="1"/>
  <c r="GF2" i="5" a="1"/>
  <c r="GF2" i="5" l="1"/>
  <c r="GE2" i="5" a="1"/>
  <c r="GE2" i="5" l="1"/>
  <c r="GD2" i="5" a="1"/>
  <c r="GD2" i="5" l="1"/>
  <c r="GC2" i="5" a="1"/>
  <c r="GC2" i="5" l="1"/>
  <c r="GB2" i="5" a="1"/>
  <c r="GB2" i="5" l="1"/>
  <c r="GA2" i="5" a="1"/>
  <c r="GA2" i="5" l="1"/>
  <c r="FZ2" i="5" a="1"/>
  <c r="FZ2" i="5" l="1"/>
  <c r="FY2" i="5" a="1"/>
  <c r="FY2" i="5" l="1"/>
  <c r="FX2" i="5" a="1"/>
  <c r="FX2" i="5" l="1"/>
  <c r="FW2" i="5" a="1"/>
  <c r="FW2" i="5" l="1"/>
  <c r="FV2" i="5" a="1"/>
  <c r="FV2" i="5" l="1"/>
  <c r="FU2" i="5" a="1"/>
  <c r="FU2" i="5" l="1"/>
  <c r="FT2" i="5" a="1"/>
  <c r="FT2" i="5" l="1"/>
  <c r="FS2" i="5" a="1"/>
  <c r="FS2" i="5" l="1"/>
  <c r="FR2" i="5" a="1"/>
  <c r="FR2" i="5" l="1"/>
  <c r="FQ2" i="5" a="1"/>
  <c r="FQ2" i="5" l="1"/>
  <c r="FP2" i="5" a="1"/>
  <c r="FP2" i="5" l="1"/>
  <c r="EV2" i="5" a="1"/>
  <c r="EV2" i="5" l="1"/>
  <c r="DS2" i="5" a="1"/>
  <c r="DS2" i="5" l="1"/>
  <c r="DK2" i="5" a="1"/>
  <c r="DK2" i="5" l="1"/>
  <c r="DE2" i="5" a="1"/>
  <c r="DE2" i="5" l="1"/>
  <c r="DD2" i="5" a="1"/>
  <c r="DD2" i="5" l="1"/>
  <c r="DC2" i="5" a="1"/>
  <c r="DC2" i="5" l="1"/>
  <c r="DB2" i="5" a="1"/>
  <c r="DB2" i="5" l="1"/>
  <c r="DA2" i="5" a="1"/>
  <c r="DA2" i="5" l="1"/>
  <c r="CZ2" i="5" a="1"/>
  <c r="CZ2" i="5" l="1"/>
  <c r="CY2" i="5" a="1"/>
  <c r="CY2" i="5" l="1"/>
  <c r="CX2" i="5" a="1"/>
  <c r="CX2" i="5" l="1"/>
  <c r="CW2" i="5" a="1"/>
  <c r="CW2" i="5" l="1"/>
  <c r="CV2" i="5" a="1"/>
  <c r="CV2" i="5" l="1"/>
  <c r="CU2" i="5" a="1"/>
  <c r="CU2" i="5" l="1"/>
  <c r="CT2" i="5" a="1"/>
  <c r="CT2" i="5" l="1"/>
  <c r="CS2" i="5" a="1"/>
  <c r="CS2" i="5" l="1"/>
  <c r="CR2" i="5" a="1"/>
  <c r="CR2" i="5" l="1"/>
  <c r="CQ2" i="5" a="1"/>
  <c r="CQ2" i="5" l="1"/>
  <c r="CP2" i="5" a="1"/>
  <c r="CP2" i="5" l="1"/>
  <c r="CO2" i="5" a="1"/>
  <c r="CO2" i="5" l="1"/>
  <c r="CN2" i="5" a="1"/>
  <c r="CN2" i="5" l="1"/>
  <c r="CM2" i="5" a="1"/>
  <c r="CM2" i="5" l="1"/>
  <c r="CL2" i="5" a="1"/>
  <c r="CL2" i="5" l="1"/>
  <c r="CH2" i="5" a="1"/>
  <c r="CH2" i="5" l="1"/>
  <c r="CG2" i="5" a="1"/>
  <c r="CG2" i="5" l="1"/>
  <c r="B1" i="13" a="1"/>
  <c r="B1" i="13" l="1"/>
  <c r="D1" i="12" a="1"/>
  <c r="D1" i="12" l="1"/>
  <c r="C1" i="12" a="1"/>
  <c r="C1" i="12" l="1"/>
  <c r="B1" i="11" a="1"/>
  <c r="B1" i="11" l="1"/>
  <c r="D1" i="9" a="1"/>
  <c r="D1" i="9" l="1"/>
  <c r="C1" i="9" a="1"/>
  <c r="C1" i="9" l="1"/>
  <c r="D2" i="2" a="1"/>
  <c r="I2" i="2" a="1"/>
  <c r="F2" i="2" a="1"/>
  <c r="E2" i="2" a="1"/>
  <c r="D3" i="2" a="1"/>
  <c r="H2" i="2" a="1"/>
  <c r="G2" i="2" a="1"/>
  <c r="G2" i="2" l="1"/>
  <c r="H2" i="2"/>
  <c r="D3" i="2"/>
  <c r="E2" i="2"/>
  <c r="F2" i="2"/>
  <c r="I2" i="2"/>
  <c r="D2" i="2"/>
  <c r="Q2" i="5" a="1"/>
  <c r="DF2" i="5" a="1"/>
  <c r="DG2" i="5" a="1"/>
  <c r="DH2" i="5" a="1"/>
  <c r="DI2" i="5" a="1"/>
  <c r="DJ2" i="5" a="1"/>
  <c r="AG2" i="5" a="1"/>
  <c r="AJ2" i="5" a="1"/>
  <c r="AK2" i="5" a="1"/>
  <c r="AO2" i="5" a="1"/>
  <c r="AP2" i="5" a="1"/>
  <c r="AQ2" i="5" a="1"/>
  <c r="AT2" i="5" a="1"/>
  <c r="AU2" i="5" a="1"/>
  <c r="BQ2" i="5" a="1"/>
  <c r="BR2" i="5" a="1"/>
  <c r="DN2" i="5" a="1"/>
  <c r="DP2" i="5" a="1"/>
  <c r="DR2" i="5" a="1"/>
  <c r="DX2" i="5" a="1"/>
  <c r="DY2" i="5" a="1"/>
  <c r="EC2" i="5" a="1"/>
  <c r="EE2" i="5" a="1"/>
  <c r="EK2" i="5" a="1"/>
  <c r="EM2" i="5" a="1"/>
  <c r="EO2" i="5" a="1"/>
  <c r="EQ2" i="5" a="1"/>
  <c r="ES2" i="5" a="1"/>
  <c r="EU2" i="5" a="1"/>
  <c r="FA2" i="5" a="1"/>
  <c r="E2" i="16" a="1"/>
  <c r="C2" i="9" a="1"/>
  <c r="D2" i="9" a="1"/>
  <c r="A2" i="11" a="1"/>
  <c r="A2" i="9" a="1"/>
  <c r="C2" i="11" a="1"/>
  <c r="D2" i="11" a="1"/>
  <c r="E2" i="11" a="1"/>
  <c r="F2" i="11" a="1"/>
  <c r="G2" i="11" a="1"/>
  <c r="H2" i="11" a="1"/>
  <c r="I2" i="11" a="1"/>
  <c r="J2" i="11" a="1"/>
  <c r="K2" i="11" a="1"/>
  <c r="L2" i="11" a="1"/>
  <c r="M2" i="11" a="1"/>
  <c r="A2" i="13" a="1"/>
  <c r="C2" i="13" a="1"/>
  <c r="D2" i="13" a="1"/>
  <c r="E2" i="13" a="1"/>
  <c r="F2" i="13" a="1"/>
  <c r="G2" i="13" a="1"/>
  <c r="H2" i="13" a="1"/>
  <c r="I2" i="13" a="1"/>
  <c r="J2" i="13" a="1"/>
  <c r="K2" i="13" a="1"/>
  <c r="L2" i="13" a="1"/>
  <c r="M2" i="13" a="1"/>
  <c r="N2" i="13" a="1"/>
  <c r="O2" i="13" a="1"/>
  <c r="P2" i="13" a="1"/>
  <c r="Q2" i="13" a="1"/>
  <c r="R2" i="13" a="1"/>
  <c r="S2" i="13" a="1"/>
  <c r="T2" i="13" a="1"/>
  <c r="U2" i="13" a="1"/>
  <c r="V2" i="13" a="1"/>
  <c r="W2" i="13" a="1"/>
  <c r="X2" i="13" a="1"/>
  <c r="Y2" i="13" a="1"/>
  <c r="Z2" i="13" a="1"/>
  <c r="AA2" i="13" a="1"/>
  <c r="AB2" i="13" a="1"/>
  <c r="AC2" i="13" a="1"/>
  <c r="AD2" i="13" a="1"/>
  <c r="AE2" i="13" a="1"/>
  <c r="AF2" i="13" a="1"/>
  <c r="AG2" i="13" a="1"/>
  <c r="AH2" i="13" a="1"/>
  <c r="AI2" i="13" a="1"/>
  <c r="AJ2" i="13" a="1"/>
  <c r="AK2" i="13" a="1"/>
  <c r="AL2" i="13" a="1"/>
  <c r="AM2" i="13" a="1"/>
  <c r="AN2" i="13" a="1"/>
  <c r="AO2" i="13" a="1"/>
  <c r="AP2" i="13" a="1"/>
  <c r="AQ2" i="13" a="1"/>
  <c r="AR2" i="13" a="1"/>
  <c r="AS2" i="13" a="1"/>
  <c r="AT2" i="13" a="1"/>
  <c r="AU2" i="13" a="1"/>
  <c r="AV2" i="13" a="1"/>
  <c r="AW2" i="13" a="1"/>
  <c r="AX2" i="13" a="1"/>
  <c r="AY2" i="13" a="1"/>
  <c r="AZ2" i="13" a="1"/>
  <c r="BA2" i="13" a="1"/>
  <c r="BB2" i="13" a="1"/>
  <c r="BC2" i="13" a="1"/>
  <c r="BD2" i="13" a="1"/>
  <c r="BE2" i="13" a="1"/>
  <c r="BF2" i="13" a="1"/>
  <c r="BG2" i="13" a="1"/>
  <c r="C2" i="5" a="1"/>
  <c r="D2" i="5" a="1"/>
  <c r="E2" i="5" a="1"/>
  <c r="F2" i="5" a="1"/>
  <c r="G2" i="5" a="1"/>
  <c r="H2" i="5" a="1"/>
  <c r="I2" i="5" a="1"/>
  <c r="J2" i="5" a="1"/>
  <c r="K2" i="5" a="1"/>
  <c r="L2" i="5" a="1"/>
  <c r="M2" i="5" a="1"/>
  <c r="N2" i="5" a="1"/>
  <c r="O2" i="5" a="1"/>
  <c r="P2" i="5" a="1"/>
  <c r="R2" i="5" a="1"/>
  <c r="S2" i="5" a="1"/>
  <c r="T2" i="5" a="1"/>
  <c r="U2" i="5" a="1"/>
  <c r="V2" i="5" a="1"/>
  <c r="W2" i="5" a="1"/>
  <c r="X2" i="5" a="1"/>
  <c r="Y2" i="5" a="1"/>
  <c r="Z2" i="5" a="1"/>
  <c r="AA2" i="5" a="1"/>
  <c r="AB2" i="5" a="1"/>
  <c r="AC2" i="5" a="1"/>
  <c r="AD2" i="5" a="1"/>
  <c r="AE2" i="5" a="1"/>
  <c r="CF2" i="5" a="1"/>
  <c r="CI2" i="5" a="1"/>
  <c r="CJ2" i="5" a="1"/>
  <c r="CK2" i="5" a="1"/>
  <c r="DL2" i="5" a="1"/>
  <c r="DT2" i="5" a="1"/>
  <c r="DU2" i="5" a="1"/>
  <c r="DZ2" i="5" a="1"/>
  <c r="EA2" i="5" a="1"/>
  <c r="EF2" i="5" a="1"/>
  <c r="EG2" i="5" a="1"/>
  <c r="EH2" i="5" a="1"/>
  <c r="EI2" i="5" a="1"/>
  <c r="EW2" i="5" a="1"/>
  <c r="EX2" i="5" a="1"/>
  <c r="EY2" i="5" a="1"/>
  <c r="FB2" i="5" a="1"/>
  <c r="FC2" i="5" a="1"/>
  <c r="FD2" i="5" a="1"/>
  <c r="FE2" i="5" a="1"/>
  <c r="FF2" i="5" a="1"/>
  <c r="FG2" i="5" a="1"/>
  <c r="FH2" i="5" a="1"/>
  <c r="FI2" i="5" a="1"/>
  <c r="FJ2" i="5" a="1"/>
  <c r="FK2" i="5" a="1"/>
  <c r="FL2" i="5" a="1"/>
  <c r="FM2" i="5" a="1"/>
  <c r="FN2" i="5" a="1"/>
  <c r="FO2" i="5" a="1"/>
  <c r="HL2" i="5" a="1"/>
  <c r="HM2" i="5" a="1"/>
  <c r="CH2" i="19" a="1"/>
  <c r="CG2" i="19" a="1"/>
  <c r="CF2" i="19" a="1"/>
  <c r="CC2" i="19" a="1"/>
  <c r="CC3" i="19" a="1"/>
  <c r="CF3" i="19" a="1"/>
  <c r="CG3" i="19" a="1"/>
  <c r="CH3" i="19" a="1"/>
  <c r="CC4" i="19" a="1"/>
  <c r="CF4" i="19" a="1"/>
  <c r="CG4" i="19" a="1"/>
  <c r="CH4" i="19" a="1"/>
  <c r="CC5" i="19" a="1"/>
  <c r="CF5" i="19" a="1"/>
  <c r="CG5" i="19" a="1"/>
  <c r="CH5" i="19" a="1"/>
  <c r="CC6" i="19" a="1"/>
  <c r="CF6" i="19" a="1"/>
  <c r="CG6" i="19" a="1"/>
  <c r="CH6" i="19" a="1"/>
  <c r="CC7" i="19" a="1"/>
  <c r="CF7" i="19" a="1"/>
  <c r="CG7" i="19" a="1"/>
  <c r="CH7" i="19" a="1"/>
  <c r="CC8" i="19" a="1"/>
  <c r="CF8" i="19" a="1"/>
  <c r="CG8" i="19" a="1"/>
  <c r="CH8" i="19" a="1"/>
  <c r="CC9" i="19" a="1"/>
  <c r="CF9" i="19" a="1"/>
  <c r="CG9" i="19" a="1"/>
  <c r="CH9" i="19" a="1"/>
  <c r="CC10" i="19" a="1"/>
  <c r="CF10" i="19" a="1"/>
  <c r="CG10" i="19" a="1"/>
  <c r="CH10" i="19" a="1"/>
  <c r="CC11" i="19" a="1"/>
  <c r="CF11" i="19" a="1"/>
  <c r="CG11" i="19" a="1"/>
  <c r="CH11" i="19" a="1"/>
  <c r="CC12" i="19" a="1"/>
  <c r="CF12" i="19" a="1"/>
  <c r="CG12" i="19" a="1"/>
  <c r="CH12" i="19" a="1"/>
  <c r="CC13" i="19" a="1"/>
  <c r="CF13" i="19" a="1"/>
  <c r="CG13" i="19" a="1"/>
  <c r="CH13" i="19" a="1"/>
  <c r="CC14" i="19" a="1"/>
  <c r="CF14" i="19" a="1"/>
  <c r="CG14" i="19" a="1"/>
  <c r="CH14" i="19" a="1"/>
  <c r="CC15" i="19" a="1"/>
  <c r="CF15" i="19" a="1"/>
  <c r="CG15" i="19" a="1"/>
  <c r="CH15" i="19" a="1"/>
  <c r="CC16" i="19" a="1"/>
  <c r="CF16" i="19" a="1"/>
  <c r="CG16" i="19" a="1"/>
  <c r="CH16" i="19" a="1"/>
  <c r="CC17" i="19" a="1"/>
  <c r="CF17" i="19" a="1"/>
  <c r="CG17" i="19" a="1"/>
  <c r="CH17" i="19" a="1"/>
  <c r="CC18" i="19" a="1"/>
  <c r="CF18" i="19" a="1"/>
  <c r="CG18" i="19" a="1"/>
  <c r="CH18" i="19" a="1"/>
  <c r="CC19" i="19" a="1"/>
  <c r="CF19" i="19" a="1"/>
  <c r="CG19" i="19" a="1"/>
  <c r="CH19" i="19" a="1"/>
  <c r="CC20" i="19" a="1"/>
  <c r="CF20" i="19" a="1"/>
  <c r="CG20" i="19" a="1"/>
  <c r="CH20" i="19" a="1"/>
  <c r="CC21" i="19" a="1"/>
  <c r="CF21" i="19" a="1"/>
  <c r="CG21" i="19" a="1"/>
  <c r="CH21" i="19" a="1"/>
  <c r="CC22" i="19" a="1"/>
  <c r="CF22" i="19" a="1"/>
  <c r="CG22" i="19" a="1"/>
  <c r="CH22" i="19" a="1"/>
  <c r="CC23" i="19" a="1"/>
  <c r="CF23" i="19" a="1"/>
  <c r="CG23" i="19" a="1"/>
  <c r="CH23" i="19" a="1"/>
  <c r="CC24" i="19" a="1"/>
  <c r="CF24" i="19" a="1"/>
  <c r="CG24" i="19" a="1"/>
  <c r="CH24" i="19" a="1"/>
  <c r="CC25" i="19" a="1"/>
  <c r="CF25" i="19" a="1"/>
  <c r="CG25" i="19" a="1"/>
  <c r="CH25" i="19" a="1"/>
  <c r="CC26" i="19" a="1"/>
  <c r="CF26" i="19" a="1"/>
  <c r="CG26" i="19" a="1"/>
  <c r="CH26" i="19" a="1"/>
  <c r="CC27" i="19" a="1"/>
  <c r="CF27" i="19" a="1"/>
  <c r="CG27" i="19" a="1"/>
  <c r="CH27" i="19" a="1"/>
  <c r="CC28" i="19" a="1"/>
  <c r="CF28" i="19" a="1"/>
  <c r="CG28" i="19" a="1"/>
  <c r="CH28" i="19" a="1"/>
  <c r="CC29" i="19" a="1"/>
  <c r="CF29" i="19" a="1"/>
  <c r="CG29" i="19" a="1"/>
  <c r="CH29" i="19" a="1"/>
  <c r="CC30" i="19" a="1"/>
  <c r="CF30" i="19" a="1"/>
  <c r="CG30" i="19" a="1"/>
  <c r="CH30" i="19" a="1"/>
  <c r="CC31" i="19" a="1"/>
  <c r="CF31" i="19" a="1"/>
  <c r="CG31" i="19" a="1"/>
  <c r="CH31" i="19" a="1"/>
  <c r="CC32" i="19" a="1"/>
  <c r="CF32" i="19" a="1"/>
  <c r="CG32" i="19" a="1"/>
  <c r="CH32" i="19" a="1"/>
  <c r="CC33" i="19" a="1"/>
  <c r="CF33" i="19" a="1"/>
  <c r="CG33" i="19" a="1"/>
  <c r="CH33" i="19" a="1"/>
  <c r="CC34" i="19" a="1"/>
  <c r="CF34" i="19" a="1"/>
  <c r="CG34" i="19" a="1"/>
  <c r="CH34" i="19" a="1"/>
  <c r="CC35" i="19" a="1"/>
  <c r="CF35" i="19" a="1"/>
  <c r="CG35" i="19" a="1"/>
  <c r="CH35" i="19" a="1"/>
  <c r="CC36" i="19" a="1"/>
  <c r="CF36" i="19" a="1"/>
  <c r="CG36" i="19" a="1"/>
  <c r="CH36" i="19" a="1"/>
  <c r="CC37" i="19" a="1"/>
  <c r="CF37" i="19" a="1"/>
  <c r="CG37" i="19" a="1"/>
  <c r="CH37" i="19" a="1"/>
  <c r="CC38" i="19" a="1"/>
  <c r="CF38" i="19" a="1"/>
  <c r="CG38" i="19" a="1"/>
  <c r="CH38" i="19" a="1"/>
  <c r="CC39" i="19" a="1"/>
  <c r="CF39" i="19" a="1"/>
  <c r="CG39" i="19" a="1"/>
  <c r="CH39" i="19" a="1"/>
  <c r="CC40" i="19" a="1"/>
  <c r="CF40" i="19" a="1"/>
  <c r="CG40" i="19" a="1"/>
  <c r="CH40" i="19" a="1"/>
  <c r="CC41" i="19" a="1"/>
  <c r="CF41" i="19" a="1"/>
  <c r="CG41" i="19" a="1"/>
  <c r="CH41" i="19" a="1"/>
  <c r="CC42" i="19" a="1"/>
  <c r="CF42" i="19" a="1"/>
  <c r="CG42" i="19" a="1"/>
  <c r="CH42" i="19" a="1"/>
  <c r="CC43" i="19" a="1"/>
  <c r="CF43" i="19" a="1"/>
  <c r="CG43" i="19" a="1"/>
  <c r="CH43" i="19" a="1"/>
  <c r="CC44" i="19" a="1"/>
  <c r="CF44" i="19" a="1"/>
  <c r="CG44" i="19" a="1"/>
  <c r="CH44" i="19" a="1"/>
  <c r="CC45" i="19" a="1"/>
  <c r="CF45" i="19" a="1"/>
  <c r="CG45" i="19" a="1"/>
  <c r="CH45" i="19" a="1"/>
  <c r="CC46" i="19" a="1"/>
  <c r="CF46" i="19" a="1"/>
  <c r="CG46" i="19" a="1"/>
  <c r="CH46" i="19" a="1"/>
  <c r="CC47" i="19" a="1"/>
  <c r="CF47" i="19" a="1"/>
  <c r="CG47" i="19" a="1"/>
  <c r="CH47" i="19" a="1"/>
  <c r="CC48" i="19" a="1"/>
  <c r="CF48" i="19" a="1"/>
  <c r="CG48" i="19" a="1"/>
  <c r="CH48" i="19" a="1"/>
  <c r="CC49" i="19" a="1"/>
  <c r="CF49" i="19" a="1"/>
  <c r="CG49" i="19" a="1"/>
  <c r="CH49" i="19" a="1"/>
  <c r="CC50" i="19" a="1"/>
  <c r="CF50" i="19" a="1"/>
  <c r="CG50" i="19" a="1"/>
  <c r="CH50" i="19" a="1"/>
  <c r="CC51" i="19" a="1"/>
  <c r="CF51" i="19" a="1"/>
  <c r="CG51" i="19" a="1"/>
  <c r="CH51" i="19" a="1"/>
  <c r="CC52" i="19" a="1"/>
  <c r="CF52" i="19" a="1"/>
  <c r="CG52" i="19" a="1"/>
  <c r="CH52" i="19" a="1"/>
  <c r="CC53" i="19" a="1"/>
  <c r="CF53" i="19" a="1"/>
  <c r="CG53" i="19" a="1"/>
  <c r="CH53" i="19" a="1"/>
  <c r="CC54" i="19" a="1"/>
  <c r="CF54" i="19" a="1"/>
  <c r="CG54" i="19" a="1"/>
  <c r="CH54" i="19" a="1"/>
  <c r="CC55" i="19" a="1"/>
  <c r="CF55" i="19" a="1"/>
  <c r="CG55" i="19" a="1"/>
  <c r="CH55" i="19" a="1"/>
  <c r="CC56" i="19" a="1"/>
  <c r="CF56" i="19" a="1"/>
  <c r="CG56" i="19" a="1"/>
  <c r="CH56" i="19" a="1"/>
  <c r="CC57" i="19" a="1"/>
  <c r="CF57" i="19" a="1"/>
  <c r="CG57" i="19" a="1"/>
  <c r="CH57" i="19" a="1"/>
  <c r="CC58" i="19" a="1"/>
  <c r="CF58" i="19" a="1"/>
  <c r="CG58" i="19" a="1"/>
  <c r="CH58" i="19" a="1"/>
  <c r="CC59" i="19" a="1"/>
  <c r="CF59" i="19" a="1"/>
  <c r="CG59" i="19" a="1"/>
  <c r="CH59" i="19" a="1"/>
  <c r="A2" i="16" a="1"/>
  <c r="C2" i="16" a="1"/>
  <c r="AF2" i="5" a="1"/>
  <c r="AH2" i="5" a="1"/>
  <c r="AI2" i="5" a="1"/>
  <c r="AL2" i="5" a="1"/>
  <c r="AM2" i="5" a="1"/>
  <c r="AN2" i="5" a="1"/>
  <c r="AR2" i="5" a="1"/>
  <c r="AS2" i="5" a="1"/>
  <c r="BO2" i="5" a="1"/>
  <c r="BP2" i="5" a="1"/>
  <c r="DM2" i="5" a="1"/>
  <c r="DO2" i="5" a="1"/>
  <c r="DQ2" i="5" a="1"/>
  <c r="DV2" i="5" a="1"/>
  <c r="DW2" i="5" a="1"/>
  <c r="EB2" i="5" a="1"/>
  <c r="ED2" i="5" a="1"/>
  <c r="EJ2" i="5" a="1"/>
  <c r="EL2" i="5" a="1"/>
  <c r="EN2" i="5" a="1"/>
  <c r="EP2" i="5" a="1"/>
  <c r="ER2" i="5" a="1"/>
  <c r="ET2" i="5" a="1"/>
  <c r="EZ2" i="5" a="1"/>
  <c r="AV2" i="5" a="1"/>
  <c r="AW2" i="5" a="1"/>
  <c r="AX2" i="5" a="1"/>
  <c r="AY2" i="5" a="1"/>
  <c r="AZ2" i="5" a="1"/>
  <c r="BA2" i="5" a="1"/>
  <c r="BB2" i="5" a="1"/>
  <c r="BC2" i="5" a="1"/>
  <c r="BD2" i="5" a="1"/>
  <c r="BE2" i="5" a="1"/>
  <c r="BF2" i="5" a="1"/>
  <c r="BG2" i="5" a="1"/>
  <c r="BH2" i="5" a="1"/>
  <c r="BI2" i="5" a="1"/>
  <c r="BJ2" i="5" a="1"/>
  <c r="BK2" i="5" a="1"/>
  <c r="BL2" i="5" a="1"/>
  <c r="BM2" i="5" a="1"/>
  <c r="BN2" i="5" a="1"/>
  <c r="BS2" i="5" a="1"/>
  <c r="BT2" i="5" a="1"/>
  <c r="BU2" i="5" a="1"/>
  <c r="BV2" i="5" a="1"/>
  <c r="BW2" i="5" a="1"/>
  <c r="BX2" i="5" a="1"/>
  <c r="BY2" i="5" a="1"/>
  <c r="BZ2" i="5" a="1"/>
  <c r="CA2" i="5" a="1"/>
  <c r="CB2" i="5" a="1"/>
  <c r="CC2" i="5" a="1"/>
  <c r="CD2" i="5" a="1"/>
  <c r="CE2" i="5" a="1"/>
  <c r="CE2" i="5" l="1"/>
  <c r="CD2" i="5"/>
  <c r="CC2" i="5"/>
  <c r="CB2" i="5"/>
  <c r="CA2" i="5"/>
  <c r="BZ2" i="5"/>
  <c r="BY2" i="5"/>
  <c r="BX2" i="5"/>
  <c r="BW2" i="5"/>
  <c r="BV2" i="5"/>
  <c r="BU2" i="5"/>
  <c r="BT2" i="5"/>
  <c r="BS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EZ2" i="5"/>
  <c r="ET2" i="5"/>
  <c r="ER2" i="5"/>
  <c r="EP2" i="5"/>
  <c r="EN2" i="5"/>
  <c r="EL2" i="5"/>
  <c r="EJ2" i="5"/>
  <c r="ED2" i="5"/>
  <c r="EB2" i="5"/>
  <c r="DW2" i="5"/>
  <c r="DV2" i="5"/>
  <c r="DQ2" i="5"/>
  <c r="DO2" i="5"/>
  <c r="DM2" i="5"/>
  <c r="BP2" i="5"/>
  <c r="BO2" i="5"/>
  <c r="AS2" i="5"/>
  <c r="AR2" i="5"/>
  <c r="AN2" i="5"/>
  <c r="AM2" i="5"/>
  <c r="AL2" i="5"/>
  <c r="AI2" i="5"/>
  <c r="AH2" i="5"/>
  <c r="AF2" i="5"/>
  <c r="C2" i="16"/>
  <c r="A2" i="16"/>
  <c r="CH59" i="19"/>
  <c r="CG59" i="19"/>
  <c r="CF59" i="19"/>
  <c r="CC59" i="19"/>
  <c r="CH58" i="19"/>
  <c r="CG58" i="19"/>
  <c r="CF58" i="19"/>
  <c r="CC58" i="19"/>
  <c r="CH57" i="19"/>
  <c r="CG57" i="19"/>
  <c r="CF57" i="19"/>
  <c r="CC57" i="19"/>
  <c r="CH56" i="19"/>
  <c r="CG56" i="19"/>
  <c r="CF56" i="19"/>
  <c r="CC56" i="19"/>
  <c r="CH55" i="19"/>
  <c r="CG55" i="19"/>
  <c r="CF55" i="19"/>
  <c r="CC55" i="19"/>
  <c r="CH54" i="19"/>
  <c r="CG54" i="19"/>
  <c r="CF54" i="19"/>
  <c r="CC54" i="19"/>
  <c r="CH53" i="19"/>
  <c r="CG53" i="19"/>
  <c r="CF53" i="19"/>
  <c r="CC53" i="19"/>
  <c r="CH52" i="19"/>
  <c r="CG52" i="19"/>
  <c r="CF52" i="19"/>
  <c r="CC52" i="19"/>
  <c r="CH51" i="19"/>
  <c r="CG51" i="19"/>
  <c r="CF51" i="19"/>
  <c r="CC51" i="19"/>
  <c r="CH50" i="19"/>
  <c r="CG50" i="19"/>
  <c r="CF50" i="19"/>
  <c r="CC50" i="19"/>
  <c r="CH49" i="19"/>
  <c r="CG49" i="19"/>
  <c r="CF49" i="19"/>
  <c r="CC49" i="19"/>
  <c r="CH48" i="19"/>
  <c r="CG48" i="19"/>
  <c r="CF48" i="19"/>
  <c r="CC48" i="19"/>
  <c r="CH47" i="19"/>
  <c r="CG47" i="19"/>
  <c r="CF47" i="19"/>
  <c r="CC47" i="19"/>
  <c r="CH46" i="19"/>
  <c r="CG46" i="19"/>
  <c r="CF46" i="19"/>
  <c r="CC46" i="19"/>
  <c r="CH45" i="19"/>
  <c r="CG45" i="19"/>
  <c r="CF45" i="19"/>
  <c r="CC45" i="19"/>
  <c r="CH44" i="19"/>
  <c r="CG44" i="19"/>
  <c r="CF44" i="19"/>
  <c r="CC44" i="19"/>
  <c r="CH43" i="19"/>
  <c r="CG43" i="19"/>
  <c r="CF43" i="19"/>
  <c r="CC43" i="19"/>
  <c r="CH42" i="19"/>
  <c r="CG42" i="19"/>
  <c r="CF42" i="19"/>
  <c r="CC42" i="19"/>
  <c r="CH41" i="19"/>
  <c r="CG41" i="19"/>
  <c r="CF41" i="19"/>
  <c r="CC41" i="19"/>
  <c r="CH40" i="19"/>
  <c r="CG40" i="19"/>
  <c r="CF40" i="19"/>
  <c r="CC40" i="19"/>
  <c r="CH39" i="19"/>
  <c r="CG39" i="19"/>
  <c r="CF39" i="19"/>
  <c r="CC39" i="19"/>
  <c r="CH38" i="19"/>
  <c r="CG38" i="19"/>
  <c r="CF38" i="19"/>
  <c r="CC38" i="19"/>
  <c r="CH37" i="19"/>
  <c r="CG37" i="19"/>
  <c r="CF37" i="19"/>
  <c r="CC37" i="19"/>
  <c r="CH36" i="19"/>
  <c r="CG36" i="19"/>
  <c r="CF36" i="19"/>
  <c r="CC36" i="19"/>
  <c r="CH35" i="19"/>
  <c r="CG35" i="19"/>
  <c r="CF35" i="19"/>
  <c r="CC35" i="19"/>
  <c r="CH34" i="19"/>
  <c r="CG34" i="19"/>
  <c r="CF34" i="19"/>
  <c r="CC34" i="19"/>
  <c r="CH33" i="19"/>
  <c r="CG33" i="19"/>
  <c r="CF33" i="19"/>
  <c r="CC33" i="19"/>
  <c r="CH32" i="19"/>
  <c r="CG32" i="19"/>
  <c r="CF32" i="19"/>
  <c r="CC32" i="19"/>
  <c r="CH31" i="19"/>
  <c r="CG31" i="19"/>
  <c r="CF31" i="19"/>
  <c r="CC31" i="19"/>
  <c r="CH30" i="19"/>
  <c r="CG30" i="19"/>
  <c r="CF30" i="19"/>
  <c r="CC30" i="19"/>
  <c r="CH29" i="19"/>
  <c r="CG29" i="19"/>
  <c r="CF29" i="19"/>
  <c r="CC29" i="19"/>
  <c r="CH28" i="19"/>
  <c r="CG28" i="19"/>
  <c r="CF28" i="19"/>
  <c r="CC28" i="19"/>
  <c r="CH27" i="19"/>
  <c r="CG27" i="19"/>
  <c r="CF27" i="19"/>
  <c r="CC27" i="19"/>
  <c r="CH26" i="19"/>
  <c r="CG26" i="19"/>
  <c r="CF26" i="19"/>
  <c r="CC26" i="19"/>
  <c r="CH25" i="19"/>
  <c r="CG25" i="19"/>
  <c r="CF25" i="19"/>
  <c r="CC25" i="19"/>
  <c r="CH24" i="19"/>
  <c r="CG24" i="19"/>
  <c r="CF24" i="19"/>
  <c r="CC24" i="19"/>
  <c r="CH23" i="19"/>
  <c r="CG23" i="19"/>
  <c r="CF23" i="19"/>
  <c r="CC23" i="19"/>
  <c r="CH22" i="19"/>
  <c r="CG22" i="19"/>
  <c r="CF22" i="19"/>
  <c r="CC22" i="19"/>
  <c r="CH21" i="19"/>
  <c r="CG21" i="19"/>
  <c r="CF21" i="19"/>
  <c r="CC21" i="19"/>
  <c r="CH20" i="19"/>
  <c r="CG20" i="19"/>
  <c r="CF20" i="19"/>
  <c r="CC20" i="19"/>
  <c r="CH19" i="19"/>
  <c r="CG19" i="19"/>
  <c r="CF19" i="19"/>
  <c r="CC19" i="19"/>
  <c r="CH18" i="19"/>
  <c r="CG18" i="19"/>
  <c r="CF18" i="19"/>
  <c r="CC18" i="19"/>
  <c r="CH17" i="19"/>
  <c r="CG17" i="19"/>
  <c r="CF17" i="19"/>
  <c r="CC17" i="19"/>
  <c r="CH16" i="19"/>
  <c r="CG16" i="19"/>
  <c r="CF16" i="19"/>
  <c r="CC16" i="19"/>
  <c r="CH15" i="19"/>
  <c r="CG15" i="19"/>
  <c r="CF15" i="19"/>
  <c r="CC15" i="19"/>
  <c r="CH14" i="19"/>
  <c r="CG14" i="19"/>
  <c r="CF14" i="19"/>
  <c r="CC14" i="19"/>
  <c r="CH13" i="19"/>
  <c r="CG13" i="19"/>
  <c r="CF13" i="19"/>
  <c r="CC13" i="19"/>
  <c r="CH12" i="19"/>
  <c r="CG12" i="19"/>
  <c r="CF12" i="19"/>
  <c r="CC12" i="19"/>
  <c r="CH11" i="19"/>
  <c r="CG11" i="19"/>
  <c r="CF11" i="19"/>
  <c r="CC11" i="19"/>
  <c r="CH10" i="19"/>
  <c r="CG10" i="19"/>
  <c r="CF10" i="19"/>
  <c r="CC10" i="19"/>
  <c r="CH9" i="19"/>
  <c r="CG9" i="19"/>
  <c r="CF9" i="19"/>
  <c r="CC9" i="19"/>
  <c r="CH8" i="19"/>
  <c r="CG8" i="19"/>
  <c r="CF8" i="19"/>
  <c r="CC8" i="19"/>
  <c r="CH7" i="19"/>
  <c r="CG7" i="19"/>
  <c r="CF7" i="19"/>
  <c r="CC7" i="19"/>
  <c r="CH6" i="19"/>
  <c r="CG6" i="19"/>
  <c r="CF6" i="19"/>
  <c r="CC6" i="19"/>
  <c r="CH5" i="19"/>
  <c r="CG5" i="19"/>
  <c r="CF5" i="19"/>
  <c r="CC5" i="19"/>
  <c r="CH4" i="19"/>
  <c r="CG4" i="19"/>
  <c r="CF4" i="19"/>
  <c r="CC4" i="19"/>
  <c r="CH3" i="19"/>
  <c r="CG3" i="19"/>
  <c r="CF3" i="19"/>
  <c r="CC3" i="19"/>
  <c r="CC2" i="19"/>
  <c r="CF2" i="19"/>
  <c r="CG2" i="19"/>
  <c r="CH2" i="19"/>
  <c r="HM2" i="5"/>
  <c r="HL2" i="5"/>
  <c r="FO2" i="5"/>
  <c r="FN2" i="5"/>
  <c r="FM2" i="5"/>
  <c r="FL2" i="5"/>
  <c r="FK2" i="5"/>
  <c r="FJ2" i="5"/>
  <c r="FI2" i="5"/>
  <c r="FH2" i="5"/>
  <c r="FG2" i="5"/>
  <c r="FF2" i="5"/>
  <c r="FE2" i="5"/>
  <c r="FD2" i="5"/>
  <c r="FC2" i="5"/>
  <c r="FB2" i="5"/>
  <c r="EY2" i="5"/>
  <c r="EX2" i="5"/>
  <c r="EW2" i="5"/>
  <c r="EI2" i="5"/>
  <c r="EH2" i="5"/>
  <c r="EG2" i="5"/>
  <c r="EF2" i="5"/>
  <c r="EA2" i="5"/>
  <c r="DZ2" i="5"/>
  <c r="DU2" i="5"/>
  <c r="DT2" i="5"/>
  <c r="DL2" i="5"/>
  <c r="CK2" i="5"/>
  <c r="CJ2" i="5"/>
  <c r="CI2" i="5"/>
  <c r="C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A2" i="13"/>
  <c r="M2" i="11"/>
  <c r="L2" i="11"/>
  <c r="K2" i="11"/>
  <c r="J2" i="11"/>
  <c r="I2" i="11"/>
  <c r="H2" i="11"/>
  <c r="G2" i="11"/>
  <c r="F2" i="11"/>
  <c r="E2" i="11"/>
  <c r="D2" i="11"/>
  <c r="C2" i="11"/>
  <c r="A2" i="9"/>
  <c r="A2" i="11"/>
  <c r="D2" i="9"/>
  <c r="C2" i="9"/>
  <c r="E2" i="16"/>
  <c r="FA2" i="5"/>
  <c r="EU2" i="5"/>
  <c r="ES2" i="5"/>
  <c r="EQ2" i="5"/>
  <c r="EO2" i="5"/>
  <c r="EM2" i="5"/>
  <c r="EK2" i="5"/>
  <c r="EE2" i="5"/>
  <c r="EC2" i="5"/>
  <c r="DY2" i="5"/>
  <c r="DX2" i="5"/>
  <c r="DR2" i="5"/>
  <c r="DP2" i="5"/>
  <c r="DN2" i="5"/>
  <c r="BR2" i="5"/>
  <c r="BQ2" i="5"/>
  <c r="AU2" i="5"/>
  <c r="AT2" i="5"/>
  <c r="AQ2" i="5"/>
  <c r="AP2" i="5"/>
  <c r="AO2" i="5"/>
  <c r="AK2" i="5"/>
  <c r="AJ2" i="5"/>
  <c r="AG2" i="5"/>
  <c r="DJ2" i="5"/>
  <c r="DI2" i="5"/>
  <c r="DH2" i="5"/>
  <c r="DG2" i="5"/>
  <c r="DF2" i="5"/>
  <c r="Q2" i="5"/>
  <c r="CA59" i="19" a="1"/>
  <c r="CA59" i="19" s="1"/>
  <c r="BY59" i="19" a="1"/>
  <c r="BY59" i="19" s="1"/>
  <c r="BW59" i="19" a="1"/>
  <c r="BW59" i="19" s="1"/>
  <c r="BU59" i="19" a="1"/>
  <c r="BU59" i="19" s="1"/>
  <c r="BS59" i="19" a="1"/>
  <c r="BS59" i="19" s="1"/>
  <c r="BQ59" i="19" a="1"/>
  <c r="BQ59" i="19" s="1"/>
  <c r="BK59" i="19" a="1"/>
  <c r="BK59" i="19" s="1"/>
  <c r="BI59" i="19" a="1"/>
  <c r="BI59" i="19" s="1"/>
  <c r="BG59" i="19" a="1"/>
  <c r="BG59" i="19" s="1"/>
  <c r="BE59" i="19" a="1"/>
  <c r="BE59" i="19" s="1"/>
  <c r="BC59" i="19" a="1"/>
  <c r="BC59" i="19" s="1"/>
  <c r="BA59" i="19" a="1"/>
  <c r="BA59" i="19" s="1"/>
  <c r="AY59" i="19" a="1"/>
  <c r="AY59" i="19" s="1"/>
  <c r="AW59" i="19" a="1"/>
  <c r="AW59" i="19" s="1"/>
  <c r="AU59" i="19" a="1"/>
  <c r="AU59" i="19" s="1"/>
  <c r="AS59" i="19" a="1"/>
  <c r="AS59" i="19" s="1"/>
  <c r="CB59" i="19" a="1"/>
  <c r="CB59" i="19" s="1"/>
  <c r="BZ59" i="19" a="1"/>
  <c r="BZ59" i="19" s="1"/>
  <c r="BX59" i="19" a="1"/>
  <c r="BX59" i="19" s="1"/>
  <c r="BV59" i="19" a="1"/>
  <c r="BV59" i="19" s="1"/>
  <c r="BT59" i="19" a="1"/>
  <c r="BT59" i="19" s="1"/>
  <c r="BR59" i="19" a="1"/>
  <c r="BR59" i="19" s="1"/>
  <c r="BP59" i="19" a="1"/>
  <c r="BP59" i="19" s="1"/>
  <c r="BJ59" i="19" a="1"/>
  <c r="BJ59" i="19" s="1"/>
  <c r="BH59" i="19" a="1"/>
  <c r="BH59" i="19" s="1"/>
  <c r="BF59" i="19" a="1"/>
  <c r="BF59" i="19" s="1"/>
  <c r="BD59" i="19" a="1"/>
  <c r="BD59" i="19" s="1"/>
  <c r="BB59" i="19" a="1"/>
  <c r="BB59" i="19" s="1"/>
  <c r="AZ59" i="19" a="1"/>
  <c r="AZ59" i="19" s="1"/>
  <c r="AX59" i="19" a="1"/>
  <c r="AX59" i="19" s="1"/>
  <c r="AV59" i="19" a="1"/>
  <c r="AV59" i="19" s="1"/>
  <c r="AT59" i="19" a="1"/>
  <c r="AT59" i="19" s="1"/>
  <c r="CA58" i="19" a="1"/>
  <c r="CA58" i="19" s="1"/>
  <c r="BY58" i="19" a="1"/>
  <c r="BY58" i="19" s="1"/>
  <c r="BW58" i="19" a="1"/>
  <c r="BW58" i="19" s="1"/>
  <c r="BU58" i="19" a="1"/>
  <c r="BU58" i="19" s="1"/>
  <c r="BS58" i="19" a="1"/>
  <c r="BS58" i="19" s="1"/>
  <c r="BQ58" i="19" a="1"/>
  <c r="BQ58" i="19" s="1"/>
  <c r="BK58" i="19" a="1"/>
  <c r="BK58" i="19" s="1"/>
  <c r="BI58" i="19" a="1"/>
  <c r="BI58" i="19" s="1"/>
  <c r="BG58" i="19" a="1"/>
  <c r="BG58" i="19" s="1"/>
  <c r="BE58" i="19" a="1"/>
  <c r="BE58" i="19" s="1"/>
  <c r="BC58" i="19" a="1"/>
  <c r="BC58" i="19" s="1"/>
  <c r="BA58" i="19" a="1"/>
  <c r="BA58" i="19" s="1"/>
  <c r="AY58" i="19" a="1"/>
  <c r="AY58" i="19" s="1"/>
  <c r="AW58" i="19" a="1"/>
  <c r="AW58" i="19" s="1"/>
  <c r="AU58" i="19" a="1"/>
  <c r="AU58" i="19" s="1"/>
  <c r="AS58" i="19" a="1"/>
  <c r="AS58" i="19" s="1"/>
  <c r="CB58" i="19" a="1"/>
  <c r="CB58" i="19" s="1"/>
  <c r="BZ58" i="19" a="1"/>
  <c r="BZ58" i="19" s="1"/>
  <c r="BX58" i="19" a="1"/>
  <c r="BX58" i="19" s="1"/>
  <c r="BV58" i="19" a="1"/>
  <c r="BV58" i="19" s="1"/>
  <c r="BT58" i="19" a="1"/>
  <c r="BT58" i="19" s="1"/>
  <c r="BR58" i="19" a="1"/>
  <c r="BR58" i="19" s="1"/>
  <c r="BP58" i="19" a="1"/>
  <c r="BP58" i="19" s="1"/>
  <c r="BJ58" i="19" a="1"/>
  <c r="BJ58" i="19" s="1"/>
  <c r="BH58" i="19" a="1"/>
  <c r="BH58" i="19" s="1"/>
  <c r="BF58" i="19" a="1"/>
  <c r="BF58" i="19" s="1"/>
  <c r="BD58" i="19" a="1"/>
  <c r="BD58" i="19" s="1"/>
  <c r="BB58" i="19" a="1"/>
  <c r="BB58" i="19" s="1"/>
  <c r="AZ58" i="19" a="1"/>
  <c r="AZ58" i="19" s="1"/>
  <c r="AX58" i="19" a="1"/>
  <c r="AX58" i="19" s="1"/>
  <c r="AV58" i="19" a="1"/>
  <c r="AV58" i="19" s="1"/>
  <c r="AT58" i="19" a="1"/>
  <c r="AT58" i="19" s="1"/>
  <c r="CA57" i="19" a="1"/>
  <c r="CA57" i="19" s="1"/>
  <c r="BY57" i="19" a="1"/>
  <c r="BY57" i="19" s="1"/>
  <c r="BW57" i="19" a="1"/>
  <c r="BW57" i="19" s="1"/>
  <c r="BU57" i="19" a="1"/>
  <c r="BU57" i="19" s="1"/>
  <c r="BS57" i="19" a="1"/>
  <c r="BS57" i="19" s="1"/>
  <c r="BQ57" i="19" a="1"/>
  <c r="BQ57" i="19" s="1"/>
  <c r="BK57" i="19" a="1"/>
  <c r="BK57" i="19" s="1"/>
  <c r="BI57" i="19" a="1"/>
  <c r="BI57" i="19" s="1"/>
  <c r="BG57" i="19" a="1"/>
  <c r="BG57" i="19" s="1"/>
  <c r="BE57" i="19" a="1"/>
  <c r="BE57" i="19" s="1"/>
  <c r="BC57" i="19" a="1"/>
  <c r="BC57" i="19" s="1"/>
  <c r="BA57" i="19" a="1"/>
  <c r="BA57" i="19" s="1"/>
  <c r="AY57" i="19" a="1"/>
  <c r="AY57" i="19" s="1"/>
  <c r="AW57" i="19" a="1"/>
  <c r="AW57" i="19" s="1"/>
  <c r="AU57" i="19" a="1"/>
  <c r="AU57" i="19" s="1"/>
  <c r="AS57" i="19" a="1"/>
  <c r="AS57" i="19" s="1"/>
  <c r="CB57" i="19" a="1"/>
  <c r="CB57" i="19" s="1"/>
  <c r="BZ57" i="19" a="1"/>
  <c r="BZ57" i="19" s="1"/>
  <c r="BX57" i="19" a="1"/>
  <c r="BX57" i="19" s="1"/>
  <c r="BV57" i="19" a="1"/>
  <c r="BV57" i="19" s="1"/>
  <c r="BT57" i="19" a="1"/>
  <c r="BT57" i="19" s="1"/>
  <c r="BR57" i="19" a="1"/>
  <c r="BR57" i="19" s="1"/>
  <c r="BP57" i="19" a="1"/>
  <c r="BP57" i="19" s="1"/>
  <c r="BJ57" i="19" a="1"/>
  <c r="BJ57" i="19" s="1"/>
  <c r="BH57" i="19" a="1"/>
  <c r="BH57" i="19" s="1"/>
  <c r="BF57" i="19" a="1"/>
  <c r="BF57" i="19" s="1"/>
  <c r="BD57" i="19" a="1"/>
  <c r="BD57" i="19" s="1"/>
  <c r="BB57" i="19" a="1"/>
  <c r="BB57" i="19" s="1"/>
  <c r="AZ57" i="19" a="1"/>
  <c r="AZ57" i="19" s="1"/>
  <c r="AX57" i="19" a="1"/>
  <c r="AX57" i="19" s="1"/>
  <c r="AV57" i="19" a="1"/>
  <c r="AV57" i="19" s="1"/>
  <c r="AT57" i="19" a="1"/>
  <c r="AT57" i="19" s="1"/>
  <c r="CA56" i="19" a="1"/>
  <c r="CA56" i="19" s="1"/>
  <c r="BY56" i="19" a="1"/>
  <c r="BY56" i="19" s="1"/>
  <c r="BW56" i="19" a="1"/>
  <c r="BW56" i="19" s="1"/>
  <c r="BU56" i="19" a="1"/>
  <c r="BU56" i="19" s="1"/>
  <c r="BS56" i="19" a="1"/>
  <c r="BS56" i="19" s="1"/>
  <c r="BQ56" i="19" a="1"/>
  <c r="BQ56" i="19" s="1"/>
  <c r="BK56" i="19" a="1"/>
  <c r="BK56" i="19" s="1"/>
  <c r="BI56" i="19" a="1"/>
  <c r="BI56" i="19" s="1"/>
  <c r="BG56" i="19" a="1"/>
  <c r="BG56" i="19" s="1"/>
  <c r="BE56" i="19" a="1"/>
  <c r="BE56" i="19" s="1"/>
  <c r="BC56" i="19" a="1"/>
  <c r="BC56" i="19" s="1"/>
  <c r="BA56" i="19" a="1"/>
  <c r="BA56" i="19" s="1"/>
  <c r="AY56" i="19" a="1"/>
  <c r="AY56" i="19" s="1"/>
  <c r="AW56" i="19" a="1"/>
  <c r="AW56" i="19" s="1"/>
  <c r="AU56" i="19" a="1"/>
  <c r="AU56" i="19" s="1"/>
  <c r="AS56" i="19" a="1"/>
  <c r="AS56" i="19" s="1"/>
  <c r="CB56" i="19" a="1"/>
  <c r="CB56" i="19" s="1"/>
  <c r="BZ56" i="19" a="1"/>
  <c r="BZ56" i="19" s="1"/>
  <c r="BX56" i="19" a="1"/>
  <c r="BX56" i="19" s="1"/>
  <c r="BV56" i="19" a="1"/>
  <c r="BV56" i="19" s="1"/>
  <c r="BT56" i="19" a="1"/>
  <c r="BT56" i="19" s="1"/>
  <c r="BR56" i="19" a="1"/>
  <c r="BR56" i="19" s="1"/>
  <c r="BP56" i="19" a="1"/>
  <c r="BP56" i="19" s="1"/>
  <c r="BJ56" i="19" a="1"/>
  <c r="BJ56" i="19" s="1"/>
  <c r="BH56" i="19" a="1"/>
  <c r="BH56" i="19" s="1"/>
  <c r="BF56" i="19" a="1"/>
  <c r="BF56" i="19" s="1"/>
  <c r="BD56" i="19" a="1"/>
  <c r="BD56" i="19" s="1"/>
  <c r="BB56" i="19" a="1"/>
  <c r="BB56" i="19" s="1"/>
  <c r="AZ56" i="19" a="1"/>
  <c r="AZ56" i="19" s="1"/>
  <c r="AX56" i="19" a="1"/>
  <c r="AX56" i="19" s="1"/>
  <c r="AV56" i="19" a="1"/>
  <c r="AV56" i="19" s="1"/>
  <c r="AT56" i="19" a="1"/>
  <c r="AT56" i="19" s="1"/>
  <c r="CA55" i="19" a="1"/>
  <c r="CA55" i="19" s="1"/>
  <c r="BY55" i="19" a="1"/>
  <c r="BY55" i="19" s="1"/>
  <c r="BW55" i="19" a="1"/>
  <c r="BW55" i="19" s="1"/>
  <c r="BU55" i="19" a="1"/>
  <c r="BU55" i="19" s="1"/>
  <c r="BS55" i="19" a="1"/>
  <c r="BS55" i="19" s="1"/>
  <c r="BQ55" i="19" a="1"/>
  <c r="BQ55" i="19" s="1"/>
  <c r="BK55" i="19" a="1"/>
  <c r="BK55" i="19" s="1"/>
  <c r="BI55" i="19" a="1"/>
  <c r="BI55" i="19" s="1"/>
  <c r="BG55" i="19" a="1"/>
  <c r="BG55" i="19" s="1"/>
  <c r="BE55" i="19" a="1"/>
  <c r="BE55" i="19" s="1"/>
  <c r="BC55" i="19" a="1"/>
  <c r="BC55" i="19" s="1"/>
  <c r="BA55" i="19" a="1"/>
  <c r="BA55" i="19" s="1"/>
  <c r="AY55" i="19" a="1"/>
  <c r="AY55" i="19" s="1"/>
  <c r="AW55" i="19" a="1"/>
  <c r="AW55" i="19" s="1"/>
  <c r="AU55" i="19" a="1"/>
  <c r="AU55" i="19" s="1"/>
  <c r="AS55" i="19" a="1"/>
  <c r="AS55" i="19" s="1"/>
  <c r="BB55" i="19" a="1"/>
  <c r="BB55" i="19" s="1"/>
  <c r="AX55" i="19" a="1"/>
  <c r="AX55" i="19" s="1"/>
  <c r="AT55" i="19" a="1"/>
  <c r="AT55" i="19" s="1"/>
  <c r="CB55" i="19" a="1"/>
  <c r="CB55" i="19" s="1"/>
  <c r="BZ55" i="19" a="1"/>
  <c r="BZ55" i="19" s="1"/>
  <c r="BX55" i="19" a="1"/>
  <c r="BX55" i="19" s="1"/>
  <c r="BV55" i="19" a="1"/>
  <c r="BV55" i="19" s="1"/>
  <c r="BT55" i="19" a="1"/>
  <c r="BT55" i="19" s="1"/>
  <c r="BR55" i="19" a="1"/>
  <c r="BR55" i="19" s="1"/>
  <c r="BP55" i="19" a="1"/>
  <c r="BP55" i="19" s="1"/>
  <c r="BJ55" i="19" a="1"/>
  <c r="BJ55" i="19" s="1"/>
  <c r="BH55" i="19" a="1"/>
  <c r="BH55" i="19" s="1"/>
  <c r="BF55" i="19" a="1"/>
  <c r="BF55" i="19" s="1"/>
  <c r="BD55" i="19" a="1"/>
  <c r="BD55" i="19" s="1"/>
  <c r="AZ55" i="19" a="1"/>
  <c r="AZ55" i="19" s="1"/>
  <c r="AV55" i="19" a="1"/>
  <c r="AV55" i="19" s="1"/>
  <c r="CA54" i="19" a="1"/>
  <c r="CA54" i="19" s="1"/>
  <c r="BY54" i="19" a="1"/>
  <c r="BY54" i="19" s="1"/>
  <c r="BW54" i="19" a="1"/>
  <c r="BW54" i="19" s="1"/>
  <c r="BU54" i="19" a="1"/>
  <c r="BU54" i="19" s="1"/>
  <c r="BS54" i="19" a="1"/>
  <c r="BS54" i="19" s="1"/>
  <c r="BQ54" i="19" a="1"/>
  <c r="BQ54" i="19" s="1"/>
  <c r="BK54" i="19" a="1"/>
  <c r="BK54" i="19" s="1"/>
  <c r="BI54" i="19" a="1"/>
  <c r="BI54" i="19" s="1"/>
  <c r="BG54" i="19" a="1"/>
  <c r="BG54" i="19" s="1"/>
  <c r="BE54" i="19" a="1"/>
  <c r="BE54" i="19" s="1"/>
  <c r="BC54" i="19" a="1"/>
  <c r="BC54" i="19" s="1"/>
  <c r="BA54" i="19" a="1"/>
  <c r="BA54" i="19" s="1"/>
  <c r="AY54" i="19" a="1"/>
  <c r="AY54" i="19" s="1"/>
  <c r="AW54" i="19" a="1"/>
  <c r="AW54" i="19" s="1"/>
  <c r="AU54" i="19" a="1"/>
  <c r="AU54" i="19" s="1"/>
  <c r="AS54" i="19" a="1"/>
  <c r="AS54" i="19" s="1"/>
  <c r="CB54" i="19" a="1"/>
  <c r="CB54" i="19" s="1"/>
  <c r="BZ54" i="19" a="1"/>
  <c r="BZ54" i="19" s="1"/>
  <c r="BX54" i="19" a="1"/>
  <c r="BX54" i="19" s="1"/>
  <c r="BV54" i="19" a="1"/>
  <c r="BV54" i="19" s="1"/>
  <c r="BT54" i="19" a="1"/>
  <c r="BT54" i="19" s="1"/>
  <c r="BR54" i="19" a="1"/>
  <c r="BR54" i="19" s="1"/>
  <c r="BP54" i="19" a="1"/>
  <c r="BP54" i="19" s="1"/>
  <c r="BJ54" i="19" a="1"/>
  <c r="BJ54" i="19" s="1"/>
  <c r="BH54" i="19" a="1"/>
  <c r="BH54" i="19" s="1"/>
  <c r="BF54" i="19" a="1"/>
  <c r="BF54" i="19" s="1"/>
  <c r="BD54" i="19" a="1"/>
  <c r="BD54" i="19" s="1"/>
  <c r="BB54" i="19" a="1"/>
  <c r="BB54" i="19" s="1"/>
  <c r="AZ54" i="19" a="1"/>
  <c r="AZ54" i="19" s="1"/>
  <c r="AX54" i="19" a="1"/>
  <c r="AX54" i="19" s="1"/>
  <c r="AV54" i="19" a="1"/>
  <c r="AV54" i="19" s="1"/>
  <c r="AT54" i="19" a="1"/>
  <c r="AT54" i="19" s="1"/>
  <c r="CA53" i="19" a="1"/>
  <c r="CA53" i="19" s="1"/>
  <c r="BY53" i="19" a="1"/>
  <c r="BY53" i="19" s="1"/>
  <c r="BW53" i="19" a="1"/>
  <c r="BW53" i="19" s="1"/>
  <c r="BU53" i="19" a="1"/>
  <c r="BU53" i="19" s="1"/>
  <c r="BS53" i="19" a="1"/>
  <c r="BS53" i="19" s="1"/>
  <c r="BQ53" i="19" a="1"/>
  <c r="BQ53" i="19" s="1"/>
  <c r="BK53" i="19" a="1"/>
  <c r="BK53" i="19" s="1"/>
  <c r="BI53" i="19" a="1"/>
  <c r="BI53" i="19" s="1"/>
  <c r="BG53" i="19" a="1"/>
  <c r="BG53" i="19" s="1"/>
  <c r="BE53" i="19" a="1"/>
  <c r="BE53" i="19" s="1"/>
  <c r="BC53" i="19" a="1"/>
  <c r="BC53" i="19" s="1"/>
  <c r="BA53" i="19" a="1"/>
  <c r="BA53" i="19" s="1"/>
  <c r="AY53" i="19" a="1"/>
  <c r="AY53" i="19" s="1"/>
  <c r="AW53" i="19" a="1"/>
  <c r="AW53" i="19" s="1"/>
  <c r="AU53" i="19" a="1"/>
  <c r="AU53" i="19" s="1"/>
  <c r="AS53" i="19" a="1"/>
  <c r="AS53" i="19" s="1"/>
  <c r="CB53" i="19" a="1"/>
  <c r="CB53" i="19" s="1"/>
  <c r="BZ53" i="19" a="1"/>
  <c r="BZ53" i="19" s="1"/>
  <c r="BX53" i="19" a="1"/>
  <c r="BX53" i="19" s="1"/>
  <c r="BV53" i="19" a="1"/>
  <c r="BV53" i="19" s="1"/>
  <c r="BT53" i="19" a="1"/>
  <c r="BT53" i="19" s="1"/>
  <c r="BR53" i="19" a="1"/>
  <c r="BR53" i="19" s="1"/>
  <c r="BP53" i="19" a="1"/>
  <c r="BP53" i="19" s="1"/>
  <c r="BJ53" i="19" a="1"/>
  <c r="BJ53" i="19" s="1"/>
  <c r="BH53" i="19" a="1"/>
  <c r="BH53" i="19" s="1"/>
  <c r="BF53" i="19" a="1"/>
  <c r="BF53" i="19" s="1"/>
  <c r="BD53" i="19" a="1"/>
  <c r="BD53" i="19" s="1"/>
  <c r="BB53" i="19" a="1"/>
  <c r="BB53" i="19" s="1"/>
  <c r="AZ53" i="19" a="1"/>
  <c r="AZ53" i="19" s="1"/>
  <c r="AX53" i="19" a="1"/>
  <c r="AX53" i="19" s="1"/>
  <c r="AV53" i="19" a="1"/>
  <c r="AV53" i="19" s="1"/>
  <c r="AT53" i="19" a="1"/>
  <c r="AT53" i="19" s="1"/>
  <c r="CA52" i="19" a="1"/>
  <c r="CA52" i="19" s="1"/>
  <c r="BY52" i="19" a="1"/>
  <c r="BY52" i="19" s="1"/>
  <c r="BW52" i="19" a="1"/>
  <c r="BW52" i="19" s="1"/>
  <c r="BU52" i="19" a="1"/>
  <c r="BU52" i="19" s="1"/>
  <c r="BS52" i="19" a="1"/>
  <c r="BS52" i="19" s="1"/>
  <c r="BQ52" i="19" a="1"/>
  <c r="BQ52" i="19" s="1"/>
  <c r="BK52" i="19" a="1"/>
  <c r="BK52" i="19" s="1"/>
  <c r="BI52" i="19" a="1"/>
  <c r="BI52" i="19" s="1"/>
  <c r="BG52" i="19" a="1"/>
  <c r="BG52" i="19" s="1"/>
  <c r="BE52" i="19" a="1"/>
  <c r="BE52" i="19" s="1"/>
  <c r="BC52" i="19" a="1"/>
  <c r="BC52" i="19" s="1"/>
  <c r="BA52" i="19" a="1"/>
  <c r="BA52" i="19" s="1"/>
  <c r="AY52" i="19" a="1"/>
  <c r="AY52" i="19" s="1"/>
  <c r="AW52" i="19" a="1"/>
  <c r="AW52" i="19" s="1"/>
  <c r="AU52" i="19" a="1"/>
  <c r="AU52" i="19" s="1"/>
  <c r="AS52" i="19" a="1"/>
  <c r="AS52" i="19" s="1"/>
  <c r="BV52" i="19" a="1"/>
  <c r="BV52" i="19" s="1"/>
  <c r="BR52" i="19" a="1"/>
  <c r="BR52" i="19" s="1"/>
  <c r="BJ52" i="19" a="1"/>
  <c r="BJ52" i="19" s="1"/>
  <c r="BF52" i="19" a="1"/>
  <c r="BF52" i="19" s="1"/>
  <c r="BB52" i="19" a="1"/>
  <c r="BB52" i="19" s="1"/>
  <c r="AX52" i="19" a="1"/>
  <c r="AX52" i="19" s="1"/>
  <c r="AT52" i="19" a="1"/>
  <c r="AT52" i="19" s="1"/>
  <c r="CB52" i="19" a="1"/>
  <c r="CB52" i="19" s="1"/>
  <c r="BZ52" i="19" a="1"/>
  <c r="BZ52" i="19" s="1"/>
  <c r="BX52" i="19" a="1"/>
  <c r="BX52" i="19" s="1"/>
  <c r="BT52" i="19" a="1"/>
  <c r="BT52" i="19" s="1"/>
  <c r="BP52" i="19" a="1"/>
  <c r="BP52" i="19" s="1"/>
  <c r="BH52" i="19" a="1"/>
  <c r="BH52" i="19" s="1"/>
  <c r="BD52" i="19" a="1"/>
  <c r="BD52" i="19" s="1"/>
  <c r="AZ52" i="19" a="1"/>
  <c r="AZ52" i="19" s="1"/>
  <c r="AV52" i="19" a="1"/>
  <c r="AV52" i="19" s="1"/>
  <c r="CA51" i="19" a="1"/>
  <c r="CA51" i="19" s="1"/>
  <c r="BY51" i="19" a="1"/>
  <c r="BY51" i="19" s="1"/>
  <c r="BW51" i="19" a="1"/>
  <c r="BW51" i="19" s="1"/>
  <c r="BU51" i="19" a="1"/>
  <c r="BU51" i="19" s="1"/>
  <c r="BS51" i="19" a="1"/>
  <c r="BS51" i="19" s="1"/>
  <c r="BQ51" i="19" a="1"/>
  <c r="BQ51" i="19" s="1"/>
  <c r="BK51" i="19" a="1"/>
  <c r="BK51" i="19" s="1"/>
  <c r="BI51" i="19" a="1"/>
  <c r="BI51" i="19" s="1"/>
  <c r="BG51" i="19" a="1"/>
  <c r="BG51" i="19" s="1"/>
  <c r="BE51" i="19" a="1"/>
  <c r="BE51" i="19" s="1"/>
  <c r="BC51" i="19" a="1"/>
  <c r="BC51" i="19" s="1"/>
  <c r="BA51" i="19" a="1"/>
  <c r="BA51" i="19" s="1"/>
  <c r="AY51" i="19" a="1"/>
  <c r="AY51" i="19" s="1"/>
  <c r="AW51" i="19" a="1"/>
  <c r="AW51" i="19" s="1"/>
  <c r="AU51" i="19" a="1"/>
  <c r="AU51" i="19" s="1"/>
  <c r="AS51" i="19" a="1"/>
  <c r="AS51" i="19" s="1"/>
  <c r="CB51" i="19" a="1"/>
  <c r="CB51" i="19" s="1"/>
  <c r="BZ51" i="19" a="1"/>
  <c r="BZ51" i="19" s="1"/>
  <c r="BX51" i="19" a="1"/>
  <c r="BX51" i="19" s="1"/>
  <c r="BV51" i="19" a="1"/>
  <c r="BV51" i="19" s="1"/>
  <c r="BT51" i="19" a="1"/>
  <c r="BT51" i="19" s="1"/>
  <c r="BR51" i="19" a="1"/>
  <c r="BR51" i="19" s="1"/>
  <c r="BP51" i="19" a="1"/>
  <c r="BP51" i="19" s="1"/>
  <c r="BJ51" i="19" a="1"/>
  <c r="BJ51" i="19" s="1"/>
  <c r="BH51" i="19" a="1"/>
  <c r="BH51" i="19" s="1"/>
  <c r="BF51" i="19" a="1"/>
  <c r="BF51" i="19" s="1"/>
  <c r="BD51" i="19" a="1"/>
  <c r="BD51" i="19" s="1"/>
  <c r="BB51" i="19" a="1"/>
  <c r="BB51" i="19" s="1"/>
  <c r="AZ51" i="19" a="1"/>
  <c r="AZ51" i="19" s="1"/>
  <c r="AX51" i="19" a="1"/>
  <c r="AX51" i="19" s="1"/>
  <c r="AV51" i="19" a="1"/>
  <c r="AV51" i="19" s="1"/>
  <c r="AT51" i="19" a="1"/>
  <c r="AT51" i="19" s="1"/>
  <c r="CA50" i="19" a="1"/>
  <c r="CA50" i="19" s="1"/>
  <c r="BY50" i="19" a="1"/>
  <c r="BY50" i="19" s="1"/>
  <c r="BW50" i="19" a="1"/>
  <c r="BW50" i="19" s="1"/>
  <c r="BU50" i="19" a="1"/>
  <c r="BU50" i="19" s="1"/>
  <c r="BS50" i="19" a="1"/>
  <c r="BS50" i="19" s="1"/>
  <c r="BQ50" i="19" a="1"/>
  <c r="BQ50" i="19" s="1"/>
  <c r="BK50" i="19" a="1"/>
  <c r="BK50" i="19" s="1"/>
  <c r="BI50" i="19" a="1"/>
  <c r="BI50" i="19" s="1"/>
  <c r="BG50" i="19" a="1"/>
  <c r="BG50" i="19" s="1"/>
  <c r="BE50" i="19" a="1"/>
  <c r="BE50" i="19" s="1"/>
  <c r="BC50" i="19" a="1"/>
  <c r="BC50" i="19" s="1"/>
  <c r="BA50" i="19" a="1"/>
  <c r="BA50" i="19" s="1"/>
  <c r="AY50" i="19" a="1"/>
  <c r="AY50" i="19" s="1"/>
  <c r="AW50" i="19" a="1"/>
  <c r="AW50" i="19" s="1"/>
  <c r="AU50" i="19" a="1"/>
  <c r="AU50" i="19" s="1"/>
  <c r="AS50" i="19" a="1"/>
  <c r="AS50" i="19" s="1"/>
  <c r="CB50" i="19" a="1"/>
  <c r="CB50" i="19" s="1"/>
  <c r="BZ50" i="19" a="1"/>
  <c r="BZ50" i="19" s="1"/>
  <c r="BX50" i="19" a="1"/>
  <c r="BX50" i="19" s="1"/>
  <c r="BV50" i="19" a="1"/>
  <c r="BV50" i="19" s="1"/>
  <c r="BT50" i="19" a="1"/>
  <c r="BT50" i="19" s="1"/>
  <c r="BR50" i="19" a="1"/>
  <c r="BR50" i="19" s="1"/>
  <c r="BP50" i="19" a="1"/>
  <c r="BP50" i="19" s="1"/>
  <c r="BJ50" i="19" a="1"/>
  <c r="BJ50" i="19" s="1"/>
  <c r="BH50" i="19" a="1"/>
  <c r="BH50" i="19" s="1"/>
  <c r="BF50" i="19" a="1"/>
  <c r="BF50" i="19" s="1"/>
  <c r="BD50" i="19" a="1"/>
  <c r="BD50" i="19" s="1"/>
  <c r="BB50" i="19" a="1"/>
  <c r="BB50" i="19" s="1"/>
  <c r="AZ50" i="19" a="1"/>
  <c r="AZ50" i="19" s="1"/>
  <c r="AX50" i="19" a="1"/>
  <c r="AX50" i="19" s="1"/>
  <c r="AV50" i="19" a="1"/>
  <c r="AV50" i="19" s="1"/>
  <c r="AT50" i="19" a="1"/>
  <c r="AT50" i="19" s="1"/>
  <c r="CA49" i="19" a="1"/>
  <c r="CA49" i="19" s="1"/>
  <c r="BY49" i="19" a="1"/>
  <c r="BY49" i="19" s="1"/>
  <c r="BW49" i="19" a="1"/>
  <c r="BW49" i="19" s="1"/>
  <c r="BU49" i="19" a="1"/>
  <c r="BU49" i="19" s="1"/>
  <c r="BS49" i="19" a="1"/>
  <c r="BS49" i="19" s="1"/>
  <c r="BQ49" i="19" a="1"/>
  <c r="BQ49" i="19" s="1"/>
  <c r="BK49" i="19" a="1"/>
  <c r="BK49" i="19" s="1"/>
  <c r="BI49" i="19" a="1"/>
  <c r="BI49" i="19" s="1"/>
  <c r="BG49" i="19" a="1"/>
  <c r="BG49" i="19" s="1"/>
  <c r="BE49" i="19" a="1"/>
  <c r="BE49" i="19" s="1"/>
  <c r="BC49" i="19" a="1"/>
  <c r="BC49" i="19" s="1"/>
  <c r="BA49" i="19" a="1"/>
  <c r="BA49" i="19" s="1"/>
  <c r="AY49" i="19" a="1"/>
  <c r="AY49" i="19" s="1"/>
  <c r="AW49" i="19" a="1"/>
  <c r="AW49" i="19" s="1"/>
  <c r="AU49" i="19" a="1"/>
  <c r="AU49" i="19" s="1"/>
  <c r="AS49" i="19" a="1"/>
  <c r="AS49" i="19" s="1"/>
  <c r="CB49" i="19" a="1"/>
  <c r="CB49" i="19" s="1"/>
  <c r="BZ49" i="19" a="1"/>
  <c r="BZ49" i="19" s="1"/>
  <c r="BX49" i="19" a="1"/>
  <c r="BX49" i="19" s="1"/>
  <c r="BV49" i="19" a="1"/>
  <c r="BV49" i="19" s="1"/>
  <c r="BT49" i="19" a="1"/>
  <c r="BT49" i="19" s="1"/>
  <c r="BR49" i="19" a="1"/>
  <c r="BR49" i="19" s="1"/>
  <c r="BP49" i="19" a="1"/>
  <c r="BP49" i="19" s="1"/>
  <c r="BJ49" i="19" a="1"/>
  <c r="BJ49" i="19" s="1"/>
  <c r="BH49" i="19" a="1"/>
  <c r="BH49" i="19" s="1"/>
  <c r="BF49" i="19" a="1"/>
  <c r="BF49" i="19" s="1"/>
  <c r="BD49" i="19" a="1"/>
  <c r="BD49" i="19" s="1"/>
  <c r="BB49" i="19" a="1"/>
  <c r="BB49" i="19" s="1"/>
  <c r="AZ49" i="19" a="1"/>
  <c r="AZ49" i="19" s="1"/>
  <c r="AX49" i="19" a="1"/>
  <c r="AX49" i="19" s="1"/>
  <c r="AV49" i="19" a="1"/>
  <c r="AV49" i="19" s="1"/>
  <c r="AT49" i="19" a="1"/>
  <c r="AT49" i="19" s="1"/>
  <c r="CA48" i="19" a="1"/>
  <c r="CA48" i="19" s="1"/>
  <c r="BY48" i="19" a="1"/>
  <c r="BY48" i="19" s="1"/>
  <c r="BW48" i="19" a="1"/>
  <c r="BW48" i="19" s="1"/>
  <c r="BU48" i="19" a="1"/>
  <c r="BU48" i="19" s="1"/>
  <c r="BS48" i="19" a="1"/>
  <c r="BS48" i="19" s="1"/>
  <c r="BQ48" i="19" a="1"/>
  <c r="BQ48" i="19" s="1"/>
  <c r="BK48" i="19" a="1"/>
  <c r="BK48" i="19" s="1"/>
  <c r="BI48" i="19" a="1"/>
  <c r="BI48" i="19" s="1"/>
  <c r="BG48" i="19" a="1"/>
  <c r="BG48" i="19" s="1"/>
  <c r="BE48" i="19" a="1"/>
  <c r="BE48" i="19" s="1"/>
  <c r="BC48" i="19" a="1"/>
  <c r="BC48" i="19" s="1"/>
  <c r="BA48" i="19" a="1"/>
  <c r="BA48" i="19" s="1"/>
  <c r="AY48" i="19" a="1"/>
  <c r="AY48" i="19" s="1"/>
  <c r="AW48" i="19" a="1"/>
  <c r="AW48" i="19" s="1"/>
  <c r="AU48" i="19" a="1"/>
  <c r="AU48" i="19" s="1"/>
  <c r="AS48" i="19" a="1"/>
  <c r="AS48" i="19" s="1"/>
  <c r="CB48" i="19" a="1"/>
  <c r="CB48" i="19" s="1"/>
  <c r="BZ48" i="19" a="1"/>
  <c r="BZ48" i="19" s="1"/>
  <c r="BX48" i="19" a="1"/>
  <c r="BX48" i="19" s="1"/>
  <c r="BV48" i="19" a="1"/>
  <c r="BV48" i="19" s="1"/>
  <c r="BT48" i="19" a="1"/>
  <c r="BT48" i="19" s="1"/>
  <c r="BR48" i="19" a="1"/>
  <c r="BR48" i="19" s="1"/>
  <c r="BP48" i="19" a="1"/>
  <c r="BP48" i="19" s="1"/>
  <c r="BJ48" i="19" a="1"/>
  <c r="BJ48" i="19" s="1"/>
  <c r="BH48" i="19" a="1"/>
  <c r="BH48" i="19" s="1"/>
  <c r="BF48" i="19" a="1"/>
  <c r="BF48" i="19" s="1"/>
  <c r="BD48" i="19" a="1"/>
  <c r="BD48" i="19" s="1"/>
  <c r="BB48" i="19" a="1"/>
  <c r="BB48" i="19" s="1"/>
  <c r="AZ48" i="19" a="1"/>
  <c r="AZ48" i="19" s="1"/>
  <c r="AX48" i="19" a="1"/>
  <c r="AX48" i="19" s="1"/>
  <c r="AV48" i="19" a="1"/>
  <c r="AV48" i="19" s="1"/>
  <c r="AT48" i="19" a="1"/>
  <c r="AT48" i="19" s="1"/>
  <c r="CA47" i="19" a="1"/>
  <c r="CA47" i="19" s="1"/>
  <c r="BY47" i="19" a="1"/>
  <c r="BY47" i="19" s="1"/>
  <c r="BW47" i="19" a="1"/>
  <c r="BW47" i="19" s="1"/>
  <c r="BU47" i="19" a="1"/>
  <c r="BU47" i="19" s="1"/>
  <c r="BS47" i="19" a="1"/>
  <c r="BS47" i="19" s="1"/>
  <c r="BQ47" i="19" a="1"/>
  <c r="BQ47" i="19" s="1"/>
  <c r="BK47" i="19" a="1"/>
  <c r="BK47" i="19" s="1"/>
  <c r="BI47" i="19" a="1"/>
  <c r="BI47" i="19" s="1"/>
  <c r="BG47" i="19" a="1"/>
  <c r="BG47" i="19" s="1"/>
  <c r="BE47" i="19" a="1"/>
  <c r="BE47" i="19" s="1"/>
  <c r="BC47" i="19" a="1"/>
  <c r="BC47" i="19" s="1"/>
  <c r="BA47" i="19" a="1"/>
  <c r="BA47" i="19" s="1"/>
  <c r="AY47" i="19" a="1"/>
  <c r="AY47" i="19" s="1"/>
  <c r="AW47" i="19" a="1"/>
  <c r="AW47" i="19" s="1"/>
  <c r="AU47" i="19" a="1"/>
  <c r="AU47" i="19" s="1"/>
  <c r="AS47" i="19" a="1"/>
  <c r="AS47" i="19" s="1"/>
  <c r="CB47" i="19" a="1"/>
  <c r="CB47" i="19" s="1"/>
  <c r="BZ47" i="19" a="1"/>
  <c r="BZ47" i="19" s="1"/>
  <c r="BX47" i="19" a="1"/>
  <c r="BX47" i="19" s="1"/>
  <c r="BV47" i="19" a="1"/>
  <c r="BV47" i="19" s="1"/>
  <c r="BT47" i="19" a="1"/>
  <c r="BT47" i="19" s="1"/>
  <c r="BR47" i="19" a="1"/>
  <c r="BR47" i="19" s="1"/>
  <c r="BP47" i="19" a="1"/>
  <c r="BP47" i="19" s="1"/>
  <c r="BJ47" i="19" a="1"/>
  <c r="BJ47" i="19" s="1"/>
  <c r="BH47" i="19" a="1"/>
  <c r="BH47" i="19" s="1"/>
  <c r="BF47" i="19" a="1"/>
  <c r="BF47" i="19" s="1"/>
  <c r="BD47" i="19" a="1"/>
  <c r="BD47" i="19" s="1"/>
  <c r="BB47" i="19" a="1"/>
  <c r="BB47" i="19" s="1"/>
  <c r="AZ47" i="19" a="1"/>
  <c r="AZ47" i="19" s="1"/>
  <c r="AX47" i="19" a="1"/>
  <c r="AX47" i="19" s="1"/>
  <c r="AV47" i="19" a="1"/>
  <c r="AV47" i="19" s="1"/>
  <c r="AT47" i="19" a="1"/>
  <c r="AT47" i="19" s="1"/>
  <c r="CA46" i="19" a="1"/>
  <c r="CA46" i="19" s="1"/>
  <c r="BY46" i="19" a="1"/>
  <c r="BY46" i="19" s="1"/>
  <c r="BW46" i="19" a="1"/>
  <c r="BW46" i="19" s="1"/>
  <c r="BU46" i="19" a="1"/>
  <c r="BU46" i="19" s="1"/>
  <c r="BS46" i="19" a="1"/>
  <c r="BS46" i="19" s="1"/>
  <c r="BQ46" i="19" a="1"/>
  <c r="BQ46" i="19" s="1"/>
  <c r="BK46" i="19" a="1"/>
  <c r="BK46" i="19" s="1"/>
  <c r="BI46" i="19" a="1"/>
  <c r="BI46" i="19" s="1"/>
  <c r="BG46" i="19" a="1"/>
  <c r="BG46" i="19" s="1"/>
  <c r="BE46" i="19" a="1"/>
  <c r="BE46" i="19" s="1"/>
  <c r="BC46" i="19" a="1"/>
  <c r="BC46" i="19" s="1"/>
  <c r="BA46" i="19" a="1"/>
  <c r="BA46" i="19" s="1"/>
  <c r="AY46" i="19" a="1"/>
  <c r="AY46" i="19" s="1"/>
  <c r="AW46" i="19" a="1"/>
  <c r="AW46" i="19" s="1"/>
  <c r="AU46" i="19" a="1"/>
  <c r="AU46" i="19" s="1"/>
  <c r="AS46" i="19" a="1"/>
  <c r="AS46" i="19" s="1"/>
  <c r="CB46" i="19" a="1"/>
  <c r="CB46" i="19" s="1"/>
  <c r="BZ46" i="19" a="1"/>
  <c r="BZ46" i="19" s="1"/>
  <c r="BX46" i="19" a="1"/>
  <c r="BX46" i="19" s="1"/>
  <c r="BV46" i="19" a="1"/>
  <c r="BV46" i="19" s="1"/>
  <c r="BT46" i="19" a="1"/>
  <c r="BT46" i="19" s="1"/>
  <c r="BR46" i="19" a="1"/>
  <c r="BR46" i="19" s="1"/>
  <c r="BP46" i="19" a="1"/>
  <c r="BP46" i="19" s="1"/>
  <c r="BJ46" i="19" a="1"/>
  <c r="BJ46" i="19" s="1"/>
  <c r="BH46" i="19" a="1"/>
  <c r="BH46" i="19" s="1"/>
  <c r="BF46" i="19" a="1"/>
  <c r="BF46" i="19" s="1"/>
  <c r="BD46" i="19" a="1"/>
  <c r="BD46" i="19" s="1"/>
  <c r="BB46" i="19" a="1"/>
  <c r="BB46" i="19" s="1"/>
  <c r="AZ46" i="19" a="1"/>
  <c r="AZ46" i="19" s="1"/>
  <c r="AX46" i="19" a="1"/>
  <c r="AX46" i="19" s="1"/>
  <c r="AV46" i="19" a="1"/>
  <c r="AV46" i="19" s="1"/>
  <c r="AT46" i="19" a="1"/>
  <c r="AT46" i="19" s="1"/>
  <c r="CA45" i="19" a="1"/>
  <c r="CA45" i="19" s="1"/>
  <c r="BY45" i="19" a="1"/>
  <c r="BY45" i="19" s="1"/>
  <c r="BW45" i="19" a="1"/>
  <c r="BW45" i="19" s="1"/>
  <c r="BU45" i="19" a="1"/>
  <c r="BU45" i="19" s="1"/>
  <c r="BS45" i="19" a="1"/>
  <c r="BS45" i="19" s="1"/>
  <c r="BQ45" i="19" a="1"/>
  <c r="BQ45" i="19" s="1"/>
  <c r="BK45" i="19" a="1"/>
  <c r="BK45" i="19" s="1"/>
  <c r="BI45" i="19" a="1"/>
  <c r="BI45" i="19" s="1"/>
  <c r="BG45" i="19" a="1"/>
  <c r="BG45" i="19" s="1"/>
  <c r="BE45" i="19" a="1"/>
  <c r="BE45" i="19" s="1"/>
  <c r="BC45" i="19" a="1"/>
  <c r="BC45" i="19" s="1"/>
  <c r="BA45" i="19" a="1"/>
  <c r="BA45" i="19" s="1"/>
  <c r="AY45" i="19" a="1"/>
  <c r="AY45" i="19" s="1"/>
  <c r="AW45" i="19" a="1"/>
  <c r="AW45" i="19" s="1"/>
  <c r="AU45" i="19" a="1"/>
  <c r="AU45" i="19" s="1"/>
  <c r="AS45" i="19" a="1"/>
  <c r="AS45" i="19" s="1"/>
  <c r="CB45" i="19" a="1"/>
  <c r="CB45" i="19" s="1"/>
  <c r="BZ45" i="19" a="1"/>
  <c r="BZ45" i="19" s="1"/>
  <c r="BX45" i="19" a="1"/>
  <c r="BX45" i="19" s="1"/>
  <c r="BV45" i="19" a="1"/>
  <c r="BV45" i="19" s="1"/>
  <c r="BT45" i="19" a="1"/>
  <c r="BT45" i="19" s="1"/>
  <c r="BR45" i="19" a="1"/>
  <c r="BR45" i="19" s="1"/>
  <c r="BP45" i="19" a="1"/>
  <c r="BP45" i="19" s="1"/>
  <c r="BJ45" i="19" a="1"/>
  <c r="BJ45" i="19" s="1"/>
  <c r="BH45" i="19" a="1"/>
  <c r="BH45" i="19" s="1"/>
  <c r="BF45" i="19" a="1"/>
  <c r="BF45" i="19" s="1"/>
  <c r="BD45" i="19" a="1"/>
  <c r="BD45" i="19" s="1"/>
  <c r="BB45" i="19" a="1"/>
  <c r="BB45" i="19" s="1"/>
  <c r="AZ45" i="19" a="1"/>
  <c r="AZ45" i="19" s="1"/>
  <c r="AX45" i="19" a="1"/>
  <c r="AX45" i="19" s="1"/>
  <c r="AV45" i="19" a="1"/>
  <c r="AV45" i="19" s="1"/>
  <c r="AT45" i="19" a="1"/>
  <c r="AT45" i="19" s="1"/>
  <c r="CA44" i="19" a="1"/>
  <c r="CA44" i="19" s="1"/>
  <c r="BY44" i="19" a="1"/>
  <c r="BY44" i="19" s="1"/>
  <c r="BW44" i="19" a="1"/>
  <c r="BW44" i="19" s="1"/>
  <c r="BU44" i="19" a="1"/>
  <c r="BU44" i="19" s="1"/>
  <c r="BS44" i="19" a="1"/>
  <c r="BS44" i="19" s="1"/>
  <c r="BQ44" i="19" a="1"/>
  <c r="BQ44" i="19" s="1"/>
  <c r="BK44" i="19" a="1"/>
  <c r="BK44" i="19" s="1"/>
  <c r="BI44" i="19" a="1"/>
  <c r="BI44" i="19" s="1"/>
  <c r="BG44" i="19" a="1"/>
  <c r="BG44" i="19" s="1"/>
  <c r="BE44" i="19" a="1"/>
  <c r="BE44" i="19" s="1"/>
  <c r="BC44" i="19" a="1"/>
  <c r="BC44" i="19" s="1"/>
  <c r="BA44" i="19" a="1"/>
  <c r="BA44" i="19" s="1"/>
  <c r="AY44" i="19" a="1"/>
  <c r="AY44" i="19" s="1"/>
  <c r="AW44" i="19" a="1"/>
  <c r="AW44" i="19" s="1"/>
  <c r="AU44" i="19" a="1"/>
  <c r="AU44" i="19" s="1"/>
  <c r="AS44" i="19" a="1"/>
  <c r="AS44" i="19" s="1"/>
  <c r="CB44" i="19" a="1"/>
  <c r="CB44" i="19" s="1"/>
  <c r="BZ44" i="19" a="1"/>
  <c r="BZ44" i="19" s="1"/>
  <c r="BX44" i="19" a="1"/>
  <c r="BX44" i="19" s="1"/>
  <c r="BV44" i="19" a="1"/>
  <c r="BV44" i="19" s="1"/>
  <c r="BT44" i="19" a="1"/>
  <c r="BT44" i="19" s="1"/>
  <c r="BR44" i="19" a="1"/>
  <c r="BR44" i="19" s="1"/>
  <c r="BP44" i="19" a="1"/>
  <c r="BP44" i="19" s="1"/>
  <c r="BJ44" i="19" a="1"/>
  <c r="BJ44" i="19" s="1"/>
  <c r="BH44" i="19" a="1"/>
  <c r="BH44" i="19" s="1"/>
  <c r="BF44" i="19" a="1"/>
  <c r="BF44" i="19" s="1"/>
  <c r="BD44" i="19" a="1"/>
  <c r="BD44" i="19" s="1"/>
  <c r="BB44" i="19" a="1"/>
  <c r="BB44" i="19" s="1"/>
  <c r="AZ44" i="19" a="1"/>
  <c r="AZ44" i="19" s="1"/>
  <c r="AX44" i="19" a="1"/>
  <c r="AX44" i="19" s="1"/>
  <c r="AV44" i="19" a="1"/>
  <c r="AV44" i="19" s="1"/>
  <c r="AT44" i="19" a="1"/>
  <c r="AT44" i="19" s="1"/>
  <c r="CA43" i="19" a="1"/>
  <c r="CA43" i="19" s="1"/>
  <c r="BY43" i="19" a="1"/>
  <c r="BY43" i="19" s="1"/>
  <c r="BW43" i="19" a="1"/>
  <c r="BW43" i="19" s="1"/>
  <c r="BU43" i="19" a="1"/>
  <c r="BU43" i="19" s="1"/>
  <c r="BS43" i="19" a="1"/>
  <c r="BS43" i="19" s="1"/>
  <c r="BQ43" i="19" a="1"/>
  <c r="BQ43" i="19" s="1"/>
  <c r="BK43" i="19" a="1"/>
  <c r="BK43" i="19" s="1"/>
  <c r="BI43" i="19" a="1"/>
  <c r="BI43" i="19" s="1"/>
  <c r="BG43" i="19" a="1"/>
  <c r="BG43" i="19" s="1"/>
  <c r="BE43" i="19" a="1"/>
  <c r="BE43" i="19" s="1"/>
  <c r="BC43" i="19" a="1"/>
  <c r="BC43" i="19" s="1"/>
  <c r="BA43" i="19" a="1"/>
  <c r="BA43" i="19" s="1"/>
  <c r="AY43" i="19" a="1"/>
  <c r="AY43" i="19" s="1"/>
  <c r="AW43" i="19" a="1"/>
  <c r="AW43" i="19" s="1"/>
  <c r="AU43" i="19" a="1"/>
  <c r="AU43" i="19" s="1"/>
  <c r="AS43" i="19" a="1"/>
  <c r="AS43" i="19" s="1"/>
  <c r="CB43" i="19" a="1"/>
  <c r="CB43" i="19" s="1"/>
  <c r="BZ43" i="19" a="1"/>
  <c r="BZ43" i="19" s="1"/>
  <c r="BX43" i="19" a="1"/>
  <c r="BX43" i="19" s="1"/>
  <c r="BV43" i="19" a="1"/>
  <c r="BV43" i="19" s="1"/>
  <c r="BT43" i="19" a="1"/>
  <c r="BT43" i="19" s="1"/>
  <c r="BR43" i="19" a="1"/>
  <c r="BR43" i="19" s="1"/>
  <c r="BP43" i="19" a="1"/>
  <c r="BP43" i="19" s="1"/>
  <c r="BJ43" i="19" a="1"/>
  <c r="BJ43" i="19" s="1"/>
  <c r="BH43" i="19" a="1"/>
  <c r="BH43" i="19" s="1"/>
  <c r="BF43" i="19" a="1"/>
  <c r="BF43" i="19" s="1"/>
  <c r="BD43" i="19" a="1"/>
  <c r="BD43" i="19" s="1"/>
  <c r="BB43" i="19" a="1"/>
  <c r="BB43" i="19" s="1"/>
  <c r="AZ43" i="19" a="1"/>
  <c r="AZ43" i="19" s="1"/>
  <c r="AX43" i="19" a="1"/>
  <c r="AX43" i="19" s="1"/>
  <c r="AV43" i="19" a="1"/>
  <c r="AV43" i="19" s="1"/>
  <c r="AT43" i="19" a="1"/>
  <c r="AT43" i="19" s="1"/>
  <c r="CA42" i="19" a="1"/>
  <c r="CA42" i="19" s="1"/>
  <c r="BY42" i="19" a="1"/>
  <c r="BY42" i="19" s="1"/>
  <c r="BW42" i="19" a="1"/>
  <c r="BW42" i="19" s="1"/>
  <c r="BU42" i="19" a="1"/>
  <c r="BU42" i="19" s="1"/>
  <c r="BS42" i="19" a="1"/>
  <c r="BS42" i="19" s="1"/>
  <c r="BQ42" i="19" a="1"/>
  <c r="BQ42" i="19" s="1"/>
  <c r="BK42" i="19" a="1"/>
  <c r="BK42" i="19" s="1"/>
  <c r="BI42" i="19" a="1"/>
  <c r="BI42" i="19" s="1"/>
  <c r="BG42" i="19" a="1"/>
  <c r="BG42" i="19" s="1"/>
  <c r="BE42" i="19" a="1"/>
  <c r="BE42" i="19" s="1"/>
  <c r="BC42" i="19" a="1"/>
  <c r="BC42" i="19" s="1"/>
  <c r="BA42" i="19" a="1"/>
  <c r="BA42" i="19" s="1"/>
  <c r="AY42" i="19" a="1"/>
  <c r="AY42" i="19" s="1"/>
  <c r="AW42" i="19" a="1"/>
  <c r="AW42" i="19" s="1"/>
  <c r="AU42" i="19" a="1"/>
  <c r="AU42" i="19" s="1"/>
  <c r="AS42" i="19" a="1"/>
  <c r="AS42" i="19" s="1"/>
  <c r="CB42" i="19" a="1"/>
  <c r="CB42" i="19" s="1"/>
  <c r="BZ42" i="19" a="1"/>
  <c r="BZ42" i="19" s="1"/>
  <c r="BX42" i="19" a="1"/>
  <c r="BX42" i="19" s="1"/>
  <c r="BV42" i="19" a="1"/>
  <c r="BV42" i="19" s="1"/>
  <c r="BT42" i="19" a="1"/>
  <c r="BT42" i="19" s="1"/>
  <c r="BR42" i="19" a="1"/>
  <c r="BR42" i="19" s="1"/>
  <c r="BP42" i="19" a="1"/>
  <c r="BP42" i="19" s="1"/>
  <c r="BJ42" i="19" a="1"/>
  <c r="BJ42" i="19" s="1"/>
  <c r="BH42" i="19" a="1"/>
  <c r="BH42" i="19" s="1"/>
  <c r="BF42" i="19" a="1"/>
  <c r="BF42" i="19" s="1"/>
  <c r="BD42" i="19" a="1"/>
  <c r="BD42" i="19" s="1"/>
  <c r="BB42" i="19" a="1"/>
  <c r="BB42" i="19" s="1"/>
  <c r="AZ42" i="19" a="1"/>
  <c r="AZ42" i="19" s="1"/>
  <c r="AX42" i="19" a="1"/>
  <c r="AX42" i="19" s="1"/>
  <c r="AV42" i="19" a="1"/>
  <c r="AV42" i="19" s="1"/>
  <c r="AT42" i="19" a="1"/>
  <c r="AT42" i="19" s="1"/>
  <c r="CA41" i="19" a="1"/>
  <c r="CA41" i="19" s="1"/>
  <c r="BY41" i="19" a="1"/>
  <c r="BY41" i="19" s="1"/>
  <c r="BW41" i="19" a="1"/>
  <c r="BW41" i="19" s="1"/>
  <c r="BU41" i="19" a="1"/>
  <c r="BU41" i="19" s="1"/>
  <c r="BS41" i="19" a="1"/>
  <c r="BS41" i="19" s="1"/>
  <c r="BQ41" i="19" a="1"/>
  <c r="BQ41" i="19" s="1"/>
  <c r="BK41" i="19" a="1"/>
  <c r="BK41" i="19" s="1"/>
  <c r="BI41" i="19" a="1"/>
  <c r="BI41" i="19" s="1"/>
  <c r="BG41" i="19" a="1"/>
  <c r="BG41" i="19" s="1"/>
  <c r="BE41" i="19" a="1"/>
  <c r="BE41" i="19" s="1"/>
  <c r="BC41" i="19" a="1"/>
  <c r="BC41" i="19" s="1"/>
  <c r="BA41" i="19" a="1"/>
  <c r="BA41" i="19" s="1"/>
  <c r="AY41" i="19" a="1"/>
  <c r="AY41" i="19" s="1"/>
  <c r="AW41" i="19" a="1"/>
  <c r="AW41" i="19" s="1"/>
  <c r="AU41" i="19" a="1"/>
  <c r="AU41" i="19" s="1"/>
  <c r="AS41" i="19" a="1"/>
  <c r="AS41" i="19" s="1"/>
  <c r="CB41" i="19" a="1"/>
  <c r="CB41" i="19" s="1"/>
  <c r="BZ41" i="19" a="1"/>
  <c r="BZ41" i="19" s="1"/>
  <c r="BX41" i="19" a="1"/>
  <c r="BX41" i="19" s="1"/>
  <c r="BV41" i="19" a="1"/>
  <c r="BV41" i="19" s="1"/>
  <c r="BT41" i="19" a="1"/>
  <c r="BT41" i="19" s="1"/>
  <c r="BR41" i="19" a="1"/>
  <c r="BR41" i="19" s="1"/>
  <c r="BP41" i="19" a="1"/>
  <c r="BP41" i="19" s="1"/>
  <c r="BJ41" i="19" a="1"/>
  <c r="BJ41" i="19" s="1"/>
  <c r="BH41" i="19" a="1"/>
  <c r="BH41" i="19" s="1"/>
  <c r="BF41" i="19" a="1"/>
  <c r="BF41" i="19" s="1"/>
  <c r="BD41" i="19" a="1"/>
  <c r="BD41" i="19" s="1"/>
  <c r="BB41" i="19" a="1"/>
  <c r="BB41" i="19" s="1"/>
  <c r="AZ41" i="19" a="1"/>
  <c r="AZ41" i="19" s="1"/>
  <c r="AX41" i="19" a="1"/>
  <c r="AX41" i="19" s="1"/>
  <c r="AV41" i="19" a="1"/>
  <c r="AV41" i="19" s="1"/>
  <c r="AT41" i="19" a="1"/>
  <c r="AT41" i="19" s="1"/>
  <c r="CA40" i="19" a="1"/>
  <c r="CA40" i="19" s="1"/>
  <c r="BY40" i="19" a="1"/>
  <c r="BY40" i="19" s="1"/>
  <c r="BW40" i="19" a="1"/>
  <c r="BW40" i="19" s="1"/>
  <c r="BU40" i="19" a="1"/>
  <c r="BU40" i="19" s="1"/>
  <c r="BS40" i="19" a="1"/>
  <c r="BS40" i="19" s="1"/>
  <c r="BQ40" i="19" a="1"/>
  <c r="BQ40" i="19" s="1"/>
  <c r="BK40" i="19" a="1"/>
  <c r="BK40" i="19" s="1"/>
  <c r="BI40" i="19" a="1"/>
  <c r="BI40" i="19" s="1"/>
  <c r="BG40" i="19" a="1"/>
  <c r="BG40" i="19" s="1"/>
  <c r="BE40" i="19" a="1"/>
  <c r="BE40" i="19" s="1"/>
  <c r="BC40" i="19" a="1"/>
  <c r="BC40" i="19" s="1"/>
  <c r="BA40" i="19" a="1"/>
  <c r="BA40" i="19" s="1"/>
  <c r="AY40" i="19" a="1"/>
  <c r="AY40" i="19" s="1"/>
  <c r="AW40" i="19" a="1"/>
  <c r="AW40" i="19" s="1"/>
  <c r="AU40" i="19" a="1"/>
  <c r="AU40" i="19" s="1"/>
  <c r="AS40" i="19" a="1"/>
  <c r="AS40" i="19" s="1"/>
  <c r="CB40" i="19" a="1"/>
  <c r="CB40" i="19" s="1"/>
  <c r="BZ40" i="19" a="1"/>
  <c r="BZ40" i="19" s="1"/>
  <c r="BX40" i="19" a="1"/>
  <c r="BX40" i="19" s="1"/>
  <c r="BV40" i="19" a="1"/>
  <c r="BV40" i="19" s="1"/>
  <c r="BT40" i="19" a="1"/>
  <c r="BT40" i="19" s="1"/>
  <c r="BR40" i="19" a="1"/>
  <c r="BR40" i="19" s="1"/>
  <c r="BP40" i="19" a="1"/>
  <c r="BP40" i="19" s="1"/>
  <c r="BJ40" i="19" a="1"/>
  <c r="BJ40" i="19" s="1"/>
  <c r="BH40" i="19" a="1"/>
  <c r="BH40" i="19" s="1"/>
  <c r="BF40" i="19" a="1"/>
  <c r="BF40" i="19" s="1"/>
  <c r="BD40" i="19" a="1"/>
  <c r="BD40" i="19" s="1"/>
  <c r="BB40" i="19" a="1"/>
  <c r="BB40" i="19" s="1"/>
  <c r="AZ40" i="19" a="1"/>
  <c r="AZ40" i="19" s="1"/>
  <c r="AX40" i="19" a="1"/>
  <c r="AX40" i="19" s="1"/>
  <c r="AV40" i="19" a="1"/>
  <c r="AV40" i="19" s="1"/>
  <c r="AT40" i="19" a="1"/>
  <c r="AT40" i="19" s="1"/>
  <c r="CA39" i="19" a="1"/>
  <c r="CA39" i="19" s="1"/>
  <c r="BY39" i="19" a="1"/>
  <c r="BY39" i="19" s="1"/>
  <c r="BW39" i="19" a="1"/>
  <c r="BW39" i="19" s="1"/>
  <c r="BU39" i="19" a="1"/>
  <c r="BU39" i="19" s="1"/>
  <c r="BS39" i="19" a="1"/>
  <c r="BS39" i="19" s="1"/>
  <c r="BQ39" i="19" a="1"/>
  <c r="BQ39" i="19" s="1"/>
  <c r="BK39" i="19" a="1"/>
  <c r="BK39" i="19" s="1"/>
  <c r="BI39" i="19" a="1"/>
  <c r="BI39" i="19" s="1"/>
  <c r="BG39" i="19" a="1"/>
  <c r="BG39" i="19" s="1"/>
  <c r="BE39" i="19" a="1"/>
  <c r="BE39" i="19" s="1"/>
  <c r="BC39" i="19" a="1"/>
  <c r="BC39" i="19" s="1"/>
  <c r="BA39" i="19" a="1"/>
  <c r="BA39" i="19" s="1"/>
  <c r="AY39" i="19" a="1"/>
  <c r="AY39" i="19" s="1"/>
  <c r="AW39" i="19" a="1"/>
  <c r="AW39" i="19" s="1"/>
  <c r="AU39" i="19" a="1"/>
  <c r="AU39" i="19" s="1"/>
  <c r="AS39" i="19" a="1"/>
  <c r="AS39" i="19" s="1"/>
  <c r="CB39" i="19" a="1"/>
  <c r="CB39" i="19" s="1"/>
  <c r="BZ39" i="19" a="1"/>
  <c r="BZ39" i="19" s="1"/>
  <c r="BX39" i="19" a="1"/>
  <c r="BX39" i="19" s="1"/>
  <c r="BV39" i="19" a="1"/>
  <c r="BV39" i="19" s="1"/>
  <c r="BT39" i="19" a="1"/>
  <c r="BT39" i="19" s="1"/>
  <c r="BR39" i="19" a="1"/>
  <c r="BR39" i="19" s="1"/>
  <c r="BP39" i="19" a="1"/>
  <c r="BP39" i="19" s="1"/>
  <c r="BJ39" i="19" a="1"/>
  <c r="BJ39" i="19" s="1"/>
  <c r="BH39" i="19" a="1"/>
  <c r="BH39" i="19" s="1"/>
  <c r="BF39" i="19" a="1"/>
  <c r="BF39" i="19" s="1"/>
  <c r="BD39" i="19" a="1"/>
  <c r="BD39" i="19" s="1"/>
  <c r="BB39" i="19" a="1"/>
  <c r="BB39" i="19" s="1"/>
  <c r="AZ39" i="19" a="1"/>
  <c r="AZ39" i="19" s="1"/>
  <c r="AX39" i="19" a="1"/>
  <c r="AX39" i="19" s="1"/>
  <c r="AV39" i="19" a="1"/>
  <c r="AV39" i="19" s="1"/>
  <c r="AT39" i="19" a="1"/>
  <c r="AT39" i="19" s="1"/>
  <c r="CA38" i="19" a="1"/>
  <c r="CA38" i="19" s="1"/>
  <c r="BY38" i="19" a="1"/>
  <c r="BY38" i="19" s="1"/>
  <c r="BW38" i="19" a="1"/>
  <c r="BW38" i="19" s="1"/>
  <c r="BU38" i="19" a="1"/>
  <c r="BU38" i="19" s="1"/>
  <c r="BS38" i="19" a="1"/>
  <c r="BS38" i="19" s="1"/>
  <c r="BQ38" i="19" a="1"/>
  <c r="BQ38" i="19" s="1"/>
  <c r="BK38" i="19" a="1"/>
  <c r="BK38" i="19" s="1"/>
  <c r="BI38" i="19" a="1"/>
  <c r="BI38" i="19" s="1"/>
  <c r="BG38" i="19" a="1"/>
  <c r="BG38" i="19" s="1"/>
  <c r="BE38" i="19" a="1"/>
  <c r="BE38" i="19" s="1"/>
  <c r="BC38" i="19" a="1"/>
  <c r="BC38" i="19" s="1"/>
  <c r="BA38" i="19" a="1"/>
  <c r="BA38" i="19" s="1"/>
  <c r="AY38" i="19" a="1"/>
  <c r="AY38" i="19" s="1"/>
  <c r="AW38" i="19" a="1"/>
  <c r="AW38" i="19" s="1"/>
  <c r="AU38" i="19" a="1"/>
  <c r="AU38" i="19" s="1"/>
  <c r="AS38" i="19" a="1"/>
  <c r="AS38" i="19" s="1"/>
  <c r="CB38" i="19" a="1"/>
  <c r="CB38" i="19" s="1"/>
  <c r="BZ38" i="19" a="1"/>
  <c r="BZ38" i="19" s="1"/>
  <c r="BX38" i="19" a="1"/>
  <c r="BX38" i="19" s="1"/>
  <c r="BV38" i="19" a="1"/>
  <c r="BV38" i="19" s="1"/>
  <c r="BT38" i="19" a="1"/>
  <c r="BT38" i="19" s="1"/>
  <c r="BR38" i="19" a="1"/>
  <c r="BR38" i="19" s="1"/>
  <c r="BP38" i="19" a="1"/>
  <c r="BP38" i="19" s="1"/>
  <c r="BJ38" i="19" a="1"/>
  <c r="BJ38" i="19" s="1"/>
  <c r="BH38" i="19" a="1"/>
  <c r="BH38" i="19" s="1"/>
  <c r="BF38" i="19" a="1"/>
  <c r="BF38" i="19" s="1"/>
  <c r="BD38" i="19" a="1"/>
  <c r="BD38" i="19" s="1"/>
  <c r="BB38" i="19" a="1"/>
  <c r="BB38" i="19" s="1"/>
  <c r="AZ38" i="19" a="1"/>
  <c r="AZ38" i="19" s="1"/>
  <c r="AX38" i="19" a="1"/>
  <c r="AX38" i="19" s="1"/>
  <c r="AV38" i="19" a="1"/>
  <c r="AV38" i="19" s="1"/>
  <c r="AT38" i="19" a="1"/>
  <c r="AT38" i="19" s="1"/>
  <c r="CA37" i="19" a="1"/>
  <c r="CA37" i="19" s="1"/>
  <c r="BY37" i="19" a="1"/>
  <c r="BY37" i="19" s="1"/>
  <c r="BW37" i="19" a="1"/>
  <c r="BW37" i="19" s="1"/>
  <c r="BU37" i="19" a="1"/>
  <c r="BU37" i="19" s="1"/>
  <c r="BS37" i="19" a="1"/>
  <c r="BS37" i="19" s="1"/>
  <c r="BQ37" i="19" a="1"/>
  <c r="BQ37" i="19" s="1"/>
  <c r="BK37" i="19" a="1"/>
  <c r="BK37" i="19" s="1"/>
  <c r="BI37" i="19" a="1"/>
  <c r="BI37" i="19" s="1"/>
  <c r="BG37" i="19" a="1"/>
  <c r="BG37" i="19" s="1"/>
  <c r="BE37" i="19" a="1"/>
  <c r="BE37" i="19" s="1"/>
  <c r="BC37" i="19" a="1"/>
  <c r="BC37" i="19" s="1"/>
  <c r="BA37" i="19" a="1"/>
  <c r="BA37" i="19" s="1"/>
  <c r="AY37" i="19" a="1"/>
  <c r="AY37" i="19" s="1"/>
  <c r="AW37" i="19" a="1"/>
  <c r="AW37" i="19" s="1"/>
  <c r="AU37" i="19" a="1"/>
  <c r="AU37" i="19" s="1"/>
  <c r="AS37" i="19" a="1"/>
  <c r="AS37" i="19" s="1"/>
  <c r="CB37" i="19" a="1"/>
  <c r="CB37" i="19" s="1"/>
  <c r="BZ37" i="19" a="1"/>
  <c r="BZ37" i="19" s="1"/>
  <c r="BX37" i="19" a="1"/>
  <c r="BX37" i="19" s="1"/>
  <c r="BV37" i="19" a="1"/>
  <c r="BV37" i="19" s="1"/>
  <c r="BT37" i="19" a="1"/>
  <c r="BT37" i="19" s="1"/>
  <c r="BR37" i="19" a="1"/>
  <c r="BR37" i="19" s="1"/>
  <c r="BP37" i="19" a="1"/>
  <c r="BP37" i="19" s="1"/>
  <c r="BJ37" i="19" a="1"/>
  <c r="BJ37" i="19" s="1"/>
  <c r="BH37" i="19" a="1"/>
  <c r="BH37" i="19" s="1"/>
  <c r="BF37" i="19" a="1"/>
  <c r="BF37" i="19" s="1"/>
  <c r="BD37" i="19" a="1"/>
  <c r="BD37" i="19" s="1"/>
  <c r="BB37" i="19" a="1"/>
  <c r="BB37" i="19" s="1"/>
  <c r="AZ37" i="19" a="1"/>
  <c r="AZ37" i="19" s="1"/>
  <c r="AX37" i="19" a="1"/>
  <c r="AX37" i="19" s="1"/>
  <c r="AV37" i="19" a="1"/>
  <c r="AV37" i="19" s="1"/>
  <c r="AT37" i="19" a="1"/>
  <c r="AT37" i="19" s="1"/>
  <c r="CA36" i="19" a="1"/>
  <c r="CA36" i="19" s="1"/>
  <c r="BY36" i="19" a="1"/>
  <c r="BY36" i="19" s="1"/>
  <c r="BW36" i="19" a="1"/>
  <c r="BW36" i="19" s="1"/>
  <c r="BU36" i="19" a="1"/>
  <c r="BU36" i="19" s="1"/>
  <c r="BS36" i="19" a="1"/>
  <c r="BS36" i="19" s="1"/>
  <c r="BQ36" i="19" a="1"/>
  <c r="BQ36" i="19" s="1"/>
  <c r="BK36" i="19" a="1"/>
  <c r="BK36" i="19" s="1"/>
  <c r="BI36" i="19" a="1"/>
  <c r="BI36" i="19" s="1"/>
  <c r="BG36" i="19" a="1"/>
  <c r="BG36" i="19" s="1"/>
  <c r="BE36" i="19" a="1"/>
  <c r="BE36" i="19" s="1"/>
  <c r="BC36" i="19" a="1"/>
  <c r="BC36" i="19" s="1"/>
  <c r="BA36" i="19" a="1"/>
  <c r="BA36" i="19" s="1"/>
  <c r="AY36" i="19" a="1"/>
  <c r="AY36" i="19" s="1"/>
  <c r="AW36" i="19" a="1"/>
  <c r="AW36" i="19" s="1"/>
  <c r="AU36" i="19" a="1"/>
  <c r="AU36" i="19" s="1"/>
  <c r="AS36" i="19" a="1"/>
  <c r="AS36" i="19" s="1"/>
  <c r="CB36" i="19" a="1"/>
  <c r="CB36" i="19" s="1"/>
  <c r="BZ36" i="19" a="1"/>
  <c r="BZ36" i="19" s="1"/>
  <c r="BX36" i="19" a="1"/>
  <c r="BX36" i="19" s="1"/>
  <c r="BV36" i="19" a="1"/>
  <c r="BV36" i="19" s="1"/>
  <c r="BT36" i="19" a="1"/>
  <c r="BT36" i="19" s="1"/>
  <c r="BR36" i="19" a="1"/>
  <c r="BR36" i="19" s="1"/>
  <c r="BP36" i="19" a="1"/>
  <c r="BP36" i="19" s="1"/>
  <c r="BJ36" i="19" a="1"/>
  <c r="BJ36" i="19" s="1"/>
  <c r="BH36" i="19" a="1"/>
  <c r="BH36" i="19" s="1"/>
  <c r="BF36" i="19" a="1"/>
  <c r="BF36" i="19" s="1"/>
  <c r="BD36" i="19" a="1"/>
  <c r="BD36" i="19" s="1"/>
  <c r="BB36" i="19" a="1"/>
  <c r="BB36" i="19" s="1"/>
  <c r="AZ36" i="19" a="1"/>
  <c r="AZ36" i="19" s="1"/>
  <c r="AX36" i="19" a="1"/>
  <c r="AX36" i="19" s="1"/>
  <c r="AV36" i="19" a="1"/>
  <c r="AV36" i="19" s="1"/>
  <c r="AT36" i="19" a="1"/>
  <c r="AT36" i="19" s="1"/>
  <c r="CA35" i="19" a="1"/>
  <c r="CA35" i="19" s="1"/>
  <c r="BY35" i="19" a="1"/>
  <c r="BY35" i="19" s="1"/>
  <c r="BW35" i="19" a="1"/>
  <c r="BW35" i="19" s="1"/>
  <c r="BU35" i="19" a="1"/>
  <c r="BU35" i="19" s="1"/>
  <c r="BS35" i="19" a="1"/>
  <c r="BS35" i="19" s="1"/>
  <c r="BQ35" i="19" a="1"/>
  <c r="BQ35" i="19" s="1"/>
  <c r="BK35" i="19" a="1"/>
  <c r="BK35" i="19" s="1"/>
  <c r="BI35" i="19" a="1"/>
  <c r="BI35" i="19" s="1"/>
  <c r="BG35" i="19" a="1"/>
  <c r="BG35" i="19" s="1"/>
  <c r="BE35" i="19" a="1"/>
  <c r="BE35" i="19" s="1"/>
  <c r="BC35" i="19" a="1"/>
  <c r="BC35" i="19" s="1"/>
  <c r="BA35" i="19" a="1"/>
  <c r="BA35" i="19" s="1"/>
  <c r="AY35" i="19" a="1"/>
  <c r="AY35" i="19" s="1"/>
  <c r="AW35" i="19" a="1"/>
  <c r="AW35" i="19" s="1"/>
  <c r="AU35" i="19" a="1"/>
  <c r="AU35" i="19" s="1"/>
  <c r="AS35" i="19" a="1"/>
  <c r="AS35" i="19" s="1"/>
  <c r="CB35" i="19" a="1"/>
  <c r="CB35" i="19" s="1"/>
  <c r="BZ35" i="19" a="1"/>
  <c r="BZ35" i="19" s="1"/>
  <c r="BX35" i="19" a="1"/>
  <c r="BX35" i="19" s="1"/>
  <c r="BV35" i="19" a="1"/>
  <c r="BV35" i="19" s="1"/>
  <c r="BT35" i="19" a="1"/>
  <c r="BT35" i="19" s="1"/>
  <c r="BR35" i="19" a="1"/>
  <c r="BR35" i="19" s="1"/>
  <c r="BP35" i="19" a="1"/>
  <c r="BP35" i="19" s="1"/>
  <c r="BJ35" i="19" a="1"/>
  <c r="BJ35" i="19" s="1"/>
  <c r="BH35" i="19" a="1"/>
  <c r="BH35" i="19" s="1"/>
  <c r="BF35" i="19" a="1"/>
  <c r="BF35" i="19" s="1"/>
  <c r="BD35" i="19" a="1"/>
  <c r="BD35" i="19" s="1"/>
  <c r="BB35" i="19" a="1"/>
  <c r="BB35" i="19" s="1"/>
  <c r="AZ35" i="19" a="1"/>
  <c r="AZ35" i="19" s="1"/>
  <c r="AX35" i="19" a="1"/>
  <c r="AX35" i="19" s="1"/>
  <c r="AV35" i="19" a="1"/>
  <c r="AV35" i="19" s="1"/>
  <c r="AT35" i="19" a="1"/>
  <c r="AT35" i="19" s="1"/>
  <c r="CA34" i="19" a="1"/>
  <c r="CA34" i="19" s="1"/>
  <c r="BY34" i="19" a="1"/>
  <c r="BY34" i="19" s="1"/>
  <c r="BW34" i="19" a="1"/>
  <c r="BW34" i="19" s="1"/>
  <c r="BU34" i="19" a="1"/>
  <c r="BU34" i="19" s="1"/>
  <c r="BS34" i="19" a="1"/>
  <c r="BS34" i="19" s="1"/>
  <c r="BQ34" i="19" a="1"/>
  <c r="BQ34" i="19" s="1"/>
  <c r="BK34" i="19" a="1"/>
  <c r="BK34" i="19" s="1"/>
  <c r="BI34" i="19" a="1"/>
  <c r="BI34" i="19" s="1"/>
  <c r="BG34" i="19" a="1"/>
  <c r="BG34" i="19" s="1"/>
  <c r="BE34" i="19" a="1"/>
  <c r="BE34" i="19" s="1"/>
  <c r="BC34" i="19" a="1"/>
  <c r="BC34" i="19" s="1"/>
  <c r="BA34" i="19" a="1"/>
  <c r="BA34" i="19" s="1"/>
  <c r="AY34" i="19" a="1"/>
  <c r="AY34" i="19" s="1"/>
  <c r="AW34" i="19" a="1"/>
  <c r="AW34" i="19" s="1"/>
  <c r="AU34" i="19" a="1"/>
  <c r="AU34" i="19" s="1"/>
  <c r="AS34" i="19" a="1"/>
  <c r="AS34" i="19" s="1"/>
  <c r="CB34" i="19" a="1"/>
  <c r="CB34" i="19" s="1"/>
  <c r="BZ34" i="19" a="1"/>
  <c r="BZ34" i="19" s="1"/>
  <c r="BX34" i="19" a="1"/>
  <c r="BX34" i="19" s="1"/>
  <c r="BV34" i="19" a="1"/>
  <c r="BV34" i="19" s="1"/>
  <c r="BT34" i="19" a="1"/>
  <c r="BT34" i="19" s="1"/>
  <c r="BR34" i="19" a="1"/>
  <c r="BR34" i="19" s="1"/>
  <c r="BP34" i="19" a="1"/>
  <c r="BP34" i="19" s="1"/>
  <c r="BJ34" i="19" a="1"/>
  <c r="BJ34" i="19" s="1"/>
  <c r="BH34" i="19" a="1"/>
  <c r="BH34" i="19" s="1"/>
  <c r="BF34" i="19" a="1"/>
  <c r="BF34" i="19" s="1"/>
  <c r="BD34" i="19" a="1"/>
  <c r="BD34" i="19" s="1"/>
  <c r="BB34" i="19" a="1"/>
  <c r="BB34" i="19" s="1"/>
  <c r="AZ34" i="19" a="1"/>
  <c r="AZ34" i="19" s="1"/>
  <c r="AX34" i="19" a="1"/>
  <c r="AX34" i="19" s="1"/>
  <c r="AV34" i="19" a="1"/>
  <c r="AV34" i="19" s="1"/>
  <c r="AT34" i="19" a="1"/>
  <c r="AT34" i="19" s="1"/>
  <c r="CA33" i="19" a="1"/>
  <c r="CA33" i="19" s="1"/>
  <c r="BY33" i="19" a="1"/>
  <c r="BY33" i="19" s="1"/>
  <c r="BW33" i="19" a="1"/>
  <c r="BW33" i="19" s="1"/>
  <c r="BU33" i="19" a="1"/>
  <c r="BU33" i="19" s="1"/>
  <c r="BS33" i="19" a="1"/>
  <c r="BS33" i="19" s="1"/>
  <c r="BQ33" i="19" a="1"/>
  <c r="BQ33" i="19" s="1"/>
  <c r="BK33" i="19" a="1"/>
  <c r="BK33" i="19" s="1"/>
  <c r="BI33" i="19" a="1"/>
  <c r="BI33" i="19" s="1"/>
  <c r="BG33" i="19" a="1"/>
  <c r="BG33" i="19" s="1"/>
  <c r="BE33" i="19" a="1"/>
  <c r="BE33" i="19" s="1"/>
  <c r="BC33" i="19" a="1"/>
  <c r="BC33" i="19" s="1"/>
  <c r="BA33" i="19" a="1"/>
  <c r="BA33" i="19" s="1"/>
  <c r="AY33" i="19" a="1"/>
  <c r="AY33" i="19" s="1"/>
  <c r="AW33" i="19" a="1"/>
  <c r="AW33" i="19" s="1"/>
  <c r="AU33" i="19" a="1"/>
  <c r="AU33" i="19" s="1"/>
  <c r="AS33" i="19" a="1"/>
  <c r="AS33" i="19" s="1"/>
  <c r="CB33" i="19" a="1"/>
  <c r="CB33" i="19" s="1"/>
  <c r="BZ33" i="19" a="1"/>
  <c r="BZ33" i="19" s="1"/>
  <c r="BX33" i="19" a="1"/>
  <c r="BX33" i="19" s="1"/>
  <c r="BV33" i="19" a="1"/>
  <c r="BV33" i="19" s="1"/>
  <c r="BT33" i="19" a="1"/>
  <c r="BT33" i="19" s="1"/>
  <c r="BR33" i="19" a="1"/>
  <c r="BR33" i="19" s="1"/>
  <c r="BP33" i="19" a="1"/>
  <c r="BP33" i="19" s="1"/>
  <c r="BJ33" i="19" a="1"/>
  <c r="BJ33" i="19" s="1"/>
  <c r="BH33" i="19" a="1"/>
  <c r="BH33" i="19" s="1"/>
  <c r="BF33" i="19" a="1"/>
  <c r="BF33" i="19" s="1"/>
  <c r="BD33" i="19" a="1"/>
  <c r="BD33" i="19" s="1"/>
  <c r="BB33" i="19" a="1"/>
  <c r="BB33" i="19" s="1"/>
  <c r="AZ33" i="19" a="1"/>
  <c r="AZ33" i="19" s="1"/>
  <c r="AX33" i="19" a="1"/>
  <c r="AX33" i="19" s="1"/>
  <c r="AV33" i="19" a="1"/>
  <c r="AV33" i="19" s="1"/>
  <c r="AT33" i="19" a="1"/>
  <c r="AT33" i="19" s="1"/>
  <c r="CA32" i="19" a="1"/>
  <c r="CA32" i="19" s="1"/>
  <c r="BY32" i="19" a="1"/>
  <c r="BY32" i="19" s="1"/>
  <c r="BW32" i="19" a="1"/>
  <c r="BW32" i="19" s="1"/>
  <c r="BU32" i="19" a="1"/>
  <c r="BU32" i="19" s="1"/>
  <c r="BS32" i="19" a="1"/>
  <c r="BS32" i="19" s="1"/>
  <c r="BQ32" i="19" a="1"/>
  <c r="BQ32" i="19" s="1"/>
  <c r="BK32" i="19" a="1"/>
  <c r="BK32" i="19" s="1"/>
  <c r="BI32" i="19" a="1"/>
  <c r="BI32" i="19" s="1"/>
  <c r="BG32" i="19" a="1"/>
  <c r="BG32" i="19" s="1"/>
  <c r="BE32" i="19" a="1"/>
  <c r="BE32" i="19" s="1"/>
  <c r="BC32" i="19" a="1"/>
  <c r="BC32" i="19" s="1"/>
  <c r="BA32" i="19" a="1"/>
  <c r="BA32" i="19" s="1"/>
  <c r="AY32" i="19" a="1"/>
  <c r="AY32" i="19" s="1"/>
  <c r="AW32" i="19" a="1"/>
  <c r="AW32" i="19" s="1"/>
  <c r="AU32" i="19" a="1"/>
  <c r="AU32" i="19" s="1"/>
  <c r="AS32" i="19" a="1"/>
  <c r="AS32" i="19" s="1"/>
  <c r="CB32" i="19" a="1"/>
  <c r="CB32" i="19" s="1"/>
  <c r="BZ32" i="19" a="1"/>
  <c r="BZ32" i="19" s="1"/>
  <c r="BX32" i="19" a="1"/>
  <c r="BX32" i="19" s="1"/>
  <c r="BV32" i="19" a="1"/>
  <c r="BV32" i="19" s="1"/>
  <c r="BT32" i="19" a="1"/>
  <c r="BT32" i="19" s="1"/>
  <c r="BR32" i="19" a="1"/>
  <c r="BR32" i="19" s="1"/>
  <c r="BP32" i="19" a="1"/>
  <c r="BP32" i="19" s="1"/>
  <c r="BJ32" i="19" a="1"/>
  <c r="BJ32" i="19" s="1"/>
  <c r="BH32" i="19" a="1"/>
  <c r="BH32" i="19" s="1"/>
  <c r="BF32" i="19" a="1"/>
  <c r="BF32" i="19" s="1"/>
  <c r="BD32" i="19" a="1"/>
  <c r="BD32" i="19" s="1"/>
  <c r="BB32" i="19" a="1"/>
  <c r="BB32" i="19" s="1"/>
  <c r="AZ32" i="19" a="1"/>
  <c r="AZ32" i="19" s="1"/>
  <c r="AX32" i="19" a="1"/>
  <c r="AX32" i="19" s="1"/>
  <c r="AV32" i="19" a="1"/>
  <c r="AV32" i="19" s="1"/>
  <c r="AT32" i="19" a="1"/>
  <c r="AT32" i="19" s="1"/>
  <c r="CA31" i="19" a="1"/>
  <c r="CA31" i="19" s="1"/>
  <c r="BY31" i="19" a="1"/>
  <c r="BY31" i="19" s="1"/>
  <c r="BW31" i="19" a="1"/>
  <c r="BW31" i="19" s="1"/>
  <c r="BU31" i="19" a="1"/>
  <c r="BU31" i="19" s="1"/>
  <c r="BS31" i="19" a="1"/>
  <c r="BS31" i="19" s="1"/>
  <c r="BQ31" i="19" a="1"/>
  <c r="BQ31" i="19" s="1"/>
  <c r="BK31" i="19" a="1"/>
  <c r="BK31" i="19" s="1"/>
  <c r="BI31" i="19" a="1"/>
  <c r="BI31" i="19" s="1"/>
  <c r="BG31" i="19" a="1"/>
  <c r="BG31" i="19" s="1"/>
  <c r="BE31" i="19" a="1"/>
  <c r="BE31" i="19" s="1"/>
  <c r="BC31" i="19" a="1"/>
  <c r="BC31" i="19" s="1"/>
  <c r="BA31" i="19" a="1"/>
  <c r="BA31" i="19" s="1"/>
  <c r="AY31" i="19" a="1"/>
  <c r="AY31" i="19" s="1"/>
  <c r="AW31" i="19" a="1"/>
  <c r="AW31" i="19" s="1"/>
  <c r="AU31" i="19" a="1"/>
  <c r="AU31" i="19" s="1"/>
  <c r="AS31" i="19" a="1"/>
  <c r="AS31" i="19" s="1"/>
  <c r="CB31" i="19" a="1"/>
  <c r="CB31" i="19" s="1"/>
  <c r="BZ31" i="19" a="1"/>
  <c r="BZ31" i="19" s="1"/>
  <c r="BX31" i="19" a="1"/>
  <c r="BX31" i="19" s="1"/>
  <c r="BV31" i="19" a="1"/>
  <c r="BV31" i="19" s="1"/>
  <c r="BT31" i="19" a="1"/>
  <c r="BT31" i="19" s="1"/>
  <c r="BR31" i="19" a="1"/>
  <c r="BR31" i="19" s="1"/>
  <c r="BP31" i="19" a="1"/>
  <c r="BP31" i="19" s="1"/>
  <c r="BJ31" i="19" a="1"/>
  <c r="BJ31" i="19" s="1"/>
  <c r="BH31" i="19" a="1"/>
  <c r="BH31" i="19" s="1"/>
  <c r="BF31" i="19" a="1"/>
  <c r="BF31" i="19" s="1"/>
  <c r="BD31" i="19" a="1"/>
  <c r="BD31" i="19" s="1"/>
  <c r="BB31" i="19" a="1"/>
  <c r="BB31" i="19" s="1"/>
  <c r="AZ31" i="19" a="1"/>
  <c r="AZ31" i="19" s="1"/>
  <c r="AX31" i="19" a="1"/>
  <c r="AX31" i="19" s="1"/>
  <c r="AV31" i="19" a="1"/>
  <c r="AV31" i="19" s="1"/>
  <c r="AT31" i="19" a="1"/>
  <c r="AT31" i="19" s="1"/>
  <c r="CA30" i="19" a="1"/>
  <c r="CA30" i="19" s="1"/>
  <c r="BY30" i="19" a="1"/>
  <c r="BY30" i="19" s="1"/>
  <c r="BW30" i="19" a="1"/>
  <c r="BW30" i="19" s="1"/>
  <c r="BU30" i="19" a="1"/>
  <c r="BU30" i="19" s="1"/>
  <c r="BS30" i="19" a="1"/>
  <c r="BS30" i="19" s="1"/>
  <c r="BQ30" i="19" a="1"/>
  <c r="BQ30" i="19" s="1"/>
  <c r="BK30" i="19" a="1"/>
  <c r="BK30" i="19" s="1"/>
  <c r="BI30" i="19" a="1"/>
  <c r="BI30" i="19" s="1"/>
  <c r="BG30" i="19" a="1"/>
  <c r="BG30" i="19" s="1"/>
  <c r="BE30" i="19" a="1"/>
  <c r="BE30" i="19" s="1"/>
  <c r="BC30" i="19" a="1"/>
  <c r="BC30" i="19" s="1"/>
  <c r="BA30" i="19" a="1"/>
  <c r="BA30" i="19" s="1"/>
  <c r="AY30" i="19" a="1"/>
  <c r="AY30" i="19" s="1"/>
  <c r="AW30" i="19" a="1"/>
  <c r="AW30" i="19" s="1"/>
  <c r="AU30" i="19" a="1"/>
  <c r="AU30" i="19" s="1"/>
  <c r="AS30" i="19" a="1"/>
  <c r="AS30" i="19" s="1"/>
  <c r="CB30" i="19" a="1"/>
  <c r="CB30" i="19" s="1"/>
  <c r="BZ30" i="19" a="1"/>
  <c r="BZ30" i="19" s="1"/>
  <c r="BX30" i="19" a="1"/>
  <c r="BX30" i="19" s="1"/>
  <c r="BV30" i="19" a="1"/>
  <c r="BV30" i="19" s="1"/>
  <c r="BT30" i="19" a="1"/>
  <c r="BT30" i="19" s="1"/>
  <c r="BR30" i="19" a="1"/>
  <c r="BR30" i="19" s="1"/>
  <c r="BP30" i="19" a="1"/>
  <c r="BP30" i="19" s="1"/>
  <c r="BJ30" i="19" a="1"/>
  <c r="BJ30" i="19" s="1"/>
  <c r="BH30" i="19" a="1"/>
  <c r="BH30" i="19" s="1"/>
  <c r="BF30" i="19" a="1"/>
  <c r="BF30" i="19" s="1"/>
  <c r="BD30" i="19" a="1"/>
  <c r="BD30" i="19" s="1"/>
  <c r="BB30" i="19" a="1"/>
  <c r="BB30" i="19" s="1"/>
  <c r="AZ30" i="19" a="1"/>
  <c r="AZ30" i="19" s="1"/>
  <c r="AX30" i="19" a="1"/>
  <c r="AX30" i="19" s="1"/>
  <c r="AV30" i="19" a="1"/>
  <c r="AV30" i="19" s="1"/>
  <c r="AT30" i="19" a="1"/>
  <c r="AT30" i="19" s="1"/>
  <c r="CA29" i="19" a="1"/>
  <c r="CA29" i="19" s="1"/>
  <c r="BY29" i="19" a="1"/>
  <c r="BY29" i="19" s="1"/>
  <c r="BW29" i="19" a="1"/>
  <c r="BW29" i="19" s="1"/>
  <c r="BU29" i="19" a="1"/>
  <c r="BU29" i="19" s="1"/>
  <c r="BS29" i="19" a="1"/>
  <c r="BS29" i="19" s="1"/>
  <c r="BQ29" i="19" a="1"/>
  <c r="BQ29" i="19" s="1"/>
  <c r="BK29" i="19" a="1"/>
  <c r="BK29" i="19" s="1"/>
  <c r="BI29" i="19" a="1"/>
  <c r="BI29" i="19" s="1"/>
  <c r="BG29" i="19" a="1"/>
  <c r="BG29" i="19" s="1"/>
  <c r="BE29" i="19" a="1"/>
  <c r="BE29" i="19" s="1"/>
  <c r="BC29" i="19" a="1"/>
  <c r="BC29" i="19" s="1"/>
  <c r="BA29" i="19" a="1"/>
  <c r="BA29" i="19" s="1"/>
  <c r="AY29" i="19" a="1"/>
  <c r="AY29" i="19" s="1"/>
  <c r="AW29" i="19" a="1"/>
  <c r="AW29" i="19" s="1"/>
  <c r="AU29" i="19" a="1"/>
  <c r="AU29" i="19" s="1"/>
  <c r="AS29" i="19" a="1"/>
  <c r="AS29" i="19" s="1"/>
  <c r="CB29" i="19" a="1"/>
  <c r="CB29" i="19" s="1"/>
  <c r="BZ29" i="19" a="1"/>
  <c r="BZ29" i="19" s="1"/>
  <c r="BX29" i="19" a="1"/>
  <c r="BX29" i="19" s="1"/>
  <c r="BV29" i="19" a="1"/>
  <c r="BV29" i="19" s="1"/>
  <c r="BT29" i="19" a="1"/>
  <c r="BT29" i="19" s="1"/>
  <c r="BR29" i="19" a="1"/>
  <c r="BR29" i="19" s="1"/>
  <c r="BP29" i="19" a="1"/>
  <c r="BP29" i="19" s="1"/>
  <c r="BJ29" i="19" a="1"/>
  <c r="BJ29" i="19" s="1"/>
  <c r="BH29" i="19" a="1"/>
  <c r="BH29" i="19" s="1"/>
  <c r="BF29" i="19" a="1"/>
  <c r="BF29" i="19" s="1"/>
  <c r="BD29" i="19" a="1"/>
  <c r="BD29" i="19" s="1"/>
  <c r="BB29" i="19" a="1"/>
  <c r="BB29" i="19" s="1"/>
  <c r="AZ29" i="19" a="1"/>
  <c r="AZ29" i="19" s="1"/>
  <c r="AX29" i="19" a="1"/>
  <c r="AX29" i="19" s="1"/>
  <c r="AV29" i="19" a="1"/>
  <c r="AV29" i="19" s="1"/>
  <c r="AT29" i="19" a="1"/>
  <c r="AT29" i="19" s="1"/>
  <c r="CA28" i="19" a="1"/>
  <c r="CA28" i="19" s="1"/>
  <c r="BY28" i="19" a="1"/>
  <c r="BY28" i="19" s="1"/>
  <c r="BW28" i="19" a="1"/>
  <c r="BW28" i="19" s="1"/>
  <c r="BU28" i="19" a="1"/>
  <c r="BU28" i="19" s="1"/>
  <c r="BS28" i="19" a="1"/>
  <c r="BS28" i="19" s="1"/>
  <c r="BQ28" i="19" a="1"/>
  <c r="BQ28" i="19" s="1"/>
  <c r="BK28" i="19" a="1"/>
  <c r="BK28" i="19" s="1"/>
  <c r="BI28" i="19" a="1"/>
  <c r="BI28" i="19" s="1"/>
  <c r="BG28" i="19" a="1"/>
  <c r="BG28" i="19" s="1"/>
  <c r="BE28" i="19" a="1"/>
  <c r="BE28" i="19" s="1"/>
  <c r="BC28" i="19" a="1"/>
  <c r="BC28" i="19" s="1"/>
  <c r="BA28" i="19" a="1"/>
  <c r="BA28" i="19" s="1"/>
  <c r="AY28" i="19" a="1"/>
  <c r="AY28" i="19" s="1"/>
  <c r="AW28" i="19" a="1"/>
  <c r="AW28" i="19" s="1"/>
  <c r="AU28" i="19" a="1"/>
  <c r="AU28" i="19" s="1"/>
  <c r="AS28" i="19" a="1"/>
  <c r="AS28" i="19" s="1"/>
  <c r="CB28" i="19" a="1"/>
  <c r="CB28" i="19" s="1"/>
  <c r="BZ28" i="19" a="1"/>
  <c r="BZ28" i="19" s="1"/>
  <c r="BX28" i="19" a="1"/>
  <c r="BX28" i="19" s="1"/>
  <c r="BV28" i="19" a="1"/>
  <c r="BV28" i="19" s="1"/>
  <c r="BT28" i="19" a="1"/>
  <c r="BT28" i="19" s="1"/>
  <c r="BR28" i="19" a="1"/>
  <c r="BR28" i="19" s="1"/>
  <c r="BP28" i="19" a="1"/>
  <c r="BP28" i="19" s="1"/>
  <c r="BJ28" i="19" a="1"/>
  <c r="BJ28" i="19" s="1"/>
  <c r="BH28" i="19" a="1"/>
  <c r="BH28" i="19" s="1"/>
  <c r="BF28" i="19" a="1"/>
  <c r="BF28" i="19" s="1"/>
  <c r="BD28" i="19" a="1"/>
  <c r="BD28" i="19" s="1"/>
  <c r="BB28" i="19" a="1"/>
  <c r="BB28" i="19" s="1"/>
  <c r="AZ28" i="19" a="1"/>
  <c r="AZ28" i="19" s="1"/>
  <c r="AX28" i="19" a="1"/>
  <c r="AX28" i="19" s="1"/>
  <c r="AV28" i="19" a="1"/>
  <c r="AV28" i="19" s="1"/>
  <c r="AT28" i="19" a="1"/>
  <c r="AT28" i="19" s="1"/>
  <c r="CA27" i="19" a="1"/>
  <c r="CA27" i="19" s="1"/>
  <c r="BY27" i="19" a="1"/>
  <c r="BY27" i="19" s="1"/>
  <c r="BW27" i="19" a="1"/>
  <c r="BW27" i="19" s="1"/>
  <c r="BU27" i="19" a="1"/>
  <c r="BU27" i="19" s="1"/>
  <c r="BS27" i="19" a="1"/>
  <c r="BS27" i="19" s="1"/>
  <c r="BQ27" i="19" a="1"/>
  <c r="BQ27" i="19" s="1"/>
  <c r="BK27" i="19" a="1"/>
  <c r="BK27" i="19" s="1"/>
  <c r="BI27" i="19" a="1"/>
  <c r="BI27" i="19" s="1"/>
  <c r="BG27" i="19" a="1"/>
  <c r="BG27" i="19" s="1"/>
  <c r="BE27" i="19" a="1"/>
  <c r="BE27" i="19" s="1"/>
  <c r="BC27" i="19" a="1"/>
  <c r="BC27" i="19" s="1"/>
  <c r="BA27" i="19" a="1"/>
  <c r="BA27" i="19" s="1"/>
  <c r="AY27" i="19" a="1"/>
  <c r="AY27" i="19" s="1"/>
  <c r="AW27" i="19" a="1"/>
  <c r="AW27" i="19" s="1"/>
  <c r="AU27" i="19" a="1"/>
  <c r="AU27" i="19" s="1"/>
  <c r="AS27" i="19" a="1"/>
  <c r="AS27" i="19" s="1"/>
  <c r="CB27" i="19" a="1"/>
  <c r="CB27" i="19" s="1"/>
  <c r="BZ27" i="19" a="1"/>
  <c r="BZ27" i="19" s="1"/>
  <c r="BX27" i="19" a="1"/>
  <c r="BX27" i="19" s="1"/>
  <c r="BV27" i="19" a="1"/>
  <c r="BV27" i="19" s="1"/>
  <c r="BT27" i="19" a="1"/>
  <c r="BT27" i="19" s="1"/>
  <c r="BR27" i="19" a="1"/>
  <c r="BR27" i="19" s="1"/>
  <c r="BP27" i="19" a="1"/>
  <c r="BP27" i="19" s="1"/>
  <c r="BJ27" i="19" a="1"/>
  <c r="BJ27" i="19" s="1"/>
  <c r="BH27" i="19" a="1"/>
  <c r="BH27" i="19" s="1"/>
  <c r="BF27" i="19" a="1"/>
  <c r="BF27" i="19" s="1"/>
  <c r="BD27" i="19" a="1"/>
  <c r="BD27" i="19" s="1"/>
  <c r="BB27" i="19" a="1"/>
  <c r="BB27" i="19" s="1"/>
  <c r="AZ27" i="19" a="1"/>
  <c r="AZ27" i="19" s="1"/>
  <c r="AX27" i="19" a="1"/>
  <c r="AX27" i="19" s="1"/>
  <c r="AV27" i="19" a="1"/>
  <c r="AV27" i="19" s="1"/>
  <c r="AT27" i="19" a="1"/>
  <c r="AT27" i="19" s="1"/>
  <c r="CA26" i="19" a="1"/>
  <c r="CA26" i="19" s="1"/>
  <c r="BY26" i="19" a="1"/>
  <c r="BY26" i="19" s="1"/>
  <c r="BW26" i="19" a="1"/>
  <c r="BW26" i="19" s="1"/>
  <c r="BU26" i="19" a="1"/>
  <c r="BU26" i="19" s="1"/>
  <c r="BS26" i="19" a="1"/>
  <c r="BS26" i="19" s="1"/>
  <c r="BQ26" i="19" a="1"/>
  <c r="BQ26" i="19" s="1"/>
  <c r="BK26" i="19" a="1"/>
  <c r="BK26" i="19" s="1"/>
  <c r="BI26" i="19" a="1"/>
  <c r="BI26" i="19" s="1"/>
  <c r="BG26" i="19" a="1"/>
  <c r="BG26" i="19" s="1"/>
  <c r="BE26" i="19" a="1"/>
  <c r="BE26" i="19" s="1"/>
  <c r="BC26" i="19" a="1"/>
  <c r="BC26" i="19" s="1"/>
  <c r="BA26" i="19" a="1"/>
  <c r="BA26" i="19" s="1"/>
  <c r="AY26" i="19" a="1"/>
  <c r="AY26" i="19" s="1"/>
  <c r="AW26" i="19" a="1"/>
  <c r="AW26" i="19" s="1"/>
  <c r="AU26" i="19" a="1"/>
  <c r="AU26" i="19" s="1"/>
  <c r="AS26" i="19" a="1"/>
  <c r="AS26" i="19" s="1"/>
  <c r="CB26" i="19" a="1"/>
  <c r="CB26" i="19" s="1"/>
  <c r="BZ26" i="19" a="1"/>
  <c r="BZ26" i="19" s="1"/>
  <c r="BX26" i="19" a="1"/>
  <c r="BX26" i="19" s="1"/>
  <c r="BV26" i="19" a="1"/>
  <c r="BV26" i="19" s="1"/>
  <c r="BT26" i="19" a="1"/>
  <c r="BT26" i="19" s="1"/>
  <c r="BR26" i="19" a="1"/>
  <c r="BR26" i="19" s="1"/>
  <c r="BP26" i="19" a="1"/>
  <c r="BP26" i="19" s="1"/>
  <c r="BJ26" i="19" a="1"/>
  <c r="BJ26" i="19" s="1"/>
  <c r="BH26" i="19" a="1"/>
  <c r="BH26" i="19" s="1"/>
  <c r="BF26" i="19" a="1"/>
  <c r="BF26" i="19" s="1"/>
  <c r="BD26" i="19" a="1"/>
  <c r="BD26" i="19" s="1"/>
  <c r="BB26" i="19" a="1"/>
  <c r="BB26" i="19" s="1"/>
  <c r="AZ26" i="19" a="1"/>
  <c r="AZ26" i="19" s="1"/>
  <c r="AX26" i="19" a="1"/>
  <c r="AX26" i="19" s="1"/>
  <c r="AV26" i="19" a="1"/>
  <c r="AV26" i="19" s="1"/>
  <c r="AT26" i="19" a="1"/>
  <c r="AT26" i="19" s="1"/>
  <c r="CA25" i="19" a="1"/>
  <c r="CA25" i="19" s="1"/>
  <c r="BY25" i="19" a="1"/>
  <c r="BY25" i="19" s="1"/>
  <c r="BW25" i="19" a="1"/>
  <c r="BW25" i="19" s="1"/>
  <c r="BU25" i="19" a="1"/>
  <c r="BU25" i="19" s="1"/>
  <c r="BS25" i="19" a="1"/>
  <c r="BS25" i="19" s="1"/>
  <c r="BQ25" i="19" a="1"/>
  <c r="BQ25" i="19" s="1"/>
  <c r="BK25" i="19" a="1"/>
  <c r="BK25" i="19" s="1"/>
  <c r="BI25" i="19" a="1"/>
  <c r="BI25" i="19" s="1"/>
  <c r="BG25" i="19" a="1"/>
  <c r="BG25" i="19" s="1"/>
  <c r="BE25" i="19" a="1"/>
  <c r="BE25" i="19" s="1"/>
  <c r="BC25" i="19" a="1"/>
  <c r="BC25" i="19" s="1"/>
  <c r="BA25" i="19" a="1"/>
  <c r="BA25" i="19" s="1"/>
  <c r="AY25" i="19" a="1"/>
  <c r="AY25" i="19" s="1"/>
  <c r="AW25" i="19" a="1"/>
  <c r="AW25" i="19" s="1"/>
  <c r="AU25" i="19" a="1"/>
  <c r="AU25" i="19" s="1"/>
  <c r="AS25" i="19" a="1"/>
  <c r="AS25" i="19" s="1"/>
  <c r="CB25" i="19" a="1"/>
  <c r="CB25" i="19" s="1"/>
  <c r="BZ25" i="19" a="1"/>
  <c r="BZ25" i="19" s="1"/>
  <c r="BX25" i="19" a="1"/>
  <c r="BX25" i="19" s="1"/>
  <c r="BV25" i="19" a="1"/>
  <c r="BV25" i="19" s="1"/>
  <c r="BT25" i="19" a="1"/>
  <c r="BT25" i="19" s="1"/>
  <c r="BR25" i="19" a="1"/>
  <c r="BR25" i="19" s="1"/>
  <c r="BP25" i="19" a="1"/>
  <c r="BP25" i="19" s="1"/>
  <c r="BJ25" i="19" a="1"/>
  <c r="BJ25" i="19" s="1"/>
  <c r="BH25" i="19" a="1"/>
  <c r="BH25" i="19" s="1"/>
  <c r="BF25" i="19" a="1"/>
  <c r="BF25" i="19" s="1"/>
  <c r="BD25" i="19" a="1"/>
  <c r="BD25" i="19" s="1"/>
  <c r="BB25" i="19" a="1"/>
  <c r="BB25" i="19" s="1"/>
  <c r="AZ25" i="19" a="1"/>
  <c r="AZ25" i="19" s="1"/>
  <c r="AX25" i="19" a="1"/>
  <c r="AX25" i="19" s="1"/>
  <c r="AV25" i="19" a="1"/>
  <c r="AV25" i="19" s="1"/>
  <c r="AT25" i="19" a="1"/>
  <c r="AT25" i="19" s="1"/>
  <c r="CA24" i="19" a="1"/>
  <c r="CA24" i="19" s="1"/>
  <c r="BY24" i="19" a="1"/>
  <c r="BY24" i="19" s="1"/>
  <c r="BW24" i="19" a="1"/>
  <c r="BW24" i="19" s="1"/>
  <c r="BU24" i="19" a="1"/>
  <c r="BU24" i="19" s="1"/>
  <c r="BS24" i="19" a="1"/>
  <c r="BS24" i="19" s="1"/>
  <c r="BQ24" i="19" a="1"/>
  <c r="BQ24" i="19" s="1"/>
  <c r="BK24" i="19" a="1"/>
  <c r="BK24" i="19" s="1"/>
  <c r="BI24" i="19" a="1"/>
  <c r="BI24" i="19" s="1"/>
  <c r="BG24" i="19" a="1"/>
  <c r="BG24" i="19" s="1"/>
  <c r="BE24" i="19" a="1"/>
  <c r="BE24" i="19" s="1"/>
  <c r="BC24" i="19" a="1"/>
  <c r="BC24" i="19" s="1"/>
  <c r="BA24" i="19" a="1"/>
  <c r="BA24" i="19" s="1"/>
  <c r="AY24" i="19" a="1"/>
  <c r="AY24" i="19" s="1"/>
  <c r="AW24" i="19" a="1"/>
  <c r="AW24" i="19" s="1"/>
  <c r="AU24" i="19" a="1"/>
  <c r="AU24" i="19" s="1"/>
  <c r="AS24" i="19" a="1"/>
  <c r="AS24" i="19" s="1"/>
  <c r="CB24" i="19" a="1"/>
  <c r="CB24" i="19" s="1"/>
  <c r="BZ24" i="19" a="1"/>
  <c r="BZ24" i="19" s="1"/>
  <c r="BX24" i="19" a="1"/>
  <c r="BX24" i="19" s="1"/>
  <c r="BV24" i="19" a="1"/>
  <c r="BV24" i="19" s="1"/>
  <c r="BT24" i="19" a="1"/>
  <c r="BT24" i="19" s="1"/>
  <c r="BR24" i="19" a="1"/>
  <c r="BR24" i="19" s="1"/>
  <c r="BP24" i="19" a="1"/>
  <c r="BP24" i="19" s="1"/>
  <c r="BJ24" i="19" a="1"/>
  <c r="BJ24" i="19" s="1"/>
  <c r="BH24" i="19" a="1"/>
  <c r="BH24" i="19" s="1"/>
  <c r="BF24" i="19" a="1"/>
  <c r="BF24" i="19" s="1"/>
  <c r="BD24" i="19" a="1"/>
  <c r="BD24" i="19" s="1"/>
  <c r="BB24" i="19" a="1"/>
  <c r="BB24" i="19" s="1"/>
  <c r="AZ24" i="19" a="1"/>
  <c r="AZ24" i="19" s="1"/>
  <c r="AX24" i="19" a="1"/>
  <c r="AX24" i="19" s="1"/>
  <c r="AV24" i="19" a="1"/>
  <c r="AV24" i="19" s="1"/>
  <c r="AT24" i="19" a="1"/>
  <c r="AT24" i="19" s="1"/>
  <c r="CA23" i="19" a="1"/>
  <c r="CA23" i="19" s="1"/>
  <c r="BY23" i="19" a="1"/>
  <c r="BY23" i="19" s="1"/>
  <c r="BW23" i="19" a="1"/>
  <c r="BW23" i="19" s="1"/>
  <c r="BU23" i="19" a="1"/>
  <c r="BU23" i="19" s="1"/>
  <c r="BS23" i="19" a="1"/>
  <c r="BS23" i="19" s="1"/>
  <c r="BQ23" i="19" a="1"/>
  <c r="BQ23" i="19" s="1"/>
  <c r="BK23" i="19" a="1"/>
  <c r="BK23" i="19" s="1"/>
  <c r="BI23" i="19" a="1"/>
  <c r="BI23" i="19" s="1"/>
  <c r="BG23" i="19" a="1"/>
  <c r="BG23" i="19" s="1"/>
  <c r="BE23" i="19" a="1"/>
  <c r="BE23" i="19" s="1"/>
  <c r="BC23" i="19" a="1"/>
  <c r="BC23" i="19" s="1"/>
  <c r="BA23" i="19" a="1"/>
  <c r="BA23" i="19" s="1"/>
  <c r="AY23" i="19" a="1"/>
  <c r="AY23" i="19" s="1"/>
  <c r="AW23" i="19" a="1"/>
  <c r="AW23" i="19" s="1"/>
  <c r="AU23" i="19" a="1"/>
  <c r="AU23" i="19" s="1"/>
  <c r="AS23" i="19" a="1"/>
  <c r="AS23" i="19" s="1"/>
  <c r="CB23" i="19" a="1"/>
  <c r="CB23" i="19" s="1"/>
  <c r="BZ23" i="19" a="1"/>
  <c r="BZ23" i="19" s="1"/>
  <c r="BX23" i="19" a="1"/>
  <c r="BX23" i="19" s="1"/>
  <c r="BV23" i="19" a="1"/>
  <c r="BV23" i="19" s="1"/>
  <c r="BT23" i="19" a="1"/>
  <c r="BT23" i="19" s="1"/>
  <c r="BR23" i="19" a="1"/>
  <c r="BR23" i="19" s="1"/>
  <c r="BP23" i="19" a="1"/>
  <c r="BP23" i="19" s="1"/>
  <c r="BJ23" i="19" a="1"/>
  <c r="BJ23" i="19" s="1"/>
  <c r="BH23" i="19" a="1"/>
  <c r="BH23" i="19" s="1"/>
  <c r="BF23" i="19" a="1"/>
  <c r="BF23" i="19" s="1"/>
  <c r="BD23" i="19" a="1"/>
  <c r="BD23" i="19" s="1"/>
  <c r="BB23" i="19" a="1"/>
  <c r="BB23" i="19" s="1"/>
  <c r="AZ23" i="19" a="1"/>
  <c r="AZ23" i="19" s="1"/>
  <c r="AX23" i="19" a="1"/>
  <c r="AX23" i="19" s="1"/>
  <c r="AV23" i="19" a="1"/>
  <c r="AV23" i="19" s="1"/>
  <c r="AT23" i="19" a="1"/>
  <c r="AT23" i="19" s="1"/>
  <c r="CA22" i="19" a="1"/>
  <c r="CA22" i="19" s="1"/>
  <c r="BY22" i="19" a="1"/>
  <c r="BY22" i="19" s="1"/>
  <c r="BW22" i="19" a="1"/>
  <c r="BW22" i="19" s="1"/>
  <c r="BU22" i="19" a="1"/>
  <c r="BU22" i="19" s="1"/>
  <c r="BS22" i="19" a="1"/>
  <c r="BS22" i="19" s="1"/>
  <c r="BQ22" i="19" a="1"/>
  <c r="BQ22" i="19" s="1"/>
  <c r="BK22" i="19" a="1"/>
  <c r="BK22" i="19" s="1"/>
  <c r="BI22" i="19" a="1"/>
  <c r="BI22" i="19" s="1"/>
  <c r="BG22" i="19" a="1"/>
  <c r="BG22" i="19" s="1"/>
  <c r="BE22" i="19" a="1"/>
  <c r="BE22" i="19" s="1"/>
  <c r="BC22" i="19" a="1"/>
  <c r="BC22" i="19" s="1"/>
  <c r="BA22" i="19" a="1"/>
  <c r="BA22" i="19" s="1"/>
  <c r="AY22" i="19" a="1"/>
  <c r="AY22" i="19" s="1"/>
  <c r="AW22" i="19" a="1"/>
  <c r="AW22" i="19" s="1"/>
  <c r="AU22" i="19" a="1"/>
  <c r="AU22" i="19" s="1"/>
  <c r="AS22" i="19" a="1"/>
  <c r="AS22" i="19" s="1"/>
  <c r="CB22" i="19" a="1"/>
  <c r="CB22" i="19" s="1"/>
  <c r="BZ22" i="19" a="1"/>
  <c r="BZ22" i="19" s="1"/>
  <c r="BX22" i="19" a="1"/>
  <c r="BX22" i="19" s="1"/>
  <c r="BV22" i="19" a="1"/>
  <c r="BV22" i="19" s="1"/>
  <c r="BT22" i="19" a="1"/>
  <c r="BT22" i="19" s="1"/>
  <c r="BR22" i="19" a="1"/>
  <c r="BR22" i="19" s="1"/>
  <c r="BP22" i="19" a="1"/>
  <c r="BP22" i="19" s="1"/>
  <c r="BJ22" i="19" a="1"/>
  <c r="BJ22" i="19" s="1"/>
  <c r="BH22" i="19" a="1"/>
  <c r="BH22" i="19" s="1"/>
  <c r="BF22" i="19" a="1"/>
  <c r="BF22" i="19" s="1"/>
  <c r="BD22" i="19" a="1"/>
  <c r="BD22" i="19" s="1"/>
  <c r="BB22" i="19" a="1"/>
  <c r="BB22" i="19" s="1"/>
  <c r="AZ22" i="19" a="1"/>
  <c r="AZ22" i="19" s="1"/>
  <c r="AX22" i="19" a="1"/>
  <c r="AX22" i="19" s="1"/>
  <c r="AV22" i="19" a="1"/>
  <c r="AV22" i="19" s="1"/>
  <c r="AT22" i="19" a="1"/>
  <c r="AT22" i="19" s="1"/>
  <c r="CA21" i="19" a="1"/>
  <c r="CA21" i="19" s="1"/>
  <c r="BY21" i="19" a="1"/>
  <c r="BY21" i="19" s="1"/>
  <c r="BW21" i="19" a="1"/>
  <c r="BW21" i="19" s="1"/>
  <c r="BU21" i="19" a="1"/>
  <c r="BU21" i="19" s="1"/>
  <c r="BS21" i="19" a="1"/>
  <c r="BS21" i="19" s="1"/>
  <c r="BQ21" i="19" a="1"/>
  <c r="BQ21" i="19" s="1"/>
  <c r="BK21" i="19" a="1"/>
  <c r="BK21" i="19" s="1"/>
  <c r="BI21" i="19" a="1"/>
  <c r="BI21" i="19" s="1"/>
  <c r="BG21" i="19" a="1"/>
  <c r="BG21" i="19" s="1"/>
  <c r="BE21" i="19" a="1"/>
  <c r="BE21" i="19" s="1"/>
  <c r="BC21" i="19" a="1"/>
  <c r="BC21" i="19" s="1"/>
  <c r="BA21" i="19" a="1"/>
  <c r="BA21" i="19" s="1"/>
  <c r="AY21" i="19" a="1"/>
  <c r="AY21" i="19" s="1"/>
  <c r="AW21" i="19" a="1"/>
  <c r="AW21" i="19" s="1"/>
  <c r="AU21" i="19" a="1"/>
  <c r="AU21" i="19" s="1"/>
  <c r="AS21" i="19" a="1"/>
  <c r="AS21" i="19" s="1"/>
  <c r="CB21" i="19" a="1"/>
  <c r="CB21" i="19" s="1"/>
  <c r="BZ21" i="19" a="1"/>
  <c r="BZ21" i="19" s="1"/>
  <c r="BX21" i="19" a="1"/>
  <c r="BX21" i="19" s="1"/>
  <c r="BV21" i="19" a="1"/>
  <c r="BV21" i="19" s="1"/>
  <c r="BT21" i="19" a="1"/>
  <c r="BT21" i="19" s="1"/>
  <c r="BR21" i="19" a="1"/>
  <c r="BR21" i="19" s="1"/>
  <c r="BP21" i="19" a="1"/>
  <c r="BP21" i="19" s="1"/>
  <c r="BJ21" i="19" a="1"/>
  <c r="BJ21" i="19" s="1"/>
  <c r="BH21" i="19" a="1"/>
  <c r="BH21" i="19" s="1"/>
  <c r="BF21" i="19" a="1"/>
  <c r="BF21" i="19" s="1"/>
  <c r="BD21" i="19" a="1"/>
  <c r="BD21" i="19" s="1"/>
  <c r="BB21" i="19" a="1"/>
  <c r="BB21" i="19" s="1"/>
  <c r="AZ21" i="19" a="1"/>
  <c r="AZ21" i="19" s="1"/>
  <c r="AX21" i="19" a="1"/>
  <c r="AX21" i="19" s="1"/>
  <c r="AV21" i="19" a="1"/>
  <c r="AV21" i="19" s="1"/>
  <c r="AT21" i="19" a="1"/>
  <c r="AT21" i="19" s="1"/>
  <c r="CA20" i="19" a="1"/>
  <c r="CA20" i="19" s="1"/>
  <c r="BY20" i="19" a="1"/>
  <c r="BY20" i="19" s="1"/>
  <c r="BW20" i="19" a="1"/>
  <c r="BW20" i="19" s="1"/>
  <c r="BU20" i="19" a="1"/>
  <c r="BU20" i="19" s="1"/>
  <c r="BS20" i="19" a="1"/>
  <c r="BS20" i="19" s="1"/>
  <c r="BQ20" i="19" a="1"/>
  <c r="BQ20" i="19" s="1"/>
  <c r="BK20" i="19" a="1"/>
  <c r="BK20" i="19" s="1"/>
  <c r="BI20" i="19" a="1"/>
  <c r="BI20" i="19" s="1"/>
  <c r="BG20" i="19" a="1"/>
  <c r="BG20" i="19" s="1"/>
  <c r="BE20" i="19" a="1"/>
  <c r="BE20" i="19" s="1"/>
  <c r="BC20" i="19" a="1"/>
  <c r="BC20" i="19" s="1"/>
  <c r="BA20" i="19" a="1"/>
  <c r="BA20" i="19" s="1"/>
  <c r="AY20" i="19" a="1"/>
  <c r="AY20" i="19" s="1"/>
  <c r="AW20" i="19" a="1"/>
  <c r="AW20" i="19" s="1"/>
  <c r="AU20" i="19" a="1"/>
  <c r="AU20" i="19" s="1"/>
  <c r="AS20" i="19" a="1"/>
  <c r="AS20" i="19" s="1"/>
  <c r="CB20" i="19" a="1"/>
  <c r="CB20" i="19" s="1"/>
  <c r="BZ20" i="19" a="1"/>
  <c r="BZ20" i="19" s="1"/>
  <c r="BX20" i="19" a="1"/>
  <c r="BX20" i="19" s="1"/>
  <c r="BV20" i="19" a="1"/>
  <c r="BV20" i="19" s="1"/>
  <c r="BT20" i="19" a="1"/>
  <c r="BT20" i="19" s="1"/>
  <c r="BR20" i="19" a="1"/>
  <c r="BR20" i="19" s="1"/>
  <c r="BP20" i="19" a="1"/>
  <c r="BP20" i="19" s="1"/>
  <c r="BJ20" i="19" a="1"/>
  <c r="BJ20" i="19" s="1"/>
  <c r="BH20" i="19" a="1"/>
  <c r="BH20" i="19" s="1"/>
  <c r="BF20" i="19" a="1"/>
  <c r="BF20" i="19" s="1"/>
  <c r="BD20" i="19" a="1"/>
  <c r="BD20" i="19" s="1"/>
  <c r="BB20" i="19" a="1"/>
  <c r="BB20" i="19" s="1"/>
  <c r="AZ20" i="19" a="1"/>
  <c r="AZ20" i="19" s="1"/>
  <c r="AX20" i="19" a="1"/>
  <c r="AX20" i="19" s="1"/>
  <c r="AV20" i="19" a="1"/>
  <c r="AV20" i="19" s="1"/>
  <c r="AT20" i="19" a="1"/>
  <c r="AT20" i="19" s="1"/>
  <c r="CA19" i="19" a="1"/>
  <c r="CA19" i="19" s="1"/>
  <c r="BY19" i="19" a="1"/>
  <c r="BY19" i="19" s="1"/>
  <c r="BW19" i="19" a="1"/>
  <c r="BW19" i="19" s="1"/>
  <c r="BU19" i="19" a="1"/>
  <c r="BU19" i="19" s="1"/>
  <c r="BS19" i="19" a="1"/>
  <c r="BS19" i="19" s="1"/>
  <c r="BQ19" i="19" a="1"/>
  <c r="BQ19" i="19" s="1"/>
  <c r="BK19" i="19" a="1"/>
  <c r="BK19" i="19" s="1"/>
  <c r="BI19" i="19" a="1"/>
  <c r="BI19" i="19" s="1"/>
  <c r="BG19" i="19" a="1"/>
  <c r="BG19" i="19" s="1"/>
  <c r="BE19" i="19" a="1"/>
  <c r="BE19" i="19" s="1"/>
  <c r="BC19" i="19" a="1"/>
  <c r="BC19" i="19" s="1"/>
  <c r="BA19" i="19" a="1"/>
  <c r="BA19" i="19" s="1"/>
  <c r="AY19" i="19" a="1"/>
  <c r="AY19" i="19" s="1"/>
  <c r="AW19" i="19" a="1"/>
  <c r="AW19" i="19" s="1"/>
  <c r="AU19" i="19" a="1"/>
  <c r="AU19" i="19" s="1"/>
  <c r="AS19" i="19" a="1"/>
  <c r="AS19" i="19" s="1"/>
  <c r="CB19" i="19" a="1"/>
  <c r="CB19" i="19" s="1"/>
  <c r="BZ19" i="19" a="1"/>
  <c r="BZ19" i="19" s="1"/>
  <c r="BX19" i="19" a="1"/>
  <c r="BX19" i="19" s="1"/>
  <c r="BV19" i="19" a="1"/>
  <c r="BV19" i="19" s="1"/>
  <c r="BT19" i="19" a="1"/>
  <c r="BT19" i="19" s="1"/>
  <c r="BR19" i="19" a="1"/>
  <c r="BR19" i="19" s="1"/>
  <c r="BP19" i="19" a="1"/>
  <c r="BP19" i="19" s="1"/>
  <c r="BJ19" i="19" a="1"/>
  <c r="BJ19" i="19" s="1"/>
  <c r="BH19" i="19" a="1"/>
  <c r="BH19" i="19" s="1"/>
  <c r="BF19" i="19" a="1"/>
  <c r="BF19" i="19" s="1"/>
  <c r="BD19" i="19" a="1"/>
  <c r="BD19" i="19" s="1"/>
  <c r="BB19" i="19" a="1"/>
  <c r="BB19" i="19" s="1"/>
  <c r="AZ19" i="19" a="1"/>
  <c r="AZ19" i="19" s="1"/>
  <c r="AX19" i="19" a="1"/>
  <c r="AX19" i="19" s="1"/>
  <c r="AV19" i="19" a="1"/>
  <c r="AV19" i="19" s="1"/>
  <c r="AT19" i="19" a="1"/>
  <c r="AT19" i="19" s="1"/>
  <c r="CA18" i="19" a="1"/>
  <c r="CA18" i="19" s="1"/>
  <c r="BY18" i="19" a="1"/>
  <c r="BY18" i="19" s="1"/>
  <c r="BW18" i="19" a="1"/>
  <c r="BW18" i="19" s="1"/>
  <c r="BU18" i="19" a="1"/>
  <c r="BU18" i="19" s="1"/>
  <c r="BS18" i="19" a="1"/>
  <c r="BS18" i="19" s="1"/>
  <c r="BQ18" i="19" a="1"/>
  <c r="BQ18" i="19" s="1"/>
  <c r="BK18" i="19" a="1"/>
  <c r="BK18" i="19" s="1"/>
  <c r="BI18" i="19" a="1"/>
  <c r="BI18" i="19" s="1"/>
  <c r="BG18" i="19" a="1"/>
  <c r="BG18" i="19" s="1"/>
  <c r="BE18" i="19" a="1"/>
  <c r="BE18" i="19" s="1"/>
  <c r="BC18" i="19" a="1"/>
  <c r="BC18" i="19" s="1"/>
  <c r="BA18" i="19" a="1"/>
  <c r="BA18" i="19" s="1"/>
  <c r="AY18" i="19" a="1"/>
  <c r="AY18" i="19" s="1"/>
  <c r="AW18" i="19" a="1"/>
  <c r="AW18" i="19" s="1"/>
  <c r="AU18" i="19" a="1"/>
  <c r="AU18" i="19" s="1"/>
  <c r="AS18" i="19" a="1"/>
  <c r="AS18" i="19" s="1"/>
  <c r="CB18" i="19" a="1"/>
  <c r="CB18" i="19" s="1"/>
  <c r="BZ18" i="19" a="1"/>
  <c r="BZ18" i="19" s="1"/>
  <c r="BX18" i="19" a="1"/>
  <c r="BX18" i="19" s="1"/>
  <c r="BV18" i="19" a="1"/>
  <c r="BV18" i="19" s="1"/>
  <c r="BT18" i="19" a="1"/>
  <c r="BT18" i="19" s="1"/>
  <c r="BR18" i="19" a="1"/>
  <c r="BR18" i="19" s="1"/>
  <c r="BP18" i="19" a="1"/>
  <c r="BP18" i="19" s="1"/>
  <c r="BJ18" i="19" a="1"/>
  <c r="BJ18" i="19" s="1"/>
  <c r="BH18" i="19" a="1"/>
  <c r="BH18" i="19" s="1"/>
  <c r="BF18" i="19" a="1"/>
  <c r="BF18" i="19" s="1"/>
  <c r="BD18" i="19" a="1"/>
  <c r="BD18" i="19" s="1"/>
  <c r="BB18" i="19" a="1"/>
  <c r="BB18" i="19" s="1"/>
  <c r="AZ18" i="19" a="1"/>
  <c r="AZ18" i="19" s="1"/>
  <c r="AX18" i="19" a="1"/>
  <c r="AX18" i="19" s="1"/>
  <c r="AV18" i="19" a="1"/>
  <c r="AV18" i="19" s="1"/>
  <c r="AT18" i="19" a="1"/>
  <c r="AT18" i="19" s="1"/>
  <c r="CA17" i="19" a="1"/>
  <c r="CA17" i="19" s="1"/>
  <c r="BY17" i="19" a="1"/>
  <c r="BY17" i="19" s="1"/>
  <c r="BW17" i="19" a="1"/>
  <c r="BW17" i="19" s="1"/>
  <c r="BU17" i="19" a="1"/>
  <c r="BU17" i="19" s="1"/>
  <c r="BS17" i="19" a="1"/>
  <c r="BS17" i="19" s="1"/>
  <c r="BQ17" i="19" a="1"/>
  <c r="BQ17" i="19" s="1"/>
  <c r="BK17" i="19" a="1"/>
  <c r="BK17" i="19" s="1"/>
  <c r="BI17" i="19" a="1"/>
  <c r="BI17" i="19" s="1"/>
  <c r="BG17" i="19" a="1"/>
  <c r="BG17" i="19" s="1"/>
  <c r="BE17" i="19" a="1"/>
  <c r="BE17" i="19" s="1"/>
  <c r="BC17" i="19" a="1"/>
  <c r="BC17" i="19" s="1"/>
  <c r="BA17" i="19" a="1"/>
  <c r="BA17" i="19" s="1"/>
  <c r="AY17" i="19" a="1"/>
  <c r="AY17" i="19" s="1"/>
  <c r="AW17" i="19" a="1"/>
  <c r="AW17" i="19" s="1"/>
  <c r="AU17" i="19" a="1"/>
  <c r="AU17" i="19" s="1"/>
  <c r="AS17" i="19" a="1"/>
  <c r="AS17" i="19" s="1"/>
  <c r="CB17" i="19" a="1"/>
  <c r="CB17" i="19" s="1"/>
  <c r="BZ17" i="19" a="1"/>
  <c r="BZ17" i="19" s="1"/>
  <c r="BX17" i="19" a="1"/>
  <c r="BX17" i="19" s="1"/>
  <c r="BV17" i="19" a="1"/>
  <c r="BV17" i="19" s="1"/>
  <c r="BT17" i="19" a="1"/>
  <c r="BT17" i="19" s="1"/>
  <c r="BR17" i="19" a="1"/>
  <c r="BR17" i="19" s="1"/>
  <c r="BP17" i="19" a="1"/>
  <c r="BP17" i="19" s="1"/>
  <c r="BJ17" i="19" a="1"/>
  <c r="BJ17" i="19" s="1"/>
  <c r="BH17" i="19" a="1"/>
  <c r="BH17" i="19" s="1"/>
  <c r="BF17" i="19" a="1"/>
  <c r="BF17" i="19" s="1"/>
  <c r="BD17" i="19" a="1"/>
  <c r="BD17" i="19" s="1"/>
  <c r="BB17" i="19" a="1"/>
  <c r="BB17" i="19" s="1"/>
  <c r="AZ17" i="19" a="1"/>
  <c r="AZ17" i="19" s="1"/>
  <c r="AX17" i="19" a="1"/>
  <c r="AX17" i="19" s="1"/>
  <c r="AV17" i="19" a="1"/>
  <c r="AV17" i="19" s="1"/>
  <c r="AT17" i="19" a="1"/>
  <c r="AT17" i="19" s="1"/>
  <c r="CA16" i="19" a="1"/>
  <c r="CA16" i="19" s="1"/>
  <c r="BY16" i="19" a="1"/>
  <c r="BY16" i="19" s="1"/>
  <c r="BW16" i="19" a="1"/>
  <c r="BW16" i="19" s="1"/>
  <c r="BU16" i="19" a="1"/>
  <c r="BU16" i="19" s="1"/>
  <c r="BS16" i="19" a="1"/>
  <c r="BS16" i="19" s="1"/>
  <c r="BQ16" i="19" a="1"/>
  <c r="BQ16" i="19" s="1"/>
  <c r="BK16" i="19" a="1"/>
  <c r="BK16" i="19" s="1"/>
  <c r="BI16" i="19" a="1"/>
  <c r="BI16" i="19" s="1"/>
  <c r="BG16" i="19" a="1"/>
  <c r="BG16" i="19" s="1"/>
  <c r="BE16" i="19" a="1"/>
  <c r="BE16" i="19" s="1"/>
  <c r="BC16" i="19" a="1"/>
  <c r="BC16" i="19" s="1"/>
  <c r="BA16" i="19" a="1"/>
  <c r="BA16" i="19" s="1"/>
  <c r="AY16" i="19" a="1"/>
  <c r="AY16" i="19" s="1"/>
  <c r="AW16" i="19" a="1"/>
  <c r="AW16" i="19" s="1"/>
  <c r="AU16" i="19" a="1"/>
  <c r="AU16" i="19" s="1"/>
  <c r="AS16" i="19" a="1"/>
  <c r="AS16" i="19" s="1"/>
  <c r="CB16" i="19" a="1"/>
  <c r="CB16" i="19" s="1"/>
  <c r="BZ16" i="19" a="1"/>
  <c r="BZ16" i="19" s="1"/>
  <c r="BX16" i="19" a="1"/>
  <c r="BX16" i="19" s="1"/>
  <c r="BV16" i="19" a="1"/>
  <c r="BV16" i="19" s="1"/>
  <c r="BT16" i="19" a="1"/>
  <c r="BT16" i="19" s="1"/>
  <c r="BR16" i="19" a="1"/>
  <c r="BR16" i="19" s="1"/>
  <c r="BP16" i="19" a="1"/>
  <c r="BP16" i="19" s="1"/>
  <c r="BJ16" i="19" a="1"/>
  <c r="BJ16" i="19" s="1"/>
  <c r="BH16" i="19" a="1"/>
  <c r="BH16" i="19" s="1"/>
  <c r="BF16" i="19" a="1"/>
  <c r="BF16" i="19" s="1"/>
  <c r="BD16" i="19" a="1"/>
  <c r="BD16" i="19" s="1"/>
  <c r="BB16" i="19" a="1"/>
  <c r="BB16" i="19" s="1"/>
  <c r="AZ16" i="19" a="1"/>
  <c r="AZ16" i="19" s="1"/>
  <c r="AX16" i="19" a="1"/>
  <c r="AX16" i="19" s="1"/>
  <c r="AV16" i="19" a="1"/>
  <c r="AV16" i="19" s="1"/>
  <c r="AT16" i="19" a="1"/>
  <c r="AT16" i="19" s="1"/>
  <c r="CA15" i="19" a="1"/>
  <c r="CA15" i="19" s="1"/>
  <c r="BY15" i="19" a="1"/>
  <c r="BY15" i="19" s="1"/>
  <c r="BW15" i="19" a="1"/>
  <c r="BW15" i="19" s="1"/>
  <c r="BU15" i="19" a="1"/>
  <c r="BU15" i="19" s="1"/>
  <c r="BS15" i="19" a="1"/>
  <c r="BS15" i="19" s="1"/>
  <c r="BQ15" i="19" a="1"/>
  <c r="BQ15" i="19" s="1"/>
  <c r="BK15" i="19" a="1"/>
  <c r="BK15" i="19" s="1"/>
  <c r="BI15" i="19" a="1"/>
  <c r="BI15" i="19" s="1"/>
  <c r="BG15" i="19" a="1"/>
  <c r="BG15" i="19" s="1"/>
  <c r="BE15" i="19" a="1"/>
  <c r="BE15" i="19" s="1"/>
  <c r="BC15" i="19" a="1"/>
  <c r="BC15" i="19" s="1"/>
  <c r="BA15" i="19" a="1"/>
  <c r="BA15" i="19" s="1"/>
  <c r="AY15" i="19" a="1"/>
  <c r="AY15" i="19" s="1"/>
  <c r="AW15" i="19" a="1"/>
  <c r="AW15" i="19" s="1"/>
  <c r="AU15" i="19" a="1"/>
  <c r="AU15" i="19" s="1"/>
  <c r="AS15" i="19" a="1"/>
  <c r="AS15" i="19" s="1"/>
  <c r="CB15" i="19" a="1"/>
  <c r="CB15" i="19" s="1"/>
  <c r="BZ15" i="19" a="1"/>
  <c r="BZ15" i="19" s="1"/>
  <c r="BX15" i="19" a="1"/>
  <c r="BX15" i="19" s="1"/>
  <c r="BV15" i="19" a="1"/>
  <c r="BV15" i="19" s="1"/>
  <c r="BT15" i="19" a="1"/>
  <c r="BT15" i="19" s="1"/>
  <c r="BR15" i="19" a="1"/>
  <c r="BR15" i="19" s="1"/>
  <c r="BP15" i="19" a="1"/>
  <c r="BP15" i="19" s="1"/>
  <c r="BJ15" i="19" a="1"/>
  <c r="BJ15" i="19" s="1"/>
  <c r="BH15" i="19" a="1"/>
  <c r="BH15" i="19" s="1"/>
  <c r="BF15" i="19" a="1"/>
  <c r="BF15" i="19" s="1"/>
  <c r="BD15" i="19" a="1"/>
  <c r="BD15" i="19" s="1"/>
  <c r="BB15" i="19" a="1"/>
  <c r="BB15" i="19" s="1"/>
  <c r="AZ15" i="19" a="1"/>
  <c r="AZ15" i="19" s="1"/>
  <c r="AX15" i="19" a="1"/>
  <c r="AX15" i="19" s="1"/>
  <c r="AV15" i="19" a="1"/>
  <c r="AV15" i="19" s="1"/>
  <c r="AT15" i="19" a="1"/>
  <c r="AT15" i="19" s="1"/>
  <c r="CA14" i="19" a="1"/>
  <c r="CA14" i="19" s="1"/>
  <c r="BY14" i="19" a="1"/>
  <c r="BY14" i="19" s="1"/>
  <c r="BW14" i="19" a="1"/>
  <c r="BW14" i="19" s="1"/>
  <c r="BU14" i="19" a="1"/>
  <c r="BU14" i="19" s="1"/>
  <c r="BS14" i="19" a="1"/>
  <c r="BS14" i="19" s="1"/>
  <c r="BQ14" i="19" a="1"/>
  <c r="BQ14" i="19" s="1"/>
  <c r="BK14" i="19" a="1"/>
  <c r="BK14" i="19" s="1"/>
  <c r="BI14" i="19" a="1"/>
  <c r="BI14" i="19" s="1"/>
  <c r="BG14" i="19" a="1"/>
  <c r="BG14" i="19" s="1"/>
  <c r="BE14" i="19" a="1"/>
  <c r="BE14" i="19" s="1"/>
  <c r="BC14" i="19" a="1"/>
  <c r="BC14" i="19" s="1"/>
  <c r="BA14" i="19" a="1"/>
  <c r="BA14" i="19" s="1"/>
  <c r="AY14" i="19" a="1"/>
  <c r="AY14" i="19" s="1"/>
  <c r="AW14" i="19" a="1"/>
  <c r="AW14" i="19" s="1"/>
  <c r="AU14" i="19" a="1"/>
  <c r="AU14" i="19" s="1"/>
  <c r="AS14" i="19" a="1"/>
  <c r="AS14" i="19" s="1"/>
  <c r="CB14" i="19" a="1"/>
  <c r="CB14" i="19" s="1"/>
  <c r="BZ14" i="19" a="1"/>
  <c r="BZ14" i="19" s="1"/>
  <c r="BX14" i="19" a="1"/>
  <c r="BX14" i="19" s="1"/>
  <c r="BV14" i="19" a="1"/>
  <c r="BV14" i="19" s="1"/>
  <c r="BT14" i="19" a="1"/>
  <c r="BT14" i="19" s="1"/>
  <c r="BR14" i="19" a="1"/>
  <c r="BR14" i="19" s="1"/>
  <c r="BP14" i="19" a="1"/>
  <c r="BP14" i="19" s="1"/>
  <c r="BJ14" i="19" a="1"/>
  <c r="BJ14" i="19" s="1"/>
  <c r="BH14" i="19" a="1"/>
  <c r="BH14" i="19" s="1"/>
  <c r="BF14" i="19" a="1"/>
  <c r="BF14" i="19" s="1"/>
  <c r="BD14" i="19" a="1"/>
  <c r="BD14" i="19" s="1"/>
  <c r="BB14" i="19" a="1"/>
  <c r="BB14" i="19" s="1"/>
  <c r="AZ14" i="19" a="1"/>
  <c r="AZ14" i="19" s="1"/>
  <c r="AX14" i="19" a="1"/>
  <c r="AX14" i="19" s="1"/>
  <c r="AV14" i="19" a="1"/>
  <c r="AV14" i="19" s="1"/>
  <c r="AT14" i="19" a="1"/>
  <c r="AT14" i="19" s="1"/>
  <c r="CA13" i="19" a="1"/>
  <c r="CA13" i="19" s="1"/>
  <c r="BY13" i="19" a="1"/>
  <c r="BY13" i="19" s="1"/>
  <c r="BW13" i="19" a="1"/>
  <c r="BW13" i="19" s="1"/>
  <c r="BU13" i="19" a="1"/>
  <c r="BU13" i="19" s="1"/>
  <c r="BS13" i="19" a="1"/>
  <c r="BS13" i="19" s="1"/>
  <c r="BQ13" i="19" a="1"/>
  <c r="BQ13" i="19" s="1"/>
  <c r="BK13" i="19" a="1"/>
  <c r="BK13" i="19" s="1"/>
  <c r="BI13" i="19" a="1"/>
  <c r="BI13" i="19" s="1"/>
  <c r="BG13" i="19" a="1"/>
  <c r="BG13" i="19" s="1"/>
  <c r="BE13" i="19" a="1"/>
  <c r="BE13" i="19" s="1"/>
  <c r="BC13" i="19" a="1"/>
  <c r="BC13" i="19" s="1"/>
  <c r="BA13" i="19" a="1"/>
  <c r="BA13" i="19" s="1"/>
  <c r="AY13" i="19" a="1"/>
  <c r="AY13" i="19" s="1"/>
  <c r="AW13" i="19" a="1"/>
  <c r="AW13" i="19" s="1"/>
  <c r="AU13" i="19" a="1"/>
  <c r="AU13" i="19" s="1"/>
  <c r="AS13" i="19" a="1"/>
  <c r="AS13" i="19" s="1"/>
  <c r="CB13" i="19" a="1"/>
  <c r="CB13" i="19" s="1"/>
  <c r="BZ13" i="19" a="1"/>
  <c r="BZ13" i="19" s="1"/>
  <c r="BX13" i="19" a="1"/>
  <c r="BX13" i="19" s="1"/>
  <c r="BV13" i="19" a="1"/>
  <c r="BV13" i="19" s="1"/>
  <c r="BT13" i="19" a="1"/>
  <c r="BT13" i="19" s="1"/>
  <c r="BR13" i="19" a="1"/>
  <c r="BR13" i="19" s="1"/>
  <c r="BP13" i="19" a="1"/>
  <c r="BP13" i="19" s="1"/>
  <c r="BJ13" i="19" a="1"/>
  <c r="BJ13" i="19" s="1"/>
  <c r="BH13" i="19" a="1"/>
  <c r="BH13" i="19" s="1"/>
  <c r="BF13" i="19" a="1"/>
  <c r="BF13" i="19" s="1"/>
  <c r="BD13" i="19" a="1"/>
  <c r="BD13" i="19" s="1"/>
  <c r="BB13" i="19" a="1"/>
  <c r="BB13" i="19" s="1"/>
  <c r="AZ13" i="19" a="1"/>
  <c r="AZ13" i="19" s="1"/>
  <c r="AX13" i="19" a="1"/>
  <c r="AX13" i="19" s="1"/>
  <c r="AV13" i="19" a="1"/>
  <c r="AV13" i="19" s="1"/>
  <c r="AT13" i="19" a="1"/>
  <c r="AT13" i="19" s="1"/>
  <c r="CA12" i="19" a="1"/>
  <c r="CA12" i="19" s="1"/>
  <c r="BY12" i="19" a="1"/>
  <c r="BY12" i="19" s="1"/>
  <c r="BW12" i="19" a="1"/>
  <c r="BW12" i="19" s="1"/>
  <c r="BU12" i="19" a="1"/>
  <c r="BU12" i="19" s="1"/>
  <c r="BS12" i="19" a="1"/>
  <c r="BS12" i="19" s="1"/>
  <c r="BQ12" i="19" a="1"/>
  <c r="BQ12" i="19" s="1"/>
  <c r="BK12" i="19" a="1"/>
  <c r="BK12" i="19" s="1"/>
  <c r="BI12" i="19" a="1"/>
  <c r="BI12" i="19" s="1"/>
  <c r="BG12" i="19" a="1"/>
  <c r="BG12" i="19" s="1"/>
  <c r="BE12" i="19" a="1"/>
  <c r="BE12" i="19" s="1"/>
  <c r="BC12" i="19" a="1"/>
  <c r="BC12" i="19" s="1"/>
  <c r="BA12" i="19" a="1"/>
  <c r="BA12" i="19" s="1"/>
  <c r="AY12" i="19" a="1"/>
  <c r="AY12" i="19" s="1"/>
  <c r="AW12" i="19" a="1"/>
  <c r="AW12" i="19" s="1"/>
  <c r="AU12" i="19" a="1"/>
  <c r="AU12" i="19" s="1"/>
  <c r="AS12" i="19" a="1"/>
  <c r="AS12" i="19" s="1"/>
  <c r="CB12" i="19" a="1"/>
  <c r="CB12" i="19" s="1"/>
  <c r="BZ12" i="19" a="1"/>
  <c r="BZ12" i="19" s="1"/>
  <c r="BX12" i="19" a="1"/>
  <c r="BX12" i="19" s="1"/>
  <c r="BV12" i="19" a="1"/>
  <c r="BV12" i="19" s="1"/>
  <c r="BT12" i="19" a="1"/>
  <c r="BT12" i="19" s="1"/>
  <c r="BR12" i="19" a="1"/>
  <c r="BR12" i="19" s="1"/>
  <c r="BP12" i="19" a="1"/>
  <c r="BP12" i="19" s="1"/>
  <c r="BJ12" i="19" a="1"/>
  <c r="BJ12" i="19" s="1"/>
  <c r="BH12" i="19" a="1"/>
  <c r="BH12" i="19" s="1"/>
  <c r="BF12" i="19" a="1"/>
  <c r="BF12" i="19" s="1"/>
  <c r="BD12" i="19" a="1"/>
  <c r="BD12" i="19" s="1"/>
  <c r="BB12" i="19" a="1"/>
  <c r="BB12" i="19" s="1"/>
  <c r="AZ12" i="19" a="1"/>
  <c r="AZ12" i="19" s="1"/>
  <c r="AX12" i="19" a="1"/>
  <c r="AX12" i="19" s="1"/>
  <c r="AV12" i="19" a="1"/>
  <c r="AV12" i="19" s="1"/>
  <c r="AT12" i="19" a="1"/>
  <c r="AT12" i="19" s="1"/>
  <c r="CA11" i="19" a="1"/>
  <c r="CA11" i="19" s="1"/>
  <c r="BY11" i="19" a="1"/>
  <c r="BY11" i="19" s="1"/>
  <c r="BW11" i="19" a="1"/>
  <c r="BW11" i="19" s="1"/>
  <c r="BU11" i="19" a="1"/>
  <c r="BU11" i="19" s="1"/>
  <c r="BS11" i="19" a="1"/>
  <c r="BS11" i="19" s="1"/>
  <c r="BQ11" i="19" a="1"/>
  <c r="BQ11" i="19" s="1"/>
  <c r="BK11" i="19" a="1"/>
  <c r="BK11" i="19" s="1"/>
  <c r="BI11" i="19" a="1"/>
  <c r="BI11" i="19" s="1"/>
  <c r="BG11" i="19" a="1"/>
  <c r="BG11" i="19" s="1"/>
  <c r="BE11" i="19" a="1"/>
  <c r="BE11" i="19" s="1"/>
  <c r="BC11" i="19" a="1"/>
  <c r="BC11" i="19" s="1"/>
  <c r="BA11" i="19" a="1"/>
  <c r="BA11" i="19" s="1"/>
  <c r="AY11" i="19" a="1"/>
  <c r="AY11" i="19" s="1"/>
  <c r="AW11" i="19" a="1"/>
  <c r="AW11" i="19" s="1"/>
  <c r="AU11" i="19" a="1"/>
  <c r="AU11" i="19" s="1"/>
  <c r="AS11" i="19" a="1"/>
  <c r="AS11" i="19" s="1"/>
  <c r="CB11" i="19" a="1"/>
  <c r="CB11" i="19" s="1"/>
  <c r="BZ11" i="19" a="1"/>
  <c r="BZ11" i="19" s="1"/>
  <c r="BX11" i="19" a="1"/>
  <c r="BX11" i="19" s="1"/>
  <c r="BV11" i="19" a="1"/>
  <c r="BV11" i="19" s="1"/>
  <c r="BT11" i="19" a="1"/>
  <c r="BT11" i="19" s="1"/>
  <c r="BR11" i="19" a="1"/>
  <c r="BR11" i="19" s="1"/>
  <c r="BP11" i="19" a="1"/>
  <c r="BP11" i="19" s="1"/>
  <c r="BJ11" i="19" a="1"/>
  <c r="BJ11" i="19" s="1"/>
  <c r="BH11" i="19" a="1"/>
  <c r="BH11" i="19" s="1"/>
  <c r="BF11" i="19" a="1"/>
  <c r="BF11" i="19" s="1"/>
  <c r="BD11" i="19" a="1"/>
  <c r="BD11" i="19" s="1"/>
  <c r="BB11" i="19" a="1"/>
  <c r="BB11" i="19" s="1"/>
  <c r="AZ11" i="19" a="1"/>
  <c r="AZ11" i="19" s="1"/>
  <c r="AX11" i="19" a="1"/>
  <c r="AX11" i="19" s="1"/>
  <c r="AV11" i="19" a="1"/>
  <c r="AV11" i="19" s="1"/>
  <c r="AT11" i="19" a="1"/>
  <c r="AT11" i="19" s="1"/>
  <c r="CA10" i="19" a="1"/>
  <c r="CA10" i="19" s="1"/>
  <c r="BY10" i="19" a="1"/>
  <c r="BY10" i="19" s="1"/>
  <c r="BW10" i="19" a="1"/>
  <c r="BW10" i="19" s="1"/>
  <c r="BU10" i="19" a="1"/>
  <c r="BU10" i="19" s="1"/>
  <c r="BS10" i="19" a="1"/>
  <c r="BS10" i="19" s="1"/>
  <c r="BQ10" i="19" a="1"/>
  <c r="BQ10" i="19" s="1"/>
  <c r="BK10" i="19" a="1"/>
  <c r="BK10" i="19" s="1"/>
  <c r="BI10" i="19" a="1"/>
  <c r="BI10" i="19" s="1"/>
  <c r="BG10" i="19" a="1"/>
  <c r="BG10" i="19" s="1"/>
  <c r="BE10" i="19" a="1"/>
  <c r="BE10" i="19" s="1"/>
  <c r="BC10" i="19" a="1"/>
  <c r="BC10" i="19" s="1"/>
  <c r="BA10" i="19" a="1"/>
  <c r="BA10" i="19" s="1"/>
  <c r="AY10" i="19" a="1"/>
  <c r="AY10" i="19" s="1"/>
  <c r="AW10" i="19" a="1"/>
  <c r="AW10" i="19" s="1"/>
  <c r="AU10" i="19" a="1"/>
  <c r="AU10" i="19" s="1"/>
  <c r="AS10" i="19" a="1"/>
  <c r="AS10" i="19" s="1"/>
  <c r="CB10" i="19" a="1"/>
  <c r="CB10" i="19" s="1"/>
  <c r="BZ10" i="19" a="1"/>
  <c r="BZ10" i="19" s="1"/>
  <c r="BX10" i="19" a="1"/>
  <c r="BX10" i="19" s="1"/>
  <c r="BV10" i="19" a="1"/>
  <c r="BV10" i="19" s="1"/>
  <c r="BT10" i="19" a="1"/>
  <c r="BT10" i="19" s="1"/>
  <c r="BR10" i="19" a="1"/>
  <c r="BR10" i="19" s="1"/>
  <c r="BP10" i="19" a="1"/>
  <c r="BP10" i="19" s="1"/>
  <c r="BJ10" i="19" a="1"/>
  <c r="BJ10" i="19" s="1"/>
  <c r="BH10" i="19" a="1"/>
  <c r="BH10" i="19" s="1"/>
  <c r="BF10" i="19" a="1"/>
  <c r="BF10" i="19" s="1"/>
  <c r="BD10" i="19" a="1"/>
  <c r="BD10" i="19" s="1"/>
  <c r="BB10" i="19" a="1"/>
  <c r="BB10" i="19" s="1"/>
  <c r="AZ10" i="19" a="1"/>
  <c r="AZ10" i="19" s="1"/>
  <c r="AX10" i="19" a="1"/>
  <c r="AX10" i="19" s="1"/>
  <c r="AV10" i="19" a="1"/>
  <c r="AV10" i="19" s="1"/>
  <c r="AT10" i="19" a="1"/>
  <c r="AT10" i="19" s="1"/>
  <c r="CA9" i="19" a="1"/>
  <c r="CA9" i="19" s="1"/>
  <c r="BY9" i="19" a="1"/>
  <c r="BY9" i="19" s="1"/>
  <c r="BW9" i="19" a="1"/>
  <c r="BW9" i="19" s="1"/>
  <c r="BU9" i="19" a="1"/>
  <c r="BU9" i="19" s="1"/>
  <c r="BS9" i="19" a="1"/>
  <c r="BS9" i="19" s="1"/>
  <c r="BQ9" i="19" a="1"/>
  <c r="BQ9" i="19" s="1"/>
  <c r="BK9" i="19" a="1"/>
  <c r="BK9" i="19" s="1"/>
  <c r="BI9" i="19" a="1"/>
  <c r="BI9" i="19" s="1"/>
  <c r="BG9" i="19" a="1"/>
  <c r="BG9" i="19" s="1"/>
  <c r="BE9" i="19" a="1"/>
  <c r="BE9" i="19" s="1"/>
  <c r="BC9" i="19" a="1"/>
  <c r="BC9" i="19" s="1"/>
  <c r="BA9" i="19" a="1"/>
  <c r="BA9" i="19" s="1"/>
  <c r="AY9" i="19" a="1"/>
  <c r="AY9" i="19" s="1"/>
  <c r="AW9" i="19" a="1"/>
  <c r="AW9" i="19" s="1"/>
  <c r="AU9" i="19" a="1"/>
  <c r="AU9" i="19" s="1"/>
  <c r="AS9" i="19" a="1"/>
  <c r="AS9" i="19" s="1"/>
  <c r="CB9" i="19" a="1"/>
  <c r="CB9" i="19" s="1"/>
  <c r="BZ9" i="19" a="1"/>
  <c r="BZ9" i="19" s="1"/>
  <c r="BX9" i="19" a="1"/>
  <c r="BX9" i="19" s="1"/>
  <c r="BV9" i="19" a="1"/>
  <c r="BV9" i="19" s="1"/>
  <c r="BT9" i="19" a="1"/>
  <c r="BT9" i="19" s="1"/>
  <c r="BR9" i="19" a="1"/>
  <c r="BR9" i="19" s="1"/>
  <c r="BP9" i="19" a="1"/>
  <c r="BP9" i="19" s="1"/>
  <c r="BJ9" i="19" a="1"/>
  <c r="BJ9" i="19" s="1"/>
  <c r="BH9" i="19" a="1"/>
  <c r="BH9" i="19" s="1"/>
  <c r="BF9" i="19" a="1"/>
  <c r="BF9" i="19" s="1"/>
  <c r="BD9" i="19" a="1"/>
  <c r="BD9" i="19" s="1"/>
  <c r="BB9" i="19" a="1"/>
  <c r="BB9" i="19" s="1"/>
  <c r="AZ9" i="19" a="1"/>
  <c r="AZ9" i="19" s="1"/>
  <c r="AX9" i="19" a="1"/>
  <c r="AX9" i="19" s="1"/>
  <c r="AV9" i="19" a="1"/>
  <c r="AV9" i="19" s="1"/>
  <c r="AT9" i="19" a="1"/>
  <c r="AT9" i="19" s="1"/>
  <c r="CA8" i="19" a="1"/>
  <c r="CA8" i="19" s="1"/>
  <c r="BY8" i="19" a="1"/>
  <c r="BY8" i="19" s="1"/>
  <c r="BW8" i="19" a="1"/>
  <c r="BW8" i="19" s="1"/>
  <c r="BU8" i="19" a="1"/>
  <c r="BU8" i="19" s="1"/>
  <c r="BS8" i="19" a="1"/>
  <c r="BS8" i="19" s="1"/>
  <c r="BQ8" i="19" a="1"/>
  <c r="BQ8" i="19" s="1"/>
  <c r="BK8" i="19" a="1"/>
  <c r="BK8" i="19" s="1"/>
  <c r="BI8" i="19" a="1"/>
  <c r="BI8" i="19" s="1"/>
  <c r="BG8" i="19" a="1"/>
  <c r="BG8" i="19" s="1"/>
  <c r="BE8" i="19" a="1"/>
  <c r="BE8" i="19" s="1"/>
  <c r="BC8" i="19" a="1"/>
  <c r="BC8" i="19" s="1"/>
  <c r="BA8" i="19" a="1"/>
  <c r="BA8" i="19" s="1"/>
  <c r="AY8" i="19" a="1"/>
  <c r="AY8" i="19" s="1"/>
  <c r="AW8" i="19" a="1"/>
  <c r="AW8" i="19" s="1"/>
  <c r="AU8" i="19" a="1"/>
  <c r="AU8" i="19" s="1"/>
  <c r="AS8" i="19" a="1"/>
  <c r="AS8" i="19" s="1"/>
  <c r="CB8" i="19" a="1"/>
  <c r="CB8" i="19" s="1"/>
  <c r="BZ8" i="19" a="1"/>
  <c r="BZ8" i="19" s="1"/>
  <c r="BX8" i="19" a="1"/>
  <c r="BX8" i="19" s="1"/>
  <c r="BV8" i="19" a="1"/>
  <c r="BV8" i="19" s="1"/>
  <c r="BT8" i="19" a="1"/>
  <c r="BT8" i="19" s="1"/>
  <c r="BR8" i="19" a="1"/>
  <c r="BR8" i="19" s="1"/>
  <c r="BP8" i="19" a="1"/>
  <c r="BP8" i="19" s="1"/>
  <c r="BJ8" i="19" a="1"/>
  <c r="BJ8" i="19" s="1"/>
  <c r="BH8" i="19" a="1"/>
  <c r="BH8" i="19" s="1"/>
  <c r="BF8" i="19" a="1"/>
  <c r="BF8" i="19" s="1"/>
  <c r="BD8" i="19" a="1"/>
  <c r="BD8" i="19" s="1"/>
  <c r="BB8" i="19" a="1"/>
  <c r="BB8" i="19" s="1"/>
  <c r="AZ8" i="19" a="1"/>
  <c r="AZ8" i="19" s="1"/>
  <c r="AX8" i="19" a="1"/>
  <c r="AX8" i="19" s="1"/>
  <c r="AV8" i="19" a="1"/>
  <c r="AV8" i="19" s="1"/>
  <c r="AT8" i="19" a="1"/>
  <c r="AT8" i="19" s="1"/>
  <c r="CA7" i="19" a="1"/>
  <c r="CA7" i="19" s="1"/>
  <c r="BY7" i="19" a="1"/>
  <c r="BY7" i="19" s="1"/>
  <c r="BW7" i="19" a="1"/>
  <c r="BW7" i="19" s="1"/>
  <c r="BU7" i="19" a="1"/>
  <c r="BU7" i="19" s="1"/>
  <c r="BS7" i="19" a="1"/>
  <c r="BS7" i="19" s="1"/>
  <c r="BQ7" i="19" a="1"/>
  <c r="BQ7" i="19" s="1"/>
  <c r="BK7" i="19" a="1"/>
  <c r="BK7" i="19" s="1"/>
  <c r="BI7" i="19" a="1"/>
  <c r="BI7" i="19" s="1"/>
  <c r="BG7" i="19" a="1"/>
  <c r="BG7" i="19" s="1"/>
  <c r="BE7" i="19" a="1"/>
  <c r="BE7" i="19" s="1"/>
  <c r="BC7" i="19" a="1"/>
  <c r="BC7" i="19" s="1"/>
  <c r="BA7" i="19" a="1"/>
  <c r="BA7" i="19" s="1"/>
  <c r="AY7" i="19" a="1"/>
  <c r="AY7" i="19" s="1"/>
  <c r="AW7" i="19" a="1"/>
  <c r="AW7" i="19" s="1"/>
  <c r="AU7" i="19" a="1"/>
  <c r="AU7" i="19" s="1"/>
  <c r="AS7" i="19" a="1"/>
  <c r="AS7" i="19" s="1"/>
  <c r="CB7" i="19" a="1"/>
  <c r="CB7" i="19" s="1"/>
  <c r="BZ7" i="19" a="1"/>
  <c r="BZ7" i="19" s="1"/>
  <c r="BX7" i="19" a="1"/>
  <c r="BX7" i="19" s="1"/>
  <c r="BV7" i="19" a="1"/>
  <c r="BV7" i="19" s="1"/>
  <c r="BT7" i="19" a="1"/>
  <c r="BT7" i="19" s="1"/>
  <c r="BR7" i="19" a="1"/>
  <c r="BR7" i="19" s="1"/>
  <c r="BP7" i="19" a="1"/>
  <c r="BP7" i="19" s="1"/>
  <c r="BJ7" i="19" a="1"/>
  <c r="BJ7" i="19" s="1"/>
  <c r="BH7" i="19" a="1"/>
  <c r="BH7" i="19" s="1"/>
  <c r="BF7" i="19" a="1"/>
  <c r="BF7" i="19" s="1"/>
  <c r="BD7" i="19" a="1"/>
  <c r="BD7" i="19" s="1"/>
  <c r="BB7" i="19" a="1"/>
  <c r="BB7" i="19" s="1"/>
  <c r="AZ7" i="19" a="1"/>
  <c r="AZ7" i="19" s="1"/>
  <c r="AX7" i="19" a="1"/>
  <c r="AX7" i="19" s="1"/>
  <c r="AV7" i="19" a="1"/>
  <c r="AV7" i="19" s="1"/>
  <c r="AT7" i="19" a="1"/>
  <c r="AT7" i="19" s="1"/>
  <c r="CA6" i="19" a="1"/>
  <c r="CA6" i="19" s="1"/>
  <c r="BY6" i="19" a="1"/>
  <c r="BY6" i="19" s="1"/>
  <c r="BW6" i="19" a="1"/>
  <c r="BW6" i="19" s="1"/>
  <c r="BU6" i="19" a="1"/>
  <c r="BU6" i="19" s="1"/>
  <c r="BS6" i="19" a="1"/>
  <c r="BS6" i="19" s="1"/>
  <c r="BQ6" i="19" a="1"/>
  <c r="BQ6" i="19" s="1"/>
  <c r="BK6" i="19" a="1"/>
  <c r="BK6" i="19" s="1"/>
  <c r="BI6" i="19" a="1"/>
  <c r="BI6" i="19" s="1"/>
  <c r="BG6" i="19" a="1"/>
  <c r="BG6" i="19" s="1"/>
  <c r="BE6" i="19" a="1"/>
  <c r="BE6" i="19" s="1"/>
  <c r="BC6" i="19" a="1"/>
  <c r="BC6" i="19" s="1"/>
  <c r="BA6" i="19" a="1"/>
  <c r="BA6" i="19" s="1"/>
  <c r="AY6" i="19" a="1"/>
  <c r="AY6" i="19" s="1"/>
  <c r="AW6" i="19" a="1"/>
  <c r="AW6" i="19" s="1"/>
  <c r="AU6" i="19" a="1"/>
  <c r="AU6" i="19" s="1"/>
  <c r="AS6" i="19" a="1"/>
  <c r="AS6" i="19" s="1"/>
  <c r="CB6" i="19" a="1"/>
  <c r="CB6" i="19" s="1"/>
  <c r="BZ6" i="19" a="1"/>
  <c r="BZ6" i="19" s="1"/>
  <c r="BX6" i="19" a="1"/>
  <c r="BX6" i="19" s="1"/>
  <c r="BV6" i="19" a="1"/>
  <c r="BV6" i="19" s="1"/>
  <c r="BT6" i="19" a="1"/>
  <c r="BT6" i="19" s="1"/>
  <c r="BR6" i="19" a="1"/>
  <c r="BR6" i="19" s="1"/>
  <c r="BP6" i="19" a="1"/>
  <c r="BP6" i="19" s="1"/>
  <c r="BJ6" i="19" a="1"/>
  <c r="BJ6" i="19" s="1"/>
  <c r="BH6" i="19" a="1"/>
  <c r="BH6" i="19" s="1"/>
  <c r="BF6" i="19" a="1"/>
  <c r="BF6" i="19" s="1"/>
  <c r="BD6" i="19" a="1"/>
  <c r="BD6" i="19" s="1"/>
  <c r="BB6" i="19" a="1"/>
  <c r="BB6" i="19" s="1"/>
  <c r="AZ6" i="19" a="1"/>
  <c r="AZ6" i="19" s="1"/>
  <c r="AX6" i="19" a="1"/>
  <c r="AX6" i="19" s="1"/>
  <c r="AV6" i="19" a="1"/>
  <c r="AV6" i="19" s="1"/>
  <c r="AT6" i="19" a="1"/>
  <c r="AT6" i="19" s="1"/>
  <c r="CA5" i="19" a="1"/>
  <c r="CA5" i="19" s="1"/>
  <c r="BY5" i="19" a="1"/>
  <c r="BY5" i="19" s="1"/>
  <c r="BW5" i="19" a="1"/>
  <c r="BW5" i="19" s="1"/>
  <c r="BU5" i="19" a="1"/>
  <c r="BU5" i="19" s="1"/>
  <c r="BS5" i="19" a="1"/>
  <c r="BS5" i="19" s="1"/>
  <c r="BQ5" i="19" a="1"/>
  <c r="BQ5" i="19" s="1"/>
  <c r="BK5" i="19" a="1"/>
  <c r="BK5" i="19" s="1"/>
  <c r="BI5" i="19" a="1"/>
  <c r="BI5" i="19" s="1"/>
  <c r="BG5" i="19" a="1"/>
  <c r="BG5" i="19" s="1"/>
  <c r="BE5" i="19" a="1"/>
  <c r="BE5" i="19" s="1"/>
  <c r="BC5" i="19" a="1"/>
  <c r="BC5" i="19" s="1"/>
  <c r="BA5" i="19" a="1"/>
  <c r="BA5" i="19" s="1"/>
  <c r="AY5" i="19" a="1"/>
  <c r="AY5" i="19" s="1"/>
  <c r="AW5" i="19" a="1"/>
  <c r="AW5" i="19" s="1"/>
  <c r="AU5" i="19" a="1"/>
  <c r="AU5" i="19" s="1"/>
  <c r="AS5" i="19" a="1"/>
  <c r="AS5" i="19" s="1"/>
  <c r="CB5" i="19" a="1"/>
  <c r="CB5" i="19" s="1"/>
  <c r="BZ5" i="19" a="1"/>
  <c r="BZ5" i="19" s="1"/>
  <c r="BX5" i="19" a="1"/>
  <c r="BX5" i="19" s="1"/>
  <c r="BV5" i="19" a="1"/>
  <c r="BV5" i="19" s="1"/>
  <c r="BT5" i="19" a="1"/>
  <c r="BT5" i="19" s="1"/>
  <c r="BR5" i="19" a="1"/>
  <c r="BR5" i="19" s="1"/>
  <c r="BP5" i="19" a="1"/>
  <c r="BP5" i="19" s="1"/>
  <c r="BJ5" i="19" a="1"/>
  <c r="BJ5" i="19" s="1"/>
  <c r="BH5" i="19" a="1"/>
  <c r="BH5" i="19" s="1"/>
  <c r="BF5" i="19" a="1"/>
  <c r="BF5" i="19" s="1"/>
  <c r="BD5" i="19" a="1"/>
  <c r="BD5" i="19" s="1"/>
  <c r="BB5" i="19" a="1"/>
  <c r="BB5" i="19" s="1"/>
  <c r="AZ5" i="19" a="1"/>
  <c r="AZ5" i="19" s="1"/>
  <c r="AX5" i="19" a="1"/>
  <c r="AX5" i="19" s="1"/>
  <c r="AV5" i="19" a="1"/>
  <c r="AV5" i="19" s="1"/>
  <c r="AT5" i="19" a="1"/>
  <c r="AT5" i="19" s="1"/>
  <c r="CA4" i="19" a="1"/>
  <c r="CA4" i="19" s="1"/>
  <c r="BY4" i="19" a="1"/>
  <c r="BY4" i="19" s="1"/>
  <c r="BW4" i="19" a="1"/>
  <c r="BW4" i="19" s="1"/>
  <c r="BU4" i="19" a="1"/>
  <c r="BU4" i="19" s="1"/>
  <c r="BS4" i="19" a="1"/>
  <c r="BS4" i="19" s="1"/>
  <c r="BQ4" i="19" a="1"/>
  <c r="BQ4" i="19" s="1"/>
  <c r="BK4" i="19" a="1"/>
  <c r="BK4" i="19" s="1"/>
  <c r="BI4" i="19" a="1"/>
  <c r="BI4" i="19" s="1"/>
  <c r="BG4" i="19" a="1"/>
  <c r="BG4" i="19" s="1"/>
  <c r="BE4" i="19" a="1"/>
  <c r="BE4" i="19" s="1"/>
  <c r="BC4" i="19" a="1"/>
  <c r="BC4" i="19" s="1"/>
  <c r="BA4" i="19" a="1"/>
  <c r="BA4" i="19" s="1"/>
  <c r="AY4" i="19" a="1"/>
  <c r="AY4" i="19" s="1"/>
  <c r="AW4" i="19" a="1"/>
  <c r="AW4" i="19" s="1"/>
  <c r="AU4" i="19" a="1"/>
  <c r="AU4" i="19" s="1"/>
  <c r="AS4" i="19" a="1"/>
  <c r="AS4" i="19" s="1"/>
  <c r="CB4" i="19" a="1"/>
  <c r="CB4" i="19" s="1"/>
  <c r="BZ4" i="19" a="1"/>
  <c r="BZ4" i="19" s="1"/>
  <c r="BX4" i="19" a="1"/>
  <c r="BX4" i="19" s="1"/>
  <c r="BV4" i="19" a="1"/>
  <c r="BV4" i="19" s="1"/>
  <c r="BT4" i="19" a="1"/>
  <c r="BT4" i="19" s="1"/>
  <c r="BR4" i="19" a="1"/>
  <c r="BR4" i="19" s="1"/>
  <c r="BP4" i="19" a="1"/>
  <c r="BP4" i="19" s="1"/>
  <c r="BJ4" i="19" a="1"/>
  <c r="BJ4" i="19" s="1"/>
  <c r="BH4" i="19" a="1"/>
  <c r="BH4" i="19" s="1"/>
  <c r="BF4" i="19" a="1"/>
  <c r="BF4" i="19" s="1"/>
  <c r="BD4" i="19" a="1"/>
  <c r="BD4" i="19" s="1"/>
  <c r="BB4" i="19" a="1"/>
  <c r="BB4" i="19" s="1"/>
  <c r="AZ4" i="19" a="1"/>
  <c r="AZ4" i="19" s="1"/>
  <c r="AX4" i="19" a="1"/>
  <c r="AX4" i="19" s="1"/>
  <c r="AV4" i="19" a="1"/>
  <c r="AV4" i="19" s="1"/>
  <c r="AT4" i="19" a="1"/>
  <c r="AT4" i="19" s="1"/>
  <c r="CA3" i="19" a="1"/>
  <c r="CA3" i="19" s="1"/>
  <c r="BY3" i="19" a="1"/>
  <c r="BY3" i="19" s="1"/>
  <c r="BW3" i="19" a="1"/>
  <c r="BW3" i="19" s="1"/>
  <c r="BU3" i="19" a="1"/>
  <c r="BU3" i="19" s="1"/>
  <c r="BS3" i="19" a="1"/>
  <c r="BS3" i="19" s="1"/>
  <c r="BQ3" i="19" a="1"/>
  <c r="BQ3" i="19" s="1"/>
  <c r="BK3" i="19" a="1"/>
  <c r="BK3" i="19" s="1"/>
  <c r="BI3" i="19" a="1"/>
  <c r="BI3" i="19" s="1"/>
  <c r="BG3" i="19" a="1"/>
  <c r="BG3" i="19" s="1"/>
  <c r="BE3" i="19" a="1"/>
  <c r="BE3" i="19" s="1"/>
  <c r="BC3" i="19" a="1"/>
  <c r="BC3" i="19" s="1"/>
  <c r="BA3" i="19" a="1"/>
  <c r="BA3" i="19" s="1"/>
  <c r="AY3" i="19" a="1"/>
  <c r="AY3" i="19" s="1"/>
  <c r="AW3" i="19" a="1"/>
  <c r="AW3" i="19" s="1"/>
  <c r="AU3" i="19" a="1"/>
  <c r="AU3" i="19" s="1"/>
  <c r="AS3" i="19" a="1"/>
  <c r="AS3" i="19" s="1"/>
  <c r="CB3" i="19" a="1"/>
  <c r="CB3" i="19" s="1"/>
  <c r="BZ3" i="19" a="1"/>
  <c r="BZ3" i="19" s="1"/>
  <c r="BX3" i="19" a="1"/>
  <c r="BX3" i="19" s="1"/>
  <c r="BV3" i="19" a="1"/>
  <c r="BV3" i="19" s="1"/>
  <c r="BT3" i="19" a="1"/>
  <c r="BT3" i="19" s="1"/>
  <c r="BR3" i="19" a="1"/>
  <c r="BR3" i="19" s="1"/>
  <c r="BP3" i="19" a="1"/>
  <c r="BP3" i="19" s="1"/>
  <c r="BJ3" i="19" a="1"/>
  <c r="BJ3" i="19" s="1"/>
  <c r="BH3" i="19" a="1"/>
  <c r="BH3" i="19" s="1"/>
  <c r="BF3" i="19" a="1"/>
  <c r="BF3" i="19" s="1"/>
  <c r="BD3" i="19" a="1"/>
  <c r="BD3" i="19" s="1"/>
  <c r="BB3" i="19" a="1"/>
  <c r="BB3" i="19" s="1"/>
  <c r="AZ3" i="19" a="1"/>
  <c r="AZ3" i="19" s="1"/>
  <c r="AX3" i="19" a="1"/>
  <c r="AX3" i="19" s="1"/>
  <c r="AV3" i="19" a="1"/>
  <c r="AV3" i="19" s="1"/>
  <c r="AT3" i="19" a="1"/>
  <c r="AT3" i="19" s="1"/>
  <c r="BQ2" i="19" a="1"/>
  <c r="BQ2" i="19" s="1"/>
  <c r="BH2" i="19" a="1"/>
  <c r="BH2" i="19" s="1"/>
  <c r="BD2" i="19" a="1"/>
  <c r="BD2" i="19" s="1"/>
  <c r="AZ2" i="19" a="1"/>
  <c r="AZ2" i="19" s="1"/>
  <c r="AV2" i="19" a="1"/>
  <c r="AV2" i="19" s="1"/>
  <c r="CB2" i="19" a="1"/>
  <c r="CB2" i="19" s="1"/>
  <c r="BZ2" i="19" a="1"/>
  <c r="BZ2" i="19" s="1"/>
  <c r="BX2" i="19" a="1"/>
  <c r="BX2" i="19" s="1"/>
  <c r="BV2" i="19" a="1"/>
  <c r="BV2" i="19" s="1"/>
  <c r="BT2" i="19" a="1"/>
  <c r="BT2" i="19" s="1"/>
  <c r="BR2" i="19" a="1"/>
  <c r="BR2" i="19" s="1"/>
  <c r="BK2" i="19" a="1"/>
  <c r="BK2" i="19" s="1"/>
  <c r="BG2" i="19" a="1"/>
  <c r="BG2" i="19" s="1"/>
  <c r="BC2" i="19" a="1"/>
  <c r="BC2" i="19" s="1"/>
  <c r="AY2" i="19" a="1"/>
  <c r="AY2" i="19" s="1"/>
  <c r="AU2" i="19" a="1"/>
  <c r="AU2" i="19" s="1"/>
  <c r="BJ2" i="19" a="1"/>
  <c r="BJ2" i="19" s="1"/>
  <c r="BF2" i="19" a="1"/>
  <c r="BF2" i="19" s="1"/>
  <c r="BB2" i="19" a="1"/>
  <c r="BB2" i="19" s="1"/>
  <c r="AX2" i="19" a="1"/>
  <c r="AX2" i="19" s="1"/>
  <c r="AT2" i="19" a="1"/>
  <c r="AT2" i="19" s="1"/>
  <c r="CA2" i="19" a="1"/>
  <c r="CA2" i="19" s="1"/>
  <c r="BY2" i="19" a="1"/>
  <c r="BY2" i="19" s="1"/>
  <c r="BW2" i="19" a="1"/>
  <c r="BW2" i="19" s="1"/>
  <c r="BU2" i="19" a="1"/>
  <c r="BU2" i="19" s="1"/>
  <c r="BS2" i="19" a="1"/>
  <c r="BS2" i="19" s="1"/>
  <c r="BP2" i="19" a="1"/>
  <c r="BP2" i="19" s="1"/>
  <c r="BI2" i="19" a="1"/>
  <c r="BI2" i="19" s="1"/>
  <c r="BE2" i="19" a="1"/>
  <c r="BE2" i="19" s="1"/>
  <c r="BA2" i="19" a="1"/>
  <c r="BA2" i="19" s="1"/>
  <c r="AW2" i="19" a="1"/>
  <c r="AW2" i="19" s="1"/>
  <c r="AS2" i="19" a="1"/>
  <c r="AS2" i="19" s="1"/>
  <c r="E26" i="17" a="1"/>
  <c r="E26" i="17" s="1"/>
  <c r="E25" i="17" a="1"/>
  <c r="E25" i="17" s="1"/>
  <c r="E24" i="17" a="1"/>
  <c r="E24" i="17" s="1"/>
  <c r="E23" i="17" a="1"/>
  <c r="E23" i="17" s="1"/>
  <c r="E22" i="17" a="1"/>
  <c r="E22" i="17" s="1"/>
  <c r="E21" i="17" a="1"/>
  <c r="E21" i="17" s="1"/>
  <c r="E20" i="17" a="1"/>
  <c r="E20" i="17" s="1"/>
  <c r="E19" i="17" a="1"/>
  <c r="E19" i="17" s="1"/>
  <c r="E18" i="17" a="1"/>
  <c r="E18" i="17" s="1"/>
  <c r="E17" i="17" a="1"/>
  <c r="E17" i="17" s="1"/>
  <c r="E16" i="17" a="1"/>
  <c r="E16" i="17" s="1"/>
  <c r="E15" i="17" a="1"/>
  <c r="E15" i="17" s="1"/>
  <c r="E14" i="17" a="1"/>
  <c r="E14" i="17" s="1"/>
  <c r="E13" i="17" a="1"/>
  <c r="E13" i="17" s="1"/>
  <c r="E12" i="17" a="1"/>
  <c r="E12" i="17" s="1"/>
  <c r="E11" i="17" a="1"/>
  <c r="E11" i="17" s="1"/>
  <c r="E10" i="17" a="1"/>
  <c r="E10" i="17" s="1"/>
  <c r="E9" i="17" a="1"/>
  <c r="E9" i="17" s="1"/>
  <c r="E8" i="17" a="1"/>
  <c r="E8" i="17" s="1"/>
  <c r="E7" i="17" a="1"/>
  <c r="E7" i="17" s="1"/>
  <c r="E6" i="17" a="1"/>
  <c r="E6" i="17" s="1"/>
  <c r="E5" i="17" a="1"/>
  <c r="E5" i="17" s="1"/>
  <c r="E4" i="17" a="1"/>
  <c r="E4" i="17" s="1"/>
  <c r="E3" i="17" a="1"/>
  <c r="E3" i="17" s="1"/>
  <c r="E2" i="17" a="1"/>
  <c r="E2" i="17" s="1"/>
  <c r="EW59" i="19" a="1"/>
  <c r="EW59" i="19" s="1"/>
  <c r="EQ59" i="19" a="1"/>
  <c r="EQ59" i="19" s="1"/>
  <c r="EO59" i="19" a="1"/>
  <c r="EO59" i="19" s="1"/>
  <c r="EM59" i="19" a="1"/>
  <c r="EM59" i="19" s="1"/>
  <c r="EK59" i="19" a="1"/>
  <c r="EK59" i="19" s="1"/>
  <c r="EI59" i="19" a="1"/>
  <c r="EI59" i="19" s="1"/>
  <c r="EG59" i="19" a="1"/>
  <c r="EG59" i="19" s="1"/>
  <c r="DT59" i="19" a="1"/>
  <c r="DT59" i="19" s="1"/>
  <c r="DN59" i="19" a="1"/>
  <c r="DN59" i="19" s="1"/>
  <c r="DL59" i="19" a="1"/>
  <c r="DL59" i="19" s="1"/>
  <c r="DJ59" i="19" a="1"/>
  <c r="DJ59" i="19" s="1"/>
  <c r="EA59" i="19" a="1"/>
  <c r="EA59" i="19" s="1"/>
  <c r="DY59" i="19" a="1"/>
  <c r="DY59" i="19" s="1"/>
  <c r="DS59" i="19" a="1"/>
  <c r="DS59" i="19" s="1"/>
  <c r="BM59" i="19" a="1"/>
  <c r="BM59" i="19" s="1"/>
  <c r="AO59" i="19" a="1"/>
  <c r="AO59" i="19" s="1"/>
  <c r="AK59" i="19" a="1"/>
  <c r="AK59" i="19" s="1"/>
  <c r="AI59" i="19" a="1"/>
  <c r="AI59" i="19" s="1"/>
  <c r="AE59" i="19" a="1"/>
  <c r="AE59" i="19" s="1"/>
  <c r="BL59" i="19" a="1"/>
  <c r="BL59" i="19" s="1"/>
  <c r="AP59" i="19" a="1"/>
  <c r="AP59" i="19" s="1"/>
  <c r="AJ59" i="19" a="1"/>
  <c r="AJ59" i="19" s="1"/>
  <c r="AF59" i="19" a="1"/>
  <c r="AF59" i="19" s="1"/>
  <c r="EW58" i="19" a="1"/>
  <c r="EW58" i="19" s="1"/>
  <c r="EQ58" i="19" a="1"/>
  <c r="EQ58" i="19" s="1"/>
  <c r="EO58" i="19" a="1"/>
  <c r="EO58" i="19" s="1"/>
  <c r="EM58" i="19" a="1"/>
  <c r="EM58" i="19" s="1"/>
  <c r="EK58" i="19" a="1"/>
  <c r="EK58" i="19" s="1"/>
  <c r="EI58" i="19" a="1"/>
  <c r="EI58" i="19" s="1"/>
  <c r="EG58" i="19" a="1"/>
  <c r="EG58" i="19" s="1"/>
  <c r="EA58" i="19" a="1"/>
  <c r="EA58" i="19" s="1"/>
  <c r="DY58" i="19" a="1"/>
  <c r="DY58" i="19" s="1"/>
  <c r="DS58" i="19" a="1"/>
  <c r="DS58" i="19" s="1"/>
  <c r="DT58" i="19" a="1"/>
  <c r="DT58" i="19" s="1"/>
  <c r="DN58" i="19" a="1"/>
  <c r="DN58" i="19" s="1"/>
  <c r="DL58" i="19" a="1"/>
  <c r="DL58" i="19" s="1"/>
  <c r="DJ58" i="19" a="1"/>
  <c r="DJ58" i="19" s="1"/>
  <c r="BM58" i="19" a="1"/>
  <c r="BM58" i="19" s="1"/>
  <c r="AO58" i="19" a="1"/>
  <c r="AO58" i="19" s="1"/>
  <c r="AK58" i="19" a="1"/>
  <c r="AK58" i="19" s="1"/>
  <c r="AI58" i="19" a="1"/>
  <c r="AI58" i="19" s="1"/>
  <c r="AE58" i="19" a="1"/>
  <c r="AE58" i="19" s="1"/>
  <c r="BL58" i="19" a="1"/>
  <c r="BL58" i="19" s="1"/>
  <c r="AP58" i="19" a="1"/>
  <c r="AP58" i="19" s="1"/>
  <c r="AJ58" i="19" a="1"/>
  <c r="AJ58" i="19" s="1"/>
  <c r="AF58" i="19" a="1"/>
  <c r="AF58" i="19" s="1"/>
  <c r="EW57" i="19" a="1"/>
  <c r="EW57" i="19" s="1"/>
  <c r="EQ57" i="19" a="1"/>
  <c r="EQ57" i="19" s="1"/>
  <c r="EO57" i="19" a="1"/>
  <c r="EO57" i="19" s="1"/>
  <c r="EM57" i="19" a="1"/>
  <c r="EM57" i="19" s="1"/>
  <c r="EK57" i="19" a="1"/>
  <c r="EK57" i="19" s="1"/>
  <c r="EI57" i="19" a="1"/>
  <c r="EI57" i="19" s="1"/>
  <c r="EG57" i="19" a="1"/>
  <c r="EG57" i="19" s="1"/>
  <c r="EA57" i="19" a="1"/>
  <c r="EA57" i="19" s="1"/>
  <c r="DY57" i="19" a="1"/>
  <c r="DY57" i="19" s="1"/>
  <c r="DS57" i="19" a="1"/>
  <c r="DS57" i="19" s="1"/>
  <c r="DN57" i="19" a="1"/>
  <c r="DN57" i="19" s="1"/>
  <c r="DL57" i="19" a="1"/>
  <c r="DL57" i="19" s="1"/>
  <c r="DT57" i="19" a="1"/>
  <c r="DT57" i="19" s="1"/>
  <c r="DJ57" i="19" a="1"/>
  <c r="DJ57" i="19" s="1"/>
  <c r="BM57" i="19" a="1"/>
  <c r="BM57" i="19" s="1"/>
  <c r="AO57" i="19" a="1"/>
  <c r="AO57" i="19" s="1"/>
  <c r="AK57" i="19" a="1"/>
  <c r="AK57" i="19" s="1"/>
  <c r="AI57" i="19" a="1"/>
  <c r="AI57" i="19" s="1"/>
  <c r="AE57" i="19" a="1"/>
  <c r="AE57" i="19" s="1"/>
  <c r="BL57" i="19" a="1"/>
  <c r="BL57" i="19" s="1"/>
  <c r="AP57" i="19" a="1"/>
  <c r="AP57" i="19" s="1"/>
  <c r="AJ57" i="19" a="1"/>
  <c r="AJ57" i="19" s="1"/>
  <c r="AF57" i="19" a="1"/>
  <c r="AF57" i="19" s="1"/>
  <c r="EW56" i="19" a="1"/>
  <c r="EW56" i="19" s="1"/>
  <c r="EQ56" i="19" a="1"/>
  <c r="EQ56" i="19" s="1"/>
  <c r="EO56" i="19" a="1"/>
  <c r="EO56" i="19" s="1"/>
  <c r="EM56" i="19" a="1"/>
  <c r="EM56" i="19" s="1"/>
  <c r="EK56" i="19" a="1"/>
  <c r="EK56" i="19" s="1"/>
  <c r="EI56" i="19" a="1"/>
  <c r="EI56" i="19" s="1"/>
  <c r="EG56" i="19" a="1"/>
  <c r="EG56" i="19" s="1"/>
  <c r="EA56" i="19" a="1"/>
  <c r="EA56" i="19" s="1"/>
  <c r="DY56" i="19" a="1"/>
  <c r="DY56" i="19" s="1"/>
  <c r="DS56" i="19" a="1"/>
  <c r="DS56" i="19" s="1"/>
  <c r="DT56" i="19" a="1"/>
  <c r="DT56" i="19" s="1"/>
  <c r="DN56" i="19" a="1"/>
  <c r="DN56" i="19" s="1"/>
  <c r="DL56" i="19" a="1"/>
  <c r="DL56" i="19" s="1"/>
  <c r="DJ56" i="19" a="1"/>
  <c r="DJ56" i="19" s="1"/>
  <c r="BM56" i="19" a="1"/>
  <c r="BM56" i="19" s="1"/>
  <c r="AO56" i="19" a="1"/>
  <c r="AO56" i="19" s="1"/>
  <c r="AK56" i="19" a="1"/>
  <c r="AK56" i="19" s="1"/>
  <c r="AI56" i="19" a="1"/>
  <c r="AI56" i="19" s="1"/>
  <c r="AE56" i="19" a="1"/>
  <c r="AE56" i="19" s="1"/>
  <c r="BL56" i="19" a="1"/>
  <c r="BL56" i="19" s="1"/>
  <c r="AP56" i="19" a="1"/>
  <c r="AP56" i="19" s="1"/>
  <c r="AJ56" i="19" a="1"/>
  <c r="AJ56" i="19" s="1"/>
  <c r="AF56" i="19" a="1"/>
  <c r="AF56" i="19" s="1"/>
  <c r="EW55" i="19" a="1"/>
  <c r="EW55" i="19" s="1"/>
  <c r="EQ55" i="19" a="1"/>
  <c r="EQ55" i="19" s="1"/>
  <c r="EO55" i="19" a="1"/>
  <c r="EO55" i="19" s="1"/>
  <c r="EM55" i="19" a="1"/>
  <c r="EM55" i="19" s="1"/>
  <c r="EK55" i="19" a="1"/>
  <c r="EK55" i="19" s="1"/>
  <c r="EI55" i="19" a="1"/>
  <c r="EI55" i="19" s="1"/>
  <c r="EG55" i="19" a="1"/>
  <c r="EG55" i="19" s="1"/>
  <c r="EA55" i="19" a="1"/>
  <c r="EA55" i="19" s="1"/>
  <c r="DY55" i="19" a="1"/>
  <c r="DY55" i="19" s="1"/>
  <c r="DS55" i="19" a="1"/>
  <c r="DS55" i="19" s="1"/>
  <c r="DT55" i="19" a="1"/>
  <c r="DT55" i="19" s="1"/>
  <c r="DJ55" i="19" a="1"/>
  <c r="DJ55" i="19" s="1"/>
  <c r="DN55" i="19" a="1"/>
  <c r="DN55" i="19" s="1"/>
  <c r="DL55" i="19" a="1"/>
  <c r="DL55" i="19" s="1"/>
  <c r="BM55" i="19" a="1"/>
  <c r="BM55" i="19" s="1"/>
  <c r="AO55" i="19" a="1"/>
  <c r="AO55" i="19" s="1"/>
  <c r="AK55" i="19" a="1"/>
  <c r="AK55" i="19" s="1"/>
  <c r="AI55" i="19" a="1"/>
  <c r="AI55" i="19" s="1"/>
  <c r="AE55" i="19" a="1"/>
  <c r="AE55" i="19" s="1"/>
  <c r="BL55" i="19" a="1"/>
  <c r="BL55" i="19" s="1"/>
  <c r="AP55" i="19" a="1"/>
  <c r="AP55" i="19" s="1"/>
  <c r="AJ55" i="19" a="1"/>
  <c r="AJ55" i="19" s="1"/>
  <c r="AF55" i="19" a="1"/>
  <c r="AF55" i="19" s="1"/>
  <c r="EW54" i="19" a="1"/>
  <c r="EW54" i="19" s="1"/>
  <c r="EQ54" i="19" a="1"/>
  <c r="EQ54" i="19" s="1"/>
  <c r="EO54" i="19" a="1"/>
  <c r="EO54" i="19" s="1"/>
  <c r="EM54" i="19" a="1"/>
  <c r="EM54" i="19" s="1"/>
  <c r="EK54" i="19" a="1"/>
  <c r="EK54" i="19" s="1"/>
  <c r="EI54" i="19" a="1"/>
  <c r="EI54" i="19" s="1"/>
  <c r="EG54" i="19" a="1"/>
  <c r="EG54" i="19" s="1"/>
  <c r="EA54" i="19" a="1"/>
  <c r="EA54" i="19" s="1"/>
  <c r="DY54" i="19" a="1"/>
  <c r="DY54" i="19" s="1"/>
  <c r="DS54" i="19" a="1"/>
  <c r="DS54" i="19" s="1"/>
  <c r="DN54" i="19" a="1"/>
  <c r="DN54" i="19" s="1"/>
  <c r="DL54" i="19" a="1"/>
  <c r="DL54" i="19" s="1"/>
  <c r="DJ54" i="19" a="1"/>
  <c r="DJ54" i="19" s="1"/>
  <c r="DT54" i="19" a="1"/>
  <c r="DT54" i="19" s="1"/>
  <c r="BM54" i="19" a="1"/>
  <c r="BM54" i="19" s="1"/>
  <c r="AO54" i="19" a="1"/>
  <c r="AO54" i="19" s="1"/>
  <c r="AK54" i="19" a="1"/>
  <c r="AK54" i="19" s="1"/>
  <c r="AI54" i="19" a="1"/>
  <c r="AI54" i="19" s="1"/>
  <c r="AE54" i="19" a="1"/>
  <c r="AE54" i="19" s="1"/>
  <c r="BL54" i="19" a="1"/>
  <c r="BL54" i="19" s="1"/>
  <c r="AP54" i="19" a="1"/>
  <c r="AP54" i="19" s="1"/>
  <c r="AJ54" i="19" a="1"/>
  <c r="AJ54" i="19" s="1"/>
  <c r="AF54" i="19" a="1"/>
  <c r="AF54" i="19" s="1"/>
  <c r="EW53" i="19" a="1"/>
  <c r="EW53" i="19" s="1"/>
  <c r="EQ53" i="19" a="1"/>
  <c r="EQ53" i="19" s="1"/>
  <c r="EO53" i="19" a="1"/>
  <c r="EO53" i="19" s="1"/>
  <c r="EM53" i="19" a="1"/>
  <c r="EM53" i="19" s="1"/>
  <c r="EK53" i="19" a="1"/>
  <c r="EK53" i="19" s="1"/>
  <c r="EI53" i="19" a="1"/>
  <c r="EI53" i="19" s="1"/>
  <c r="EG53" i="19" a="1"/>
  <c r="EG53" i="19" s="1"/>
  <c r="EA53" i="19" a="1"/>
  <c r="EA53" i="19" s="1"/>
  <c r="DY53" i="19" a="1"/>
  <c r="DY53" i="19" s="1"/>
  <c r="DS53" i="19" a="1"/>
  <c r="DS53" i="19" s="1"/>
  <c r="DN53" i="19" a="1"/>
  <c r="DN53" i="19" s="1"/>
  <c r="DL53" i="19" a="1"/>
  <c r="DL53" i="19" s="1"/>
  <c r="DJ53" i="19" a="1"/>
  <c r="DJ53" i="19" s="1"/>
  <c r="DT53" i="19" a="1"/>
  <c r="DT53" i="19" s="1"/>
  <c r="BM53" i="19" a="1"/>
  <c r="BM53" i="19" s="1"/>
  <c r="AO53" i="19" a="1"/>
  <c r="AO53" i="19" s="1"/>
  <c r="AK53" i="19" a="1"/>
  <c r="AK53" i="19" s="1"/>
  <c r="AI53" i="19" a="1"/>
  <c r="AI53" i="19" s="1"/>
  <c r="AE53" i="19" a="1"/>
  <c r="AE53" i="19" s="1"/>
  <c r="BL53" i="19" a="1"/>
  <c r="BL53" i="19" s="1"/>
  <c r="AP53" i="19" a="1"/>
  <c r="AP53" i="19" s="1"/>
  <c r="AJ53" i="19" a="1"/>
  <c r="AJ53" i="19" s="1"/>
  <c r="AF53" i="19" a="1"/>
  <c r="AF53" i="19" s="1"/>
  <c r="EW52" i="19" a="1"/>
  <c r="EW52" i="19" s="1"/>
  <c r="EQ52" i="19" a="1"/>
  <c r="EQ52" i="19" s="1"/>
  <c r="EO52" i="19" a="1"/>
  <c r="EO52" i="19" s="1"/>
  <c r="EM52" i="19" a="1"/>
  <c r="EM52" i="19" s="1"/>
  <c r="EK52" i="19" a="1"/>
  <c r="EK52" i="19" s="1"/>
  <c r="EI52" i="19" a="1"/>
  <c r="EI52" i="19" s="1"/>
  <c r="EG52" i="19" a="1"/>
  <c r="EG52" i="19" s="1"/>
  <c r="EA52" i="19" a="1"/>
  <c r="EA52" i="19" s="1"/>
  <c r="DY52" i="19" a="1"/>
  <c r="DY52" i="19" s="1"/>
  <c r="DS52" i="19" a="1"/>
  <c r="DS52" i="19" s="1"/>
  <c r="DT52" i="19" a="1"/>
  <c r="DT52" i="19" s="1"/>
  <c r="DJ52" i="19" a="1"/>
  <c r="DJ52" i="19" s="1"/>
  <c r="DN52" i="19" a="1"/>
  <c r="DN52" i="19" s="1"/>
  <c r="DL52" i="19" a="1"/>
  <c r="DL52" i="19" s="1"/>
  <c r="BM52" i="19" a="1"/>
  <c r="BM52" i="19" s="1"/>
  <c r="AO52" i="19" a="1"/>
  <c r="AO52" i="19" s="1"/>
  <c r="AK52" i="19" a="1"/>
  <c r="AK52" i="19" s="1"/>
  <c r="AI52" i="19" a="1"/>
  <c r="AI52" i="19" s="1"/>
  <c r="AE52" i="19" a="1"/>
  <c r="AE52" i="19" s="1"/>
  <c r="BL52" i="19" a="1"/>
  <c r="BL52" i="19" s="1"/>
  <c r="AP52" i="19" a="1"/>
  <c r="AP52" i="19" s="1"/>
  <c r="AJ52" i="19" a="1"/>
  <c r="AJ52" i="19" s="1"/>
  <c r="AF52" i="19" a="1"/>
  <c r="AF52" i="19" s="1"/>
  <c r="EW51" i="19" a="1"/>
  <c r="EW51" i="19" s="1"/>
  <c r="EQ51" i="19" a="1"/>
  <c r="EQ51" i="19" s="1"/>
  <c r="EO51" i="19" a="1"/>
  <c r="EO51" i="19" s="1"/>
  <c r="EM51" i="19" a="1"/>
  <c r="EM51" i="19" s="1"/>
  <c r="EK51" i="19" a="1"/>
  <c r="EK51" i="19" s="1"/>
  <c r="EI51" i="19" a="1"/>
  <c r="EI51" i="19" s="1"/>
  <c r="EG51" i="19" a="1"/>
  <c r="EG51" i="19" s="1"/>
  <c r="EA51" i="19" a="1"/>
  <c r="EA51" i="19" s="1"/>
  <c r="DY51" i="19" a="1"/>
  <c r="DY51" i="19" s="1"/>
  <c r="DS51" i="19" a="1"/>
  <c r="DS51" i="19" s="1"/>
  <c r="DT51" i="19" a="1"/>
  <c r="DT51" i="19" s="1"/>
  <c r="DN51" i="19" a="1"/>
  <c r="DN51" i="19" s="1"/>
  <c r="DL51" i="19" a="1"/>
  <c r="DL51" i="19" s="1"/>
  <c r="DJ51" i="19" a="1"/>
  <c r="DJ51" i="19" s="1"/>
  <c r="BM51" i="19" a="1"/>
  <c r="BM51" i="19" s="1"/>
  <c r="AO51" i="19" a="1"/>
  <c r="AO51" i="19" s="1"/>
  <c r="AK51" i="19" a="1"/>
  <c r="AK51" i="19" s="1"/>
  <c r="AI51" i="19" a="1"/>
  <c r="AI51" i="19" s="1"/>
  <c r="AE51" i="19" a="1"/>
  <c r="AE51" i="19" s="1"/>
  <c r="BL51" i="19" a="1"/>
  <c r="BL51" i="19" s="1"/>
  <c r="AP51" i="19" a="1"/>
  <c r="AP51" i="19" s="1"/>
  <c r="AJ51" i="19" a="1"/>
  <c r="AJ51" i="19" s="1"/>
  <c r="AF51" i="19" a="1"/>
  <c r="AF51" i="19" s="1"/>
  <c r="EW50" i="19" a="1"/>
  <c r="EW50" i="19" s="1"/>
  <c r="EQ50" i="19" a="1"/>
  <c r="EQ50" i="19" s="1"/>
  <c r="EO50" i="19" a="1"/>
  <c r="EO50" i="19" s="1"/>
  <c r="EM50" i="19" a="1"/>
  <c r="EM50" i="19" s="1"/>
  <c r="EK50" i="19" a="1"/>
  <c r="EK50" i="19" s="1"/>
  <c r="EI50" i="19" a="1"/>
  <c r="EI50" i="19" s="1"/>
  <c r="EG50" i="19" a="1"/>
  <c r="EG50" i="19" s="1"/>
  <c r="EA50" i="19" a="1"/>
  <c r="EA50" i="19" s="1"/>
  <c r="DY50" i="19" a="1"/>
  <c r="DY50" i="19" s="1"/>
  <c r="DS50" i="19" a="1"/>
  <c r="DS50" i="19" s="1"/>
  <c r="DT50" i="19" a="1"/>
  <c r="DT50" i="19" s="1"/>
  <c r="DJ50" i="19" a="1"/>
  <c r="DJ50" i="19" s="1"/>
  <c r="DN50" i="19" a="1"/>
  <c r="DN50" i="19" s="1"/>
  <c r="DL50" i="19" a="1"/>
  <c r="DL50" i="19" s="1"/>
  <c r="BM50" i="19" a="1"/>
  <c r="BM50" i="19" s="1"/>
  <c r="AO50" i="19" a="1"/>
  <c r="AO50" i="19" s="1"/>
  <c r="AK50" i="19" a="1"/>
  <c r="AK50" i="19" s="1"/>
  <c r="AI50" i="19" a="1"/>
  <c r="AI50" i="19" s="1"/>
  <c r="AE50" i="19" a="1"/>
  <c r="AE50" i="19" s="1"/>
  <c r="BL50" i="19" a="1"/>
  <c r="BL50" i="19" s="1"/>
  <c r="AP50" i="19" a="1"/>
  <c r="AP50" i="19" s="1"/>
  <c r="AJ50" i="19" a="1"/>
  <c r="AJ50" i="19" s="1"/>
  <c r="AF50" i="19" a="1"/>
  <c r="AF50" i="19" s="1"/>
  <c r="EW49" i="19" a="1"/>
  <c r="EW49" i="19" s="1"/>
  <c r="EQ49" i="19" a="1"/>
  <c r="EQ49" i="19" s="1"/>
  <c r="EO49" i="19" a="1"/>
  <c r="EO49" i="19" s="1"/>
  <c r="EM49" i="19" a="1"/>
  <c r="EM49" i="19" s="1"/>
  <c r="EK49" i="19" a="1"/>
  <c r="EK49" i="19" s="1"/>
  <c r="EI49" i="19" a="1"/>
  <c r="EI49" i="19" s="1"/>
  <c r="EG49" i="19" a="1"/>
  <c r="EG49" i="19" s="1"/>
  <c r="EA49" i="19" a="1"/>
  <c r="EA49" i="19" s="1"/>
  <c r="DY49" i="19" a="1"/>
  <c r="DY49" i="19" s="1"/>
  <c r="DS49" i="19" a="1"/>
  <c r="DS49" i="19" s="1"/>
  <c r="DT49" i="19" a="1"/>
  <c r="DT49" i="19" s="1"/>
  <c r="DN49" i="19" a="1"/>
  <c r="DN49" i="19" s="1"/>
  <c r="DL49" i="19" a="1"/>
  <c r="DL49" i="19" s="1"/>
  <c r="DJ49" i="19" a="1"/>
  <c r="DJ49" i="19" s="1"/>
  <c r="BM49" i="19" a="1"/>
  <c r="BM49" i="19" s="1"/>
  <c r="AO49" i="19" a="1"/>
  <c r="AO49" i="19" s="1"/>
  <c r="AK49" i="19" a="1"/>
  <c r="AK49" i="19" s="1"/>
  <c r="AI49" i="19" a="1"/>
  <c r="AI49" i="19" s="1"/>
  <c r="AE49" i="19" a="1"/>
  <c r="AE49" i="19" s="1"/>
  <c r="BL49" i="19" a="1"/>
  <c r="BL49" i="19" s="1"/>
  <c r="AP49" i="19" a="1"/>
  <c r="AP49" i="19" s="1"/>
  <c r="AJ49" i="19" a="1"/>
  <c r="AJ49" i="19" s="1"/>
  <c r="AF49" i="19" a="1"/>
  <c r="AF49" i="19" s="1"/>
  <c r="EW48" i="19" a="1"/>
  <c r="EW48" i="19" s="1"/>
  <c r="EQ48" i="19" a="1"/>
  <c r="EQ48" i="19" s="1"/>
  <c r="EO48" i="19" a="1"/>
  <c r="EO48" i="19" s="1"/>
  <c r="EM48" i="19" a="1"/>
  <c r="EM48" i="19" s="1"/>
  <c r="EK48" i="19" a="1"/>
  <c r="EK48" i="19" s="1"/>
  <c r="EI48" i="19" a="1"/>
  <c r="EI48" i="19" s="1"/>
  <c r="EG48" i="19" a="1"/>
  <c r="EG48" i="19" s="1"/>
  <c r="EA48" i="19" a="1"/>
  <c r="EA48" i="19" s="1"/>
  <c r="DY48" i="19" a="1"/>
  <c r="DY48" i="19" s="1"/>
  <c r="DS48" i="19" a="1"/>
  <c r="DS48" i="19" s="1"/>
  <c r="DT48" i="19" a="1"/>
  <c r="DT48" i="19" s="1"/>
  <c r="DN48" i="19" a="1"/>
  <c r="DN48" i="19" s="1"/>
  <c r="DL48" i="19" a="1"/>
  <c r="DL48" i="19" s="1"/>
  <c r="DJ48" i="19" a="1"/>
  <c r="DJ48" i="19" s="1"/>
  <c r="BM48" i="19" a="1"/>
  <c r="BM48" i="19" s="1"/>
  <c r="AO48" i="19" a="1"/>
  <c r="AO48" i="19" s="1"/>
  <c r="AK48" i="19" a="1"/>
  <c r="AK48" i="19" s="1"/>
  <c r="AI48" i="19" a="1"/>
  <c r="AI48" i="19" s="1"/>
  <c r="AE48" i="19" a="1"/>
  <c r="AE48" i="19" s="1"/>
  <c r="BL48" i="19" a="1"/>
  <c r="BL48" i="19" s="1"/>
  <c r="AP48" i="19" a="1"/>
  <c r="AP48" i="19" s="1"/>
  <c r="AJ48" i="19" a="1"/>
  <c r="AJ48" i="19" s="1"/>
  <c r="AF48" i="19" a="1"/>
  <c r="AF48" i="19" s="1"/>
  <c r="EW47" i="19" a="1"/>
  <c r="EW47" i="19" s="1"/>
  <c r="EQ47" i="19" a="1"/>
  <c r="EQ47" i="19" s="1"/>
  <c r="EO47" i="19" a="1"/>
  <c r="EO47" i="19" s="1"/>
  <c r="EM47" i="19" a="1"/>
  <c r="EM47" i="19" s="1"/>
  <c r="EK47" i="19" a="1"/>
  <c r="EK47" i="19" s="1"/>
  <c r="EI47" i="19" a="1"/>
  <c r="EI47" i="19" s="1"/>
  <c r="EG47" i="19" a="1"/>
  <c r="EG47" i="19" s="1"/>
  <c r="EA47" i="19" a="1"/>
  <c r="EA47" i="19" s="1"/>
  <c r="DY47" i="19" a="1"/>
  <c r="DY47" i="19" s="1"/>
  <c r="DS47" i="19" a="1"/>
  <c r="DS47" i="19" s="1"/>
  <c r="DT47" i="19" a="1"/>
  <c r="DT47" i="19" s="1"/>
  <c r="DN47" i="19" a="1"/>
  <c r="DN47" i="19" s="1"/>
  <c r="DL47" i="19" a="1"/>
  <c r="DL47" i="19" s="1"/>
  <c r="DJ47" i="19" a="1"/>
  <c r="DJ47" i="19" s="1"/>
  <c r="BM47" i="19" a="1"/>
  <c r="BM47" i="19" s="1"/>
  <c r="AO47" i="19" a="1"/>
  <c r="AO47" i="19" s="1"/>
  <c r="AK47" i="19" a="1"/>
  <c r="AK47" i="19" s="1"/>
  <c r="AI47" i="19" a="1"/>
  <c r="AI47" i="19" s="1"/>
  <c r="AE47" i="19" a="1"/>
  <c r="AE47" i="19" s="1"/>
  <c r="BL47" i="19" a="1"/>
  <c r="BL47" i="19" s="1"/>
  <c r="AP47" i="19" a="1"/>
  <c r="AP47" i="19" s="1"/>
  <c r="AJ47" i="19" a="1"/>
  <c r="AJ47" i="19" s="1"/>
  <c r="AF47" i="19" a="1"/>
  <c r="AF47" i="19" s="1"/>
  <c r="EW46" i="19" a="1"/>
  <c r="EW46" i="19" s="1"/>
  <c r="EQ46" i="19" a="1"/>
  <c r="EQ46" i="19" s="1"/>
  <c r="EO46" i="19" a="1"/>
  <c r="EO46" i="19" s="1"/>
  <c r="EM46" i="19" a="1"/>
  <c r="EM46" i="19" s="1"/>
  <c r="EK46" i="19" a="1"/>
  <c r="EK46" i="19" s="1"/>
  <c r="EI46" i="19" a="1"/>
  <c r="EI46" i="19" s="1"/>
  <c r="EG46" i="19" a="1"/>
  <c r="EG46" i="19" s="1"/>
  <c r="EA46" i="19" a="1"/>
  <c r="EA46" i="19" s="1"/>
  <c r="DY46" i="19" a="1"/>
  <c r="DY46" i="19" s="1"/>
  <c r="DS46" i="19" a="1"/>
  <c r="DS46" i="19" s="1"/>
  <c r="DN46" i="19" a="1"/>
  <c r="DN46" i="19" s="1"/>
  <c r="DL46" i="19" a="1"/>
  <c r="DL46" i="19" s="1"/>
  <c r="DT46" i="19" a="1"/>
  <c r="DT46" i="19" s="1"/>
  <c r="DJ46" i="19" a="1"/>
  <c r="DJ46" i="19" s="1"/>
  <c r="BM46" i="19" a="1"/>
  <c r="BM46" i="19" s="1"/>
  <c r="AO46" i="19" a="1"/>
  <c r="AO46" i="19" s="1"/>
  <c r="AK46" i="19" a="1"/>
  <c r="AK46" i="19" s="1"/>
  <c r="AI46" i="19" a="1"/>
  <c r="AI46" i="19" s="1"/>
  <c r="AE46" i="19" a="1"/>
  <c r="AE46" i="19" s="1"/>
  <c r="BL46" i="19" a="1"/>
  <c r="BL46" i="19" s="1"/>
  <c r="AP46" i="19" a="1"/>
  <c r="AP46" i="19" s="1"/>
  <c r="AJ46" i="19" a="1"/>
  <c r="AJ46" i="19" s="1"/>
  <c r="AF46" i="19" a="1"/>
  <c r="AF46" i="19" s="1"/>
  <c r="EW45" i="19" a="1"/>
  <c r="EW45" i="19" s="1"/>
  <c r="EQ45" i="19" a="1"/>
  <c r="EQ45" i="19" s="1"/>
  <c r="EO45" i="19" a="1"/>
  <c r="EO45" i="19" s="1"/>
  <c r="EM45" i="19" a="1"/>
  <c r="EM45" i="19" s="1"/>
  <c r="EK45" i="19" a="1"/>
  <c r="EK45" i="19" s="1"/>
  <c r="EI45" i="19" a="1"/>
  <c r="EI45" i="19" s="1"/>
  <c r="EG45" i="19" a="1"/>
  <c r="EG45" i="19" s="1"/>
  <c r="EA45" i="19" a="1"/>
  <c r="EA45" i="19" s="1"/>
  <c r="DY45" i="19" a="1"/>
  <c r="DY45" i="19" s="1"/>
  <c r="DS45" i="19" a="1"/>
  <c r="DS45" i="19" s="1"/>
  <c r="DT45" i="19" a="1"/>
  <c r="DT45" i="19" s="1"/>
  <c r="DN45" i="19" a="1"/>
  <c r="DN45" i="19" s="1"/>
  <c r="DL45" i="19" a="1"/>
  <c r="DL45" i="19" s="1"/>
  <c r="DJ45" i="19" a="1"/>
  <c r="DJ45" i="19" s="1"/>
  <c r="BM45" i="19" a="1"/>
  <c r="BM45" i="19" s="1"/>
  <c r="AO45" i="19" a="1"/>
  <c r="AO45" i="19" s="1"/>
  <c r="AK45" i="19" a="1"/>
  <c r="AK45" i="19" s="1"/>
  <c r="AI45" i="19" a="1"/>
  <c r="AI45" i="19" s="1"/>
  <c r="AE45" i="19" a="1"/>
  <c r="AE45" i="19" s="1"/>
  <c r="BL45" i="19" a="1"/>
  <c r="BL45" i="19" s="1"/>
  <c r="AP45" i="19" a="1"/>
  <c r="AP45" i="19" s="1"/>
  <c r="AJ45" i="19" a="1"/>
  <c r="AJ45" i="19" s="1"/>
  <c r="AF45" i="19" a="1"/>
  <c r="AF45" i="19" s="1"/>
  <c r="EW44" i="19" a="1"/>
  <c r="EW44" i="19" s="1"/>
  <c r="EQ44" i="19" a="1"/>
  <c r="EQ44" i="19" s="1"/>
  <c r="EO44" i="19" a="1"/>
  <c r="EO44" i="19" s="1"/>
  <c r="EM44" i="19" a="1"/>
  <c r="EM44" i="19" s="1"/>
  <c r="EK44" i="19" a="1"/>
  <c r="EK44" i="19" s="1"/>
  <c r="EI44" i="19" a="1"/>
  <c r="EI44" i="19" s="1"/>
  <c r="EG44" i="19" a="1"/>
  <c r="EG44" i="19" s="1"/>
  <c r="EA44" i="19" a="1"/>
  <c r="EA44" i="19" s="1"/>
  <c r="DY44" i="19" a="1"/>
  <c r="DY44" i="19" s="1"/>
  <c r="DS44" i="19" a="1"/>
  <c r="DS44" i="19" s="1"/>
  <c r="DT44" i="19" a="1"/>
  <c r="DT44" i="19" s="1"/>
  <c r="DN44" i="19" a="1"/>
  <c r="DN44" i="19" s="1"/>
  <c r="DL44" i="19" a="1"/>
  <c r="DL44" i="19" s="1"/>
  <c r="DJ44" i="19" a="1"/>
  <c r="DJ44" i="19" s="1"/>
  <c r="BM44" i="19" a="1"/>
  <c r="BM44" i="19" s="1"/>
  <c r="AO44" i="19" a="1"/>
  <c r="AO44" i="19" s="1"/>
  <c r="AK44" i="19" a="1"/>
  <c r="AK44" i="19" s="1"/>
  <c r="AI44" i="19" a="1"/>
  <c r="AI44" i="19" s="1"/>
  <c r="AE44" i="19" a="1"/>
  <c r="AE44" i="19" s="1"/>
  <c r="BL44" i="19" a="1"/>
  <c r="BL44" i="19" s="1"/>
  <c r="AP44" i="19" a="1"/>
  <c r="AP44" i="19" s="1"/>
  <c r="AJ44" i="19" a="1"/>
  <c r="AJ44" i="19" s="1"/>
  <c r="AF44" i="19" a="1"/>
  <c r="AF44" i="19" s="1"/>
  <c r="EW43" i="19" a="1"/>
  <c r="EW43" i="19" s="1"/>
  <c r="EQ43" i="19" a="1"/>
  <c r="EQ43" i="19" s="1"/>
  <c r="EO43" i="19" a="1"/>
  <c r="EO43" i="19" s="1"/>
  <c r="EM43" i="19" a="1"/>
  <c r="EM43" i="19" s="1"/>
  <c r="EK43" i="19" a="1"/>
  <c r="EK43" i="19" s="1"/>
  <c r="EI43" i="19" a="1"/>
  <c r="EI43" i="19" s="1"/>
  <c r="EG43" i="19" a="1"/>
  <c r="EG43" i="19" s="1"/>
  <c r="EA43" i="19" a="1"/>
  <c r="EA43" i="19" s="1"/>
  <c r="DY43" i="19" a="1"/>
  <c r="DY43" i="19" s="1"/>
  <c r="DS43" i="19" a="1"/>
  <c r="DS43" i="19" s="1"/>
  <c r="DT43" i="19" a="1"/>
  <c r="DT43" i="19" s="1"/>
  <c r="DN43" i="19" a="1"/>
  <c r="DN43" i="19" s="1"/>
  <c r="DL43" i="19" a="1"/>
  <c r="DL43" i="19" s="1"/>
  <c r="DJ43" i="19" a="1"/>
  <c r="DJ43" i="19" s="1"/>
  <c r="BM43" i="19" a="1"/>
  <c r="BM43" i="19" s="1"/>
  <c r="AO43" i="19" a="1"/>
  <c r="AO43" i="19" s="1"/>
  <c r="AK43" i="19" a="1"/>
  <c r="AK43" i="19" s="1"/>
  <c r="AI43" i="19" a="1"/>
  <c r="AI43" i="19" s="1"/>
  <c r="AE43" i="19" a="1"/>
  <c r="AE43" i="19" s="1"/>
  <c r="BL43" i="19" a="1"/>
  <c r="BL43" i="19" s="1"/>
  <c r="AP43" i="19" a="1"/>
  <c r="AP43" i="19" s="1"/>
  <c r="AJ43" i="19" a="1"/>
  <c r="AJ43" i="19" s="1"/>
  <c r="AF43" i="19" a="1"/>
  <c r="AF43" i="19" s="1"/>
  <c r="EW42" i="19" a="1"/>
  <c r="EW42" i="19" s="1"/>
  <c r="EQ42" i="19" a="1"/>
  <c r="EQ42" i="19" s="1"/>
  <c r="EO42" i="19" a="1"/>
  <c r="EO42" i="19" s="1"/>
  <c r="EM42" i="19" a="1"/>
  <c r="EM42" i="19" s="1"/>
  <c r="EK42" i="19" a="1"/>
  <c r="EK42" i="19" s="1"/>
  <c r="EI42" i="19" a="1"/>
  <c r="EI42" i="19" s="1"/>
  <c r="EG42" i="19" a="1"/>
  <c r="EG42" i="19" s="1"/>
  <c r="EA42" i="19" a="1"/>
  <c r="EA42" i="19" s="1"/>
  <c r="DY42" i="19" a="1"/>
  <c r="DY42" i="19" s="1"/>
  <c r="DS42" i="19" a="1"/>
  <c r="DS42" i="19" s="1"/>
  <c r="DT42" i="19" a="1"/>
  <c r="DT42" i="19" s="1"/>
  <c r="DN42" i="19" a="1"/>
  <c r="DN42" i="19" s="1"/>
  <c r="DL42" i="19" a="1"/>
  <c r="DL42" i="19" s="1"/>
  <c r="DJ42" i="19" a="1"/>
  <c r="DJ42" i="19" s="1"/>
  <c r="BM42" i="19" a="1"/>
  <c r="BM42" i="19" s="1"/>
  <c r="AO42" i="19" a="1"/>
  <c r="AO42" i="19" s="1"/>
  <c r="AK42" i="19" a="1"/>
  <c r="AK42" i="19" s="1"/>
  <c r="AI42" i="19" a="1"/>
  <c r="AI42" i="19" s="1"/>
  <c r="AE42" i="19" a="1"/>
  <c r="AE42" i="19" s="1"/>
  <c r="BL42" i="19" a="1"/>
  <c r="BL42" i="19" s="1"/>
  <c r="AP42" i="19" a="1"/>
  <c r="AP42" i="19" s="1"/>
  <c r="AJ42" i="19" a="1"/>
  <c r="AJ42" i="19" s="1"/>
  <c r="AF42" i="19" a="1"/>
  <c r="AF42" i="19" s="1"/>
  <c r="EW41" i="19" a="1"/>
  <c r="EW41" i="19" s="1"/>
  <c r="EQ41" i="19" a="1"/>
  <c r="EQ41" i="19" s="1"/>
  <c r="EO41" i="19" a="1"/>
  <c r="EO41" i="19" s="1"/>
  <c r="EM41" i="19" a="1"/>
  <c r="EM41" i="19" s="1"/>
  <c r="EK41" i="19" a="1"/>
  <c r="EK41" i="19" s="1"/>
  <c r="EI41" i="19" a="1"/>
  <c r="EI41" i="19" s="1"/>
  <c r="EG41" i="19" a="1"/>
  <c r="EG41" i="19" s="1"/>
  <c r="EA41" i="19" a="1"/>
  <c r="EA41" i="19" s="1"/>
  <c r="DY41" i="19" a="1"/>
  <c r="DY41" i="19" s="1"/>
  <c r="DS41" i="19" a="1"/>
  <c r="DS41" i="19" s="1"/>
  <c r="DT41" i="19" a="1"/>
  <c r="DT41" i="19" s="1"/>
  <c r="DN41" i="19" a="1"/>
  <c r="DN41" i="19" s="1"/>
  <c r="DL41" i="19" a="1"/>
  <c r="DL41" i="19" s="1"/>
  <c r="DJ41" i="19" a="1"/>
  <c r="DJ41" i="19" s="1"/>
  <c r="BM41" i="19" a="1"/>
  <c r="BM41" i="19" s="1"/>
  <c r="AO41" i="19" a="1"/>
  <c r="AO41" i="19" s="1"/>
  <c r="AK41" i="19" a="1"/>
  <c r="AK41" i="19" s="1"/>
  <c r="AI41" i="19" a="1"/>
  <c r="AI41" i="19" s="1"/>
  <c r="AE41" i="19" a="1"/>
  <c r="AE41" i="19" s="1"/>
  <c r="BL41" i="19" a="1"/>
  <c r="BL41" i="19" s="1"/>
  <c r="AP41" i="19" a="1"/>
  <c r="AP41" i="19" s="1"/>
  <c r="AJ41" i="19" a="1"/>
  <c r="AJ41" i="19" s="1"/>
  <c r="AF41" i="19" a="1"/>
  <c r="AF41" i="19" s="1"/>
  <c r="EW40" i="19" a="1"/>
  <c r="EW40" i="19" s="1"/>
  <c r="EQ40" i="19" a="1"/>
  <c r="EQ40" i="19" s="1"/>
  <c r="EO40" i="19" a="1"/>
  <c r="EO40" i="19" s="1"/>
  <c r="EM40" i="19" a="1"/>
  <c r="EM40" i="19" s="1"/>
  <c r="EK40" i="19" a="1"/>
  <c r="EK40" i="19" s="1"/>
  <c r="EI40" i="19" a="1"/>
  <c r="EI40" i="19" s="1"/>
  <c r="EG40" i="19" a="1"/>
  <c r="EG40" i="19" s="1"/>
  <c r="EA40" i="19" a="1"/>
  <c r="EA40" i="19" s="1"/>
  <c r="DY40" i="19" a="1"/>
  <c r="DY40" i="19" s="1"/>
  <c r="DS40" i="19" a="1"/>
  <c r="DS40" i="19" s="1"/>
  <c r="DT40" i="19" a="1"/>
  <c r="DT40" i="19" s="1"/>
  <c r="DN40" i="19" a="1"/>
  <c r="DN40" i="19" s="1"/>
  <c r="DL40" i="19" a="1"/>
  <c r="DL40" i="19" s="1"/>
  <c r="DJ40" i="19" a="1"/>
  <c r="DJ40" i="19" s="1"/>
  <c r="BM40" i="19" a="1"/>
  <c r="BM40" i="19" s="1"/>
  <c r="AO40" i="19" a="1"/>
  <c r="AO40" i="19" s="1"/>
  <c r="AK40" i="19" a="1"/>
  <c r="AK40" i="19" s="1"/>
  <c r="AI40" i="19" a="1"/>
  <c r="AI40" i="19" s="1"/>
  <c r="AE40" i="19" a="1"/>
  <c r="AE40" i="19" s="1"/>
  <c r="BL40" i="19" a="1"/>
  <c r="BL40" i="19" s="1"/>
  <c r="AP40" i="19" a="1"/>
  <c r="AP40" i="19" s="1"/>
  <c r="AJ40" i="19" a="1"/>
  <c r="AJ40" i="19" s="1"/>
  <c r="AF40" i="19" a="1"/>
  <c r="AF40" i="19" s="1"/>
  <c r="EW39" i="19" a="1"/>
  <c r="EW39" i="19" s="1"/>
  <c r="EQ39" i="19" a="1"/>
  <c r="EQ39" i="19" s="1"/>
  <c r="EO39" i="19" a="1"/>
  <c r="EO39" i="19" s="1"/>
  <c r="EM39" i="19" a="1"/>
  <c r="EM39" i="19" s="1"/>
  <c r="EK39" i="19" a="1"/>
  <c r="EK39" i="19" s="1"/>
  <c r="EI39" i="19" a="1"/>
  <c r="EI39" i="19" s="1"/>
  <c r="EG39" i="19" a="1"/>
  <c r="EG39" i="19" s="1"/>
  <c r="EA39" i="19" a="1"/>
  <c r="EA39" i="19" s="1"/>
  <c r="DY39" i="19" a="1"/>
  <c r="DY39" i="19" s="1"/>
  <c r="DS39" i="19" a="1"/>
  <c r="DS39" i="19" s="1"/>
  <c r="DT39" i="19" a="1"/>
  <c r="DT39" i="19" s="1"/>
  <c r="DN39" i="19" a="1"/>
  <c r="DN39" i="19" s="1"/>
  <c r="DL39" i="19" a="1"/>
  <c r="DL39" i="19" s="1"/>
  <c r="DJ39" i="19" a="1"/>
  <c r="DJ39" i="19" s="1"/>
  <c r="BM39" i="19" a="1"/>
  <c r="BM39" i="19" s="1"/>
  <c r="AO39" i="19" a="1"/>
  <c r="AO39" i="19" s="1"/>
  <c r="AK39" i="19" a="1"/>
  <c r="AK39" i="19" s="1"/>
  <c r="AI39" i="19" a="1"/>
  <c r="AI39" i="19" s="1"/>
  <c r="AE39" i="19" a="1"/>
  <c r="AE39" i="19" s="1"/>
  <c r="BL39" i="19" a="1"/>
  <c r="BL39" i="19" s="1"/>
  <c r="AP39" i="19" a="1"/>
  <c r="AP39" i="19" s="1"/>
  <c r="AJ39" i="19" a="1"/>
  <c r="AJ39" i="19" s="1"/>
  <c r="AF39" i="19" a="1"/>
  <c r="AF39" i="19" s="1"/>
  <c r="EW38" i="19" a="1"/>
  <c r="EW38" i="19" s="1"/>
  <c r="EQ38" i="19" a="1"/>
  <c r="EQ38" i="19" s="1"/>
  <c r="EO38" i="19" a="1"/>
  <c r="EO38" i="19" s="1"/>
  <c r="EM38" i="19" a="1"/>
  <c r="EM38" i="19" s="1"/>
  <c r="EK38" i="19" a="1"/>
  <c r="EK38" i="19" s="1"/>
  <c r="EI38" i="19" a="1"/>
  <c r="EI38" i="19" s="1"/>
  <c r="EG38" i="19" a="1"/>
  <c r="EG38" i="19" s="1"/>
  <c r="EA38" i="19" a="1"/>
  <c r="EA38" i="19" s="1"/>
  <c r="DY38" i="19" a="1"/>
  <c r="DY38" i="19" s="1"/>
  <c r="DS38" i="19" a="1"/>
  <c r="DS38" i="19" s="1"/>
  <c r="DT38" i="19" a="1"/>
  <c r="DT38" i="19" s="1"/>
  <c r="DN38" i="19" a="1"/>
  <c r="DN38" i="19" s="1"/>
  <c r="DL38" i="19" a="1"/>
  <c r="DL38" i="19" s="1"/>
  <c r="DJ38" i="19" a="1"/>
  <c r="DJ38" i="19" s="1"/>
  <c r="BM38" i="19" a="1"/>
  <c r="BM38" i="19" s="1"/>
  <c r="AO38" i="19" a="1"/>
  <c r="AO38" i="19" s="1"/>
  <c r="AK38" i="19" a="1"/>
  <c r="AK38" i="19" s="1"/>
  <c r="AI38" i="19" a="1"/>
  <c r="AI38" i="19" s="1"/>
  <c r="AE38" i="19" a="1"/>
  <c r="AE38" i="19" s="1"/>
  <c r="BL38" i="19" a="1"/>
  <c r="BL38" i="19" s="1"/>
  <c r="AP38" i="19" a="1"/>
  <c r="AP38" i="19" s="1"/>
  <c r="AJ38" i="19" a="1"/>
  <c r="AJ38" i="19" s="1"/>
  <c r="AF38" i="19" a="1"/>
  <c r="AF38" i="19" s="1"/>
  <c r="EW37" i="19" a="1"/>
  <c r="EW37" i="19" s="1"/>
  <c r="EQ37" i="19" a="1"/>
  <c r="EQ37" i="19" s="1"/>
  <c r="EO37" i="19" a="1"/>
  <c r="EO37" i="19" s="1"/>
  <c r="EM37" i="19" a="1"/>
  <c r="EM37" i="19" s="1"/>
  <c r="EK37" i="19" a="1"/>
  <c r="EK37" i="19" s="1"/>
  <c r="EI37" i="19" a="1"/>
  <c r="EI37" i="19" s="1"/>
  <c r="EG37" i="19" a="1"/>
  <c r="EG37" i="19" s="1"/>
  <c r="EA37" i="19" a="1"/>
  <c r="EA37" i="19" s="1"/>
  <c r="DY37" i="19" a="1"/>
  <c r="DY37" i="19" s="1"/>
  <c r="DS37" i="19" a="1"/>
  <c r="DS37" i="19" s="1"/>
  <c r="DT37" i="19" a="1"/>
  <c r="DT37" i="19" s="1"/>
  <c r="DN37" i="19" a="1"/>
  <c r="DN37" i="19" s="1"/>
  <c r="DL37" i="19" a="1"/>
  <c r="DL37" i="19" s="1"/>
  <c r="DJ37" i="19" a="1"/>
  <c r="DJ37" i="19" s="1"/>
  <c r="BM37" i="19" a="1"/>
  <c r="BM37" i="19" s="1"/>
  <c r="AO37" i="19" a="1"/>
  <c r="AO37" i="19" s="1"/>
  <c r="AK37" i="19" a="1"/>
  <c r="AK37" i="19" s="1"/>
  <c r="AI37" i="19" a="1"/>
  <c r="AI37" i="19" s="1"/>
  <c r="AE37" i="19" a="1"/>
  <c r="AE37" i="19" s="1"/>
  <c r="BL37" i="19" a="1"/>
  <c r="BL37" i="19" s="1"/>
  <c r="AP37" i="19" a="1"/>
  <c r="AP37" i="19" s="1"/>
  <c r="AJ37" i="19" a="1"/>
  <c r="AJ37" i="19" s="1"/>
  <c r="AF37" i="19" a="1"/>
  <c r="AF37" i="19" s="1"/>
  <c r="EW36" i="19" a="1"/>
  <c r="EW36" i="19" s="1"/>
  <c r="EQ36" i="19" a="1"/>
  <c r="EQ36" i="19" s="1"/>
  <c r="EO36" i="19" a="1"/>
  <c r="EO36" i="19" s="1"/>
  <c r="EM36" i="19" a="1"/>
  <c r="EM36" i="19" s="1"/>
  <c r="EK36" i="19" a="1"/>
  <c r="EK36" i="19" s="1"/>
  <c r="EI36" i="19" a="1"/>
  <c r="EI36" i="19" s="1"/>
  <c r="EG36" i="19" a="1"/>
  <c r="EG36" i="19" s="1"/>
  <c r="EA36" i="19" a="1"/>
  <c r="EA36" i="19" s="1"/>
  <c r="DY36" i="19" a="1"/>
  <c r="DY36" i="19" s="1"/>
  <c r="DS36" i="19" a="1"/>
  <c r="DS36" i="19" s="1"/>
  <c r="DT36" i="19" a="1"/>
  <c r="DT36" i="19" s="1"/>
  <c r="DN36" i="19" a="1"/>
  <c r="DN36" i="19" s="1"/>
  <c r="DL36" i="19" a="1"/>
  <c r="DL36" i="19" s="1"/>
  <c r="DJ36" i="19" a="1"/>
  <c r="DJ36" i="19" s="1"/>
  <c r="BM36" i="19" a="1"/>
  <c r="BM36" i="19" s="1"/>
  <c r="AO36" i="19" a="1"/>
  <c r="AO36" i="19" s="1"/>
  <c r="AK36" i="19" a="1"/>
  <c r="AK36" i="19" s="1"/>
  <c r="AI36" i="19" a="1"/>
  <c r="AI36" i="19" s="1"/>
  <c r="AE36" i="19" a="1"/>
  <c r="AE36" i="19" s="1"/>
  <c r="BL36" i="19" a="1"/>
  <c r="BL36" i="19" s="1"/>
  <c r="AP36" i="19" a="1"/>
  <c r="AP36" i="19" s="1"/>
  <c r="AJ36" i="19" a="1"/>
  <c r="AJ36" i="19" s="1"/>
  <c r="AF36" i="19" a="1"/>
  <c r="AF36" i="19" s="1"/>
  <c r="EW35" i="19" a="1"/>
  <c r="EW35" i="19" s="1"/>
  <c r="EQ35" i="19" a="1"/>
  <c r="EQ35" i="19" s="1"/>
  <c r="EO35" i="19" a="1"/>
  <c r="EO35" i="19" s="1"/>
  <c r="EM35" i="19" a="1"/>
  <c r="EM35" i="19" s="1"/>
  <c r="EK35" i="19" a="1"/>
  <c r="EK35" i="19" s="1"/>
  <c r="EI35" i="19" a="1"/>
  <c r="EI35" i="19" s="1"/>
  <c r="EG35" i="19" a="1"/>
  <c r="EG35" i="19" s="1"/>
  <c r="EA35" i="19" a="1"/>
  <c r="EA35" i="19" s="1"/>
  <c r="DY35" i="19" a="1"/>
  <c r="DY35" i="19" s="1"/>
  <c r="DS35" i="19" a="1"/>
  <c r="DS35" i="19" s="1"/>
  <c r="DT35" i="19" a="1"/>
  <c r="DT35" i="19" s="1"/>
  <c r="DN35" i="19" a="1"/>
  <c r="DN35" i="19" s="1"/>
  <c r="DL35" i="19" a="1"/>
  <c r="DL35" i="19" s="1"/>
  <c r="DJ35" i="19" a="1"/>
  <c r="DJ35" i="19" s="1"/>
  <c r="BM35" i="19" a="1"/>
  <c r="BM35" i="19" s="1"/>
  <c r="AO35" i="19" a="1"/>
  <c r="AO35" i="19" s="1"/>
  <c r="AK35" i="19" a="1"/>
  <c r="AK35" i="19" s="1"/>
  <c r="AI35" i="19" a="1"/>
  <c r="AI35" i="19" s="1"/>
  <c r="AE35" i="19" a="1"/>
  <c r="AE35" i="19" s="1"/>
  <c r="BL35" i="19" a="1"/>
  <c r="BL35" i="19" s="1"/>
  <c r="AP35" i="19" a="1"/>
  <c r="AP35" i="19" s="1"/>
  <c r="AJ35" i="19" a="1"/>
  <c r="AJ35" i="19" s="1"/>
  <c r="AF35" i="19" a="1"/>
  <c r="AF35" i="19" s="1"/>
  <c r="EW34" i="19" a="1"/>
  <c r="EW34" i="19" s="1"/>
  <c r="EQ34" i="19" a="1"/>
  <c r="EQ34" i="19" s="1"/>
  <c r="EO34" i="19" a="1"/>
  <c r="EO34" i="19" s="1"/>
  <c r="EM34" i="19" a="1"/>
  <c r="EM34" i="19" s="1"/>
  <c r="EK34" i="19" a="1"/>
  <c r="EK34" i="19" s="1"/>
  <c r="EI34" i="19" a="1"/>
  <c r="EI34" i="19" s="1"/>
  <c r="EG34" i="19" a="1"/>
  <c r="EG34" i="19" s="1"/>
  <c r="EA34" i="19" a="1"/>
  <c r="EA34" i="19" s="1"/>
  <c r="DY34" i="19" a="1"/>
  <c r="DY34" i="19" s="1"/>
  <c r="DS34" i="19" a="1"/>
  <c r="DS34" i="19" s="1"/>
  <c r="DT34" i="19" a="1"/>
  <c r="DT34" i="19" s="1"/>
  <c r="DN34" i="19" a="1"/>
  <c r="DN34" i="19" s="1"/>
  <c r="DL34" i="19" a="1"/>
  <c r="DL34" i="19" s="1"/>
  <c r="DJ34" i="19" a="1"/>
  <c r="DJ34" i="19" s="1"/>
  <c r="BM34" i="19" a="1"/>
  <c r="BM34" i="19" s="1"/>
  <c r="AO34" i="19" a="1"/>
  <c r="AO34" i="19" s="1"/>
  <c r="AK34" i="19" a="1"/>
  <c r="AK34" i="19" s="1"/>
  <c r="AI34" i="19" a="1"/>
  <c r="AI34" i="19" s="1"/>
  <c r="AE34" i="19" a="1"/>
  <c r="AE34" i="19" s="1"/>
  <c r="BL34" i="19" a="1"/>
  <c r="BL34" i="19" s="1"/>
  <c r="AP34" i="19" a="1"/>
  <c r="AP34" i="19" s="1"/>
  <c r="AJ34" i="19" a="1"/>
  <c r="AJ34" i="19" s="1"/>
  <c r="AF34" i="19" a="1"/>
  <c r="AF34" i="19" s="1"/>
  <c r="EW33" i="19" a="1"/>
  <c r="EW33" i="19" s="1"/>
  <c r="EQ33" i="19" a="1"/>
  <c r="EQ33" i="19" s="1"/>
  <c r="EO33" i="19" a="1"/>
  <c r="EO33" i="19" s="1"/>
  <c r="EM33" i="19" a="1"/>
  <c r="EM33" i="19" s="1"/>
  <c r="EK33" i="19" a="1"/>
  <c r="EK33" i="19" s="1"/>
  <c r="EI33" i="19" a="1"/>
  <c r="EI33" i="19" s="1"/>
  <c r="EG33" i="19" a="1"/>
  <c r="EG33" i="19" s="1"/>
  <c r="EA33" i="19" a="1"/>
  <c r="EA33" i="19" s="1"/>
  <c r="DY33" i="19" a="1"/>
  <c r="DY33" i="19" s="1"/>
  <c r="DS33" i="19" a="1"/>
  <c r="DS33" i="19" s="1"/>
  <c r="DT33" i="19" a="1"/>
  <c r="DT33" i="19" s="1"/>
  <c r="DN33" i="19" a="1"/>
  <c r="DN33" i="19" s="1"/>
  <c r="DL33" i="19" a="1"/>
  <c r="DL33" i="19" s="1"/>
  <c r="DJ33" i="19" a="1"/>
  <c r="DJ33" i="19" s="1"/>
  <c r="BM33" i="19" a="1"/>
  <c r="BM33" i="19" s="1"/>
  <c r="AO33" i="19" a="1"/>
  <c r="AO33" i="19" s="1"/>
  <c r="AK33" i="19" a="1"/>
  <c r="AK33" i="19" s="1"/>
  <c r="AI33" i="19" a="1"/>
  <c r="AI33" i="19" s="1"/>
  <c r="AE33" i="19" a="1"/>
  <c r="AE33" i="19" s="1"/>
  <c r="BL33" i="19" a="1"/>
  <c r="BL33" i="19" s="1"/>
  <c r="AP33" i="19" a="1"/>
  <c r="AP33" i="19" s="1"/>
  <c r="AJ33" i="19" a="1"/>
  <c r="AJ33" i="19" s="1"/>
  <c r="AF33" i="19" a="1"/>
  <c r="AF33" i="19" s="1"/>
  <c r="EW32" i="19" a="1"/>
  <c r="EW32" i="19" s="1"/>
  <c r="EQ32" i="19" a="1"/>
  <c r="EQ32" i="19" s="1"/>
  <c r="EO32" i="19" a="1"/>
  <c r="EO32" i="19" s="1"/>
  <c r="EM32" i="19" a="1"/>
  <c r="EM32" i="19" s="1"/>
  <c r="EK32" i="19" a="1"/>
  <c r="EK32" i="19" s="1"/>
  <c r="EI32" i="19" a="1"/>
  <c r="EI32" i="19" s="1"/>
  <c r="EG32" i="19" a="1"/>
  <c r="EG32" i="19" s="1"/>
  <c r="EA32" i="19" a="1"/>
  <c r="EA32" i="19" s="1"/>
  <c r="DY32" i="19" a="1"/>
  <c r="DY32" i="19" s="1"/>
  <c r="DS32" i="19" a="1"/>
  <c r="DS32" i="19" s="1"/>
  <c r="DT32" i="19" a="1"/>
  <c r="DT32" i="19" s="1"/>
  <c r="DN32" i="19" a="1"/>
  <c r="DN32" i="19" s="1"/>
  <c r="DL32" i="19" a="1"/>
  <c r="DL32" i="19" s="1"/>
  <c r="DJ32" i="19" a="1"/>
  <c r="DJ32" i="19" s="1"/>
  <c r="BM32" i="19" a="1"/>
  <c r="BM32" i="19" s="1"/>
  <c r="AO32" i="19" a="1"/>
  <c r="AO32" i="19" s="1"/>
  <c r="AK32" i="19" a="1"/>
  <c r="AK32" i="19" s="1"/>
  <c r="AI32" i="19" a="1"/>
  <c r="AI32" i="19" s="1"/>
  <c r="AE32" i="19" a="1"/>
  <c r="AE32" i="19" s="1"/>
  <c r="BL32" i="19" a="1"/>
  <c r="BL32" i="19" s="1"/>
  <c r="AP32" i="19" a="1"/>
  <c r="AP32" i="19" s="1"/>
  <c r="AJ32" i="19" a="1"/>
  <c r="AJ32" i="19" s="1"/>
  <c r="AF32" i="19" a="1"/>
  <c r="AF32" i="19" s="1"/>
  <c r="EW31" i="19" a="1"/>
  <c r="EW31" i="19" s="1"/>
  <c r="EQ31" i="19" a="1"/>
  <c r="EQ31" i="19" s="1"/>
  <c r="EO31" i="19" a="1"/>
  <c r="EO31" i="19" s="1"/>
  <c r="EM31" i="19" a="1"/>
  <c r="EM31" i="19" s="1"/>
  <c r="EK31" i="19" a="1"/>
  <c r="EK31" i="19" s="1"/>
  <c r="EI31" i="19" a="1"/>
  <c r="EI31" i="19" s="1"/>
  <c r="EG31" i="19" a="1"/>
  <c r="EG31" i="19" s="1"/>
  <c r="EA31" i="19" a="1"/>
  <c r="EA31" i="19" s="1"/>
  <c r="DY31" i="19" a="1"/>
  <c r="DY31" i="19" s="1"/>
  <c r="DS31" i="19" a="1"/>
  <c r="DS31" i="19" s="1"/>
  <c r="DT31" i="19" a="1"/>
  <c r="DT31" i="19" s="1"/>
  <c r="DN31" i="19" a="1"/>
  <c r="DN31" i="19" s="1"/>
  <c r="DL31" i="19" a="1"/>
  <c r="DL31" i="19" s="1"/>
  <c r="DJ31" i="19" a="1"/>
  <c r="DJ31" i="19" s="1"/>
  <c r="BM31" i="19" a="1"/>
  <c r="BM31" i="19" s="1"/>
  <c r="AO31" i="19" a="1"/>
  <c r="AO31" i="19" s="1"/>
  <c r="AK31" i="19" a="1"/>
  <c r="AK31" i="19" s="1"/>
  <c r="AI31" i="19" a="1"/>
  <c r="AI31" i="19" s="1"/>
  <c r="AE31" i="19" a="1"/>
  <c r="AE31" i="19" s="1"/>
  <c r="BL31" i="19" a="1"/>
  <c r="BL31" i="19" s="1"/>
  <c r="AP31" i="19" a="1"/>
  <c r="AP31" i="19" s="1"/>
  <c r="AJ31" i="19" a="1"/>
  <c r="AJ31" i="19" s="1"/>
  <c r="AF31" i="19" a="1"/>
  <c r="AF31" i="19" s="1"/>
  <c r="EW30" i="19" a="1"/>
  <c r="EW30" i="19" s="1"/>
  <c r="EQ30" i="19" a="1"/>
  <c r="EQ30" i="19" s="1"/>
  <c r="EO30" i="19" a="1"/>
  <c r="EO30" i="19" s="1"/>
  <c r="EM30" i="19" a="1"/>
  <c r="EM30" i="19" s="1"/>
  <c r="EK30" i="19" a="1"/>
  <c r="EK30" i="19" s="1"/>
  <c r="EI30" i="19" a="1"/>
  <c r="EI30" i="19" s="1"/>
  <c r="EG30" i="19" a="1"/>
  <c r="EG30" i="19" s="1"/>
  <c r="EA30" i="19" a="1"/>
  <c r="EA30" i="19" s="1"/>
  <c r="DY30" i="19" a="1"/>
  <c r="DY30" i="19" s="1"/>
  <c r="DS30" i="19" a="1"/>
  <c r="DS30" i="19" s="1"/>
  <c r="DT30" i="19" a="1"/>
  <c r="DT30" i="19" s="1"/>
  <c r="DN30" i="19" a="1"/>
  <c r="DN30" i="19" s="1"/>
  <c r="DL30" i="19" a="1"/>
  <c r="DL30" i="19" s="1"/>
  <c r="DJ30" i="19" a="1"/>
  <c r="DJ30" i="19" s="1"/>
  <c r="BM30" i="19" a="1"/>
  <c r="BM30" i="19" s="1"/>
  <c r="AO30" i="19" a="1"/>
  <c r="AO30" i="19" s="1"/>
  <c r="AK30" i="19" a="1"/>
  <c r="AK30" i="19" s="1"/>
  <c r="AI30" i="19" a="1"/>
  <c r="AI30" i="19" s="1"/>
  <c r="AE30" i="19" a="1"/>
  <c r="AE30" i="19" s="1"/>
  <c r="BL30" i="19" a="1"/>
  <c r="BL30" i="19" s="1"/>
  <c r="AP30" i="19" a="1"/>
  <c r="AP30" i="19" s="1"/>
  <c r="AJ30" i="19" a="1"/>
  <c r="AJ30" i="19" s="1"/>
  <c r="AF30" i="19" a="1"/>
  <c r="AF30" i="19" s="1"/>
  <c r="EW29" i="19" a="1"/>
  <c r="EW29" i="19" s="1"/>
  <c r="EQ29" i="19" a="1"/>
  <c r="EQ29" i="19" s="1"/>
  <c r="EO29" i="19" a="1"/>
  <c r="EO29" i="19" s="1"/>
  <c r="EM29" i="19" a="1"/>
  <c r="EM29" i="19" s="1"/>
  <c r="EK29" i="19" a="1"/>
  <c r="EK29" i="19" s="1"/>
  <c r="EI29" i="19" a="1"/>
  <c r="EI29" i="19" s="1"/>
  <c r="EG29" i="19" a="1"/>
  <c r="EG29" i="19" s="1"/>
  <c r="EA29" i="19" a="1"/>
  <c r="EA29" i="19" s="1"/>
  <c r="DY29" i="19" a="1"/>
  <c r="DY29" i="19" s="1"/>
  <c r="DS29" i="19" a="1"/>
  <c r="DS29" i="19" s="1"/>
  <c r="DT29" i="19" a="1"/>
  <c r="DT29" i="19" s="1"/>
  <c r="DN29" i="19" a="1"/>
  <c r="DN29" i="19" s="1"/>
  <c r="DL29" i="19" a="1"/>
  <c r="DL29" i="19" s="1"/>
  <c r="DJ29" i="19" a="1"/>
  <c r="DJ29" i="19" s="1"/>
  <c r="BM29" i="19" a="1"/>
  <c r="BM29" i="19" s="1"/>
  <c r="AO29" i="19" a="1"/>
  <c r="AO29" i="19" s="1"/>
  <c r="AK29" i="19" a="1"/>
  <c r="AK29" i="19" s="1"/>
  <c r="AI29" i="19" a="1"/>
  <c r="AI29" i="19" s="1"/>
  <c r="AE29" i="19" a="1"/>
  <c r="AE29" i="19" s="1"/>
  <c r="BL29" i="19" a="1"/>
  <c r="BL29" i="19" s="1"/>
  <c r="AP29" i="19" a="1"/>
  <c r="AP29" i="19" s="1"/>
  <c r="AJ29" i="19" a="1"/>
  <c r="AJ29" i="19" s="1"/>
  <c r="AF29" i="19" a="1"/>
  <c r="AF29" i="19" s="1"/>
  <c r="EW28" i="19" a="1"/>
  <c r="EW28" i="19" s="1"/>
  <c r="EQ28" i="19" a="1"/>
  <c r="EQ28" i="19" s="1"/>
  <c r="EO28" i="19" a="1"/>
  <c r="EO28" i="19" s="1"/>
  <c r="EM28" i="19" a="1"/>
  <c r="EM28" i="19" s="1"/>
  <c r="EK28" i="19" a="1"/>
  <c r="EK28" i="19" s="1"/>
  <c r="EI28" i="19" a="1"/>
  <c r="EI28" i="19" s="1"/>
  <c r="EG28" i="19" a="1"/>
  <c r="EG28" i="19" s="1"/>
  <c r="EA28" i="19" a="1"/>
  <c r="EA28" i="19" s="1"/>
  <c r="DY28" i="19" a="1"/>
  <c r="DY28" i="19" s="1"/>
  <c r="DS28" i="19" a="1"/>
  <c r="DS28" i="19" s="1"/>
  <c r="DT28" i="19" a="1"/>
  <c r="DT28" i="19" s="1"/>
  <c r="DN28" i="19" a="1"/>
  <c r="DN28" i="19" s="1"/>
  <c r="DL28" i="19" a="1"/>
  <c r="DL28" i="19" s="1"/>
  <c r="DJ28" i="19" a="1"/>
  <c r="DJ28" i="19" s="1"/>
  <c r="BM28" i="19" a="1"/>
  <c r="BM28" i="19" s="1"/>
  <c r="AO28" i="19" a="1"/>
  <c r="AO28" i="19" s="1"/>
  <c r="AK28" i="19" a="1"/>
  <c r="AK28" i="19" s="1"/>
  <c r="AI28" i="19" a="1"/>
  <c r="AI28" i="19" s="1"/>
  <c r="AE28" i="19" a="1"/>
  <c r="AE28" i="19" s="1"/>
  <c r="BL28" i="19" a="1"/>
  <c r="BL28" i="19" s="1"/>
  <c r="AP28" i="19" a="1"/>
  <c r="AP28" i="19" s="1"/>
  <c r="AJ28" i="19" a="1"/>
  <c r="AJ28" i="19" s="1"/>
  <c r="AF28" i="19" a="1"/>
  <c r="AF28" i="19" s="1"/>
  <c r="EW27" i="19" a="1"/>
  <c r="EW27" i="19" s="1"/>
  <c r="EQ27" i="19" a="1"/>
  <c r="EQ27" i="19" s="1"/>
  <c r="EO27" i="19" a="1"/>
  <c r="EO27" i="19" s="1"/>
  <c r="EM27" i="19" a="1"/>
  <c r="EM27" i="19" s="1"/>
  <c r="EK27" i="19" a="1"/>
  <c r="EK27" i="19" s="1"/>
  <c r="EI27" i="19" a="1"/>
  <c r="EI27" i="19" s="1"/>
  <c r="EG27" i="19" a="1"/>
  <c r="EG27" i="19" s="1"/>
  <c r="EA27" i="19" a="1"/>
  <c r="EA27" i="19" s="1"/>
  <c r="DY27" i="19" a="1"/>
  <c r="DY27" i="19" s="1"/>
  <c r="DS27" i="19" a="1"/>
  <c r="DS27" i="19" s="1"/>
  <c r="DT27" i="19" a="1"/>
  <c r="DT27" i="19" s="1"/>
  <c r="DN27" i="19" a="1"/>
  <c r="DN27" i="19" s="1"/>
  <c r="DL27" i="19" a="1"/>
  <c r="DL27" i="19" s="1"/>
  <c r="DJ27" i="19" a="1"/>
  <c r="DJ27" i="19" s="1"/>
  <c r="BM27" i="19" a="1"/>
  <c r="BM27" i="19" s="1"/>
  <c r="AO27" i="19" a="1"/>
  <c r="AO27" i="19" s="1"/>
  <c r="AK27" i="19" a="1"/>
  <c r="AK27" i="19" s="1"/>
  <c r="AI27" i="19" a="1"/>
  <c r="AI27" i="19" s="1"/>
  <c r="AE27" i="19" a="1"/>
  <c r="AE27" i="19" s="1"/>
  <c r="BL27" i="19" a="1"/>
  <c r="BL27" i="19" s="1"/>
  <c r="AP27" i="19" a="1"/>
  <c r="AP27" i="19" s="1"/>
  <c r="AJ27" i="19" a="1"/>
  <c r="AJ27" i="19" s="1"/>
  <c r="AF27" i="19" a="1"/>
  <c r="AF27" i="19" s="1"/>
  <c r="EW26" i="19" a="1"/>
  <c r="EW26" i="19" s="1"/>
  <c r="EQ26" i="19" a="1"/>
  <c r="EQ26" i="19" s="1"/>
  <c r="EO26" i="19" a="1"/>
  <c r="EO26" i="19" s="1"/>
  <c r="EM26" i="19" a="1"/>
  <c r="EM26" i="19" s="1"/>
  <c r="EK26" i="19" a="1"/>
  <c r="EK26" i="19" s="1"/>
  <c r="EI26" i="19" a="1"/>
  <c r="EI26" i="19" s="1"/>
  <c r="EG26" i="19" a="1"/>
  <c r="EG26" i="19" s="1"/>
  <c r="EA26" i="19" a="1"/>
  <c r="EA26" i="19" s="1"/>
  <c r="DY26" i="19" a="1"/>
  <c r="DY26" i="19" s="1"/>
  <c r="DS26" i="19" a="1"/>
  <c r="DS26" i="19" s="1"/>
  <c r="DT26" i="19" a="1"/>
  <c r="DT26" i="19" s="1"/>
  <c r="DN26" i="19" a="1"/>
  <c r="DN26" i="19" s="1"/>
  <c r="DL26" i="19" a="1"/>
  <c r="DL26" i="19" s="1"/>
  <c r="DJ26" i="19" a="1"/>
  <c r="DJ26" i="19" s="1"/>
  <c r="BM26" i="19" a="1"/>
  <c r="BM26" i="19" s="1"/>
  <c r="AO26" i="19" a="1"/>
  <c r="AO26" i="19" s="1"/>
  <c r="AK26" i="19" a="1"/>
  <c r="AK26" i="19" s="1"/>
  <c r="AI26" i="19" a="1"/>
  <c r="AI26" i="19" s="1"/>
  <c r="AE26" i="19" a="1"/>
  <c r="AE26" i="19" s="1"/>
  <c r="BL26" i="19" a="1"/>
  <c r="BL26" i="19" s="1"/>
  <c r="AP26" i="19" a="1"/>
  <c r="AP26" i="19" s="1"/>
  <c r="AJ26" i="19" a="1"/>
  <c r="AJ26" i="19" s="1"/>
  <c r="AF26" i="19" a="1"/>
  <c r="AF26" i="19" s="1"/>
  <c r="EW25" i="19" a="1"/>
  <c r="EW25" i="19" s="1"/>
  <c r="EQ25" i="19" a="1"/>
  <c r="EQ25" i="19" s="1"/>
  <c r="EO25" i="19" a="1"/>
  <c r="EO25" i="19" s="1"/>
  <c r="EM25" i="19" a="1"/>
  <c r="EM25" i="19" s="1"/>
  <c r="EK25" i="19" a="1"/>
  <c r="EK25" i="19" s="1"/>
  <c r="EI25" i="19" a="1"/>
  <c r="EI25" i="19" s="1"/>
  <c r="EG25" i="19" a="1"/>
  <c r="EG25" i="19" s="1"/>
  <c r="EA25" i="19" a="1"/>
  <c r="EA25" i="19" s="1"/>
  <c r="DY25" i="19" a="1"/>
  <c r="DY25" i="19" s="1"/>
  <c r="DS25" i="19" a="1"/>
  <c r="DS25" i="19" s="1"/>
  <c r="DT25" i="19" a="1"/>
  <c r="DT25" i="19" s="1"/>
  <c r="DN25" i="19" a="1"/>
  <c r="DN25" i="19" s="1"/>
  <c r="DL25" i="19" a="1"/>
  <c r="DL25" i="19" s="1"/>
  <c r="DJ25" i="19" a="1"/>
  <c r="DJ25" i="19" s="1"/>
  <c r="BM25" i="19" a="1"/>
  <c r="BM25" i="19" s="1"/>
  <c r="AO25" i="19" a="1"/>
  <c r="AO25" i="19" s="1"/>
  <c r="AK25" i="19" a="1"/>
  <c r="AK25" i="19" s="1"/>
  <c r="AI25" i="19" a="1"/>
  <c r="AI25" i="19" s="1"/>
  <c r="AE25" i="19" a="1"/>
  <c r="AE25" i="19" s="1"/>
  <c r="BL25" i="19" a="1"/>
  <c r="BL25" i="19" s="1"/>
  <c r="AP25" i="19" a="1"/>
  <c r="AP25" i="19" s="1"/>
  <c r="AJ25" i="19" a="1"/>
  <c r="AJ25" i="19" s="1"/>
  <c r="AF25" i="19" a="1"/>
  <c r="AF25" i="19" s="1"/>
  <c r="EW24" i="19" a="1"/>
  <c r="EW24" i="19" s="1"/>
  <c r="EQ24" i="19" a="1"/>
  <c r="EQ24" i="19" s="1"/>
  <c r="EO24" i="19" a="1"/>
  <c r="EO24" i="19" s="1"/>
  <c r="EM24" i="19" a="1"/>
  <c r="EM24" i="19" s="1"/>
  <c r="EK24" i="19" a="1"/>
  <c r="EK24" i="19" s="1"/>
  <c r="EI24" i="19" a="1"/>
  <c r="EI24" i="19" s="1"/>
  <c r="EG24" i="19" a="1"/>
  <c r="EG24" i="19" s="1"/>
  <c r="EA24" i="19" a="1"/>
  <c r="EA24" i="19" s="1"/>
  <c r="DY24" i="19" a="1"/>
  <c r="DY24" i="19" s="1"/>
  <c r="DS24" i="19" a="1"/>
  <c r="DS24" i="19" s="1"/>
  <c r="DT24" i="19" a="1"/>
  <c r="DT24" i="19" s="1"/>
  <c r="DN24" i="19" a="1"/>
  <c r="DN24" i="19" s="1"/>
  <c r="DL24" i="19" a="1"/>
  <c r="DL24" i="19" s="1"/>
  <c r="DJ24" i="19" a="1"/>
  <c r="DJ24" i="19" s="1"/>
  <c r="BM24" i="19" a="1"/>
  <c r="BM24" i="19" s="1"/>
  <c r="AO24" i="19" a="1"/>
  <c r="AO24" i="19" s="1"/>
  <c r="AK24" i="19" a="1"/>
  <c r="AK24" i="19" s="1"/>
  <c r="AI24" i="19" a="1"/>
  <c r="AI24" i="19" s="1"/>
  <c r="AE24" i="19" a="1"/>
  <c r="AE24" i="19" s="1"/>
  <c r="BL24" i="19" a="1"/>
  <c r="BL24" i="19" s="1"/>
  <c r="AP24" i="19" a="1"/>
  <c r="AP24" i="19" s="1"/>
  <c r="AJ24" i="19" a="1"/>
  <c r="AJ24" i="19" s="1"/>
  <c r="AF24" i="19" a="1"/>
  <c r="AF24" i="19" s="1"/>
  <c r="EW23" i="19" a="1"/>
  <c r="EW23" i="19" s="1"/>
  <c r="EQ23" i="19" a="1"/>
  <c r="EQ23" i="19" s="1"/>
  <c r="EO23" i="19" a="1"/>
  <c r="EO23" i="19" s="1"/>
  <c r="EM23" i="19" a="1"/>
  <c r="EM23" i="19" s="1"/>
  <c r="EK23" i="19" a="1"/>
  <c r="EK23" i="19" s="1"/>
  <c r="EI23" i="19" a="1"/>
  <c r="EI23" i="19" s="1"/>
  <c r="EG23" i="19" a="1"/>
  <c r="EG23" i="19" s="1"/>
  <c r="EA23" i="19" a="1"/>
  <c r="EA23" i="19" s="1"/>
  <c r="DY23" i="19" a="1"/>
  <c r="DY23" i="19" s="1"/>
  <c r="DS23" i="19" a="1"/>
  <c r="DS23" i="19" s="1"/>
  <c r="DT23" i="19" a="1"/>
  <c r="DT23" i="19" s="1"/>
  <c r="DN23" i="19" a="1"/>
  <c r="DN23" i="19" s="1"/>
  <c r="DL23" i="19" a="1"/>
  <c r="DL23" i="19" s="1"/>
  <c r="DJ23" i="19" a="1"/>
  <c r="DJ23" i="19" s="1"/>
  <c r="BM23" i="19" a="1"/>
  <c r="BM23" i="19" s="1"/>
  <c r="AO23" i="19" a="1"/>
  <c r="AO23" i="19" s="1"/>
  <c r="AK23" i="19" a="1"/>
  <c r="AK23" i="19" s="1"/>
  <c r="AI23" i="19" a="1"/>
  <c r="AI23" i="19" s="1"/>
  <c r="AE23" i="19" a="1"/>
  <c r="AE23" i="19" s="1"/>
  <c r="BL23" i="19" a="1"/>
  <c r="BL23" i="19" s="1"/>
  <c r="AP23" i="19" a="1"/>
  <c r="AP23" i="19" s="1"/>
  <c r="AJ23" i="19" a="1"/>
  <c r="AJ23" i="19" s="1"/>
  <c r="AF23" i="19" a="1"/>
  <c r="AF23" i="19" s="1"/>
  <c r="EW22" i="19" a="1"/>
  <c r="EW22" i="19" s="1"/>
  <c r="EQ22" i="19" a="1"/>
  <c r="EQ22" i="19" s="1"/>
  <c r="EO22" i="19" a="1"/>
  <c r="EO22" i="19" s="1"/>
  <c r="EM22" i="19" a="1"/>
  <c r="EM22" i="19" s="1"/>
  <c r="EK22" i="19" a="1"/>
  <c r="EK22" i="19" s="1"/>
  <c r="EI22" i="19" a="1"/>
  <c r="EI22" i="19" s="1"/>
  <c r="EG22" i="19" a="1"/>
  <c r="EG22" i="19" s="1"/>
  <c r="EA22" i="19" a="1"/>
  <c r="EA22" i="19" s="1"/>
  <c r="DY22" i="19" a="1"/>
  <c r="DY22" i="19" s="1"/>
  <c r="DN22" i="19" a="1"/>
  <c r="DN22" i="19" s="1"/>
  <c r="DL22" i="19" a="1"/>
  <c r="DL22" i="19" s="1"/>
  <c r="DJ22" i="19" a="1"/>
  <c r="DJ22" i="19" s="1"/>
  <c r="DT22" i="19" a="1"/>
  <c r="DT22" i="19" s="1"/>
  <c r="DS22" i="19" a="1"/>
  <c r="DS22" i="19" s="1"/>
  <c r="BM22" i="19" a="1"/>
  <c r="BM22" i="19" s="1"/>
  <c r="AO22" i="19" a="1"/>
  <c r="AO22" i="19" s="1"/>
  <c r="AK22" i="19" a="1"/>
  <c r="AK22" i="19" s="1"/>
  <c r="AI22" i="19" a="1"/>
  <c r="AI22" i="19" s="1"/>
  <c r="AE22" i="19" a="1"/>
  <c r="AE22" i="19" s="1"/>
  <c r="BL22" i="19" a="1"/>
  <c r="BL22" i="19" s="1"/>
  <c r="AP22" i="19" a="1"/>
  <c r="AP22" i="19" s="1"/>
  <c r="AJ22" i="19" a="1"/>
  <c r="AJ22" i="19" s="1"/>
  <c r="AF22" i="19" a="1"/>
  <c r="AF22" i="19" s="1"/>
  <c r="EW21" i="19" a="1"/>
  <c r="EW21" i="19" s="1"/>
  <c r="EQ21" i="19" a="1"/>
  <c r="EQ21" i="19" s="1"/>
  <c r="EO21" i="19" a="1"/>
  <c r="EO21" i="19" s="1"/>
  <c r="EM21" i="19" a="1"/>
  <c r="EM21" i="19" s="1"/>
  <c r="EK21" i="19" a="1"/>
  <c r="EK21" i="19" s="1"/>
  <c r="EI21" i="19" a="1"/>
  <c r="EI21" i="19" s="1"/>
  <c r="EG21" i="19" a="1"/>
  <c r="EG21" i="19" s="1"/>
  <c r="EA21" i="19" a="1"/>
  <c r="EA21" i="19" s="1"/>
  <c r="DY21" i="19" a="1"/>
  <c r="DY21" i="19" s="1"/>
  <c r="DS21" i="19" a="1"/>
  <c r="DS21" i="19" s="1"/>
  <c r="DT21" i="19" a="1"/>
  <c r="DT21" i="19" s="1"/>
  <c r="DN21" i="19" a="1"/>
  <c r="DN21" i="19" s="1"/>
  <c r="DL21" i="19" a="1"/>
  <c r="DL21" i="19" s="1"/>
  <c r="DJ21" i="19" a="1"/>
  <c r="DJ21" i="19" s="1"/>
  <c r="BM21" i="19" a="1"/>
  <c r="BM21" i="19" s="1"/>
  <c r="AO21" i="19" a="1"/>
  <c r="AO21" i="19" s="1"/>
  <c r="AK21" i="19" a="1"/>
  <c r="AK21" i="19" s="1"/>
  <c r="AI21" i="19" a="1"/>
  <c r="AI21" i="19" s="1"/>
  <c r="AE21" i="19" a="1"/>
  <c r="AE21" i="19" s="1"/>
  <c r="BL21" i="19" a="1"/>
  <c r="BL21" i="19" s="1"/>
  <c r="AP21" i="19" a="1"/>
  <c r="AP21" i="19" s="1"/>
  <c r="AJ21" i="19" a="1"/>
  <c r="AJ21" i="19" s="1"/>
  <c r="AF21" i="19" a="1"/>
  <c r="AF21" i="19" s="1"/>
  <c r="EW20" i="19" a="1"/>
  <c r="EW20" i="19" s="1"/>
  <c r="EQ20" i="19" a="1"/>
  <c r="EQ20" i="19" s="1"/>
  <c r="EO20" i="19" a="1"/>
  <c r="EO20" i="19" s="1"/>
  <c r="EM20" i="19" a="1"/>
  <c r="EM20" i="19" s="1"/>
  <c r="EK20" i="19" a="1"/>
  <c r="EK20" i="19" s="1"/>
  <c r="EI20" i="19" a="1"/>
  <c r="EI20" i="19" s="1"/>
  <c r="EG20" i="19" a="1"/>
  <c r="EG20" i="19" s="1"/>
  <c r="EA20" i="19" a="1"/>
  <c r="EA20" i="19" s="1"/>
  <c r="DY20" i="19" a="1"/>
  <c r="DY20" i="19" s="1"/>
  <c r="DS20" i="19" a="1"/>
  <c r="DS20" i="19" s="1"/>
  <c r="DT20" i="19" a="1"/>
  <c r="DT20" i="19" s="1"/>
  <c r="DN20" i="19" a="1"/>
  <c r="DN20" i="19" s="1"/>
  <c r="DL20" i="19" a="1"/>
  <c r="DL20" i="19" s="1"/>
  <c r="DJ20" i="19" a="1"/>
  <c r="DJ20" i="19" s="1"/>
  <c r="BM20" i="19" a="1"/>
  <c r="BM20" i="19" s="1"/>
  <c r="AO20" i="19" a="1"/>
  <c r="AO20" i="19" s="1"/>
  <c r="AK20" i="19" a="1"/>
  <c r="AK20" i="19" s="1"/>
  <c r="AI20" i="19" a="1"/>
  <c r="AI20" i="19" s="1"/>
  <c r="AE20" i="19" a="1"/>
  <c r="AE20" i="19" s="1"/>
  <c r="BL20" i="19" a="1"/>
  <c r="BL20" i="19" s="1"/>
  <c r="AP20" i="19" a="1"/>
  <c r="AP20" i="19" s="1"/>
  <c r="AJ20" i="19" a="1"/>
  <c r="AJ20" i="19" s="1"/>
  <c r="AF20" i="19" a="1"/>
  <c r="AF20" i="19" s="1"/>
  <c r="EW19" i="19" a="1"/>
  <c r="EW19" i="19" s="1"/>
  <c r="EQ19" i="19" a="1"/>
  <c r="EQ19" i="19" s="1"/>
  <c r="EO19" i="19" a="1"/>
  <c r="EO19" i="19" s="1"/>
  <c r="EM19" i="19" a="1"/>
  <c r="EM19" i="19" s="1"/>
  <c r="EK19" i="19" a="1"/>
  <c r="EK19" i="19" s="1"/>
  <c r="EI19" i="19" a="1"/>
  <c r="EI19" i="19" s="1"/>
  <c r="EG19" i="19" a="1"/>
  <c r="EG19" i="19" s="1"/>
  <c r="EA19" i="19" a="1"/>
  <c r="EA19" i="19" s="1"/>
  <c r="DY19" i="19" a="1"/>
  <c r="DY19" i="19" s="1"/>
  <c r="DS19" i="19" a="1"/>
  <c r="DS19" i="19" s="1"/>
  <c r="DT19" i="19" a="1"/>
  <c r="DT19" i="19" s="1"/>
  <c r="DN19" i="19" a="1"/>
  <c r="DN19" i="19" s="1"/>
  <c r="DL19" i="19" a="1"/>
  <c r="DL19" i="19" s="1"/>
  <c r="DJ19" i="19" a="1"/>
  <c r="DJ19" i="19" s="1"/>
  <c r="BM19" i="19" a="1"/>
  <c r="BM19" i="19" s="1"/>
  <c r="AO19" i="19" a="1"/>
  <c r="AO19" i="19" s="1"/>
  <c r="AK19" i="19" a="1"/>
  <c r="AK19" i="19" s="1"/>
  <c r="AI19" i="19" a="1"/>
  <c r="AI19" i="19" s="1"/>
  <c r="AE19" i="19" a="1"/>
  <c r="AE19" i="19" s="1"/>
  <c r="BL19" i="19" a="1"/>
  <c r="BL19" i="19" s="1"/>
  <c r="AP19" i="19" a="1"/>
  <c r="AP19" i="19" s="1"/>
  <c r="AJ19" i="19" a="1"/>
  <c r="AJ19" i="19" s="1"/>
  <c r="AF19" i="19" a="1"/>
  <c r="AF19" i="19" s="1"/>
  <c r="EW18" i="19" a="1"/>
  <c r="EW18" i="19" s="1"/>
  <c r="EQ18" i="19" a="1"/>
  <c r="EQ18" i="19" s="1"/>
  <c r="EO18" i="19" a="1"/>
  <c r="EO18" i="19" s="1"/>
  <c r="EM18" i="19" a="1"/>
  <c r="EM18" i="19" s="1"/>
  <c r="EK18" i="19" a="1"/>
  <c r="EK18" i="19" s="1"/>
  <c r="EI18" i="19" a="1"/>
  <c r="EI18" i="19" s="1"/>
  <c r="EG18" i="19" a="1"/>
  <c r="EG18" i="19" s="1"/>
  <c r="EA18" i="19" a="1"/>
  <c r="EA18" i="19" s="1"/>
  <c r="DY18" i="19" a="1"/>
  <c r="DY18" i="19" s="1"/>
  <c r="DS18" i="19" a="1"/>
  <c r="DS18" i="19" s="1"/>
  <c r="DT18" i="19" a="1"/>
  <c r="DT18" i="19" s="1"/>
  <c r="DN18" i="19" a="1"/>
  <c r="DN18" i="19" s="1"/>
  <c r="DL18" i="19" a="1"/>
  <c r="DL18" i="19" s="1"/>
  <c r="DJ18" i="19" a="1"/>
  <c r="DJ18" i="19" s="1"/>
  <c r="BM18" i="19" a="1"/>
  <c r="BM18" i="19" s="1"/>
  <c r="AO18" i="19" a="1"/>
  <c r="AO18" i="19" s="1"/>
  <c r="AK18" i="19" a="1"/>
  <c r="AK18" i="19" s="1"/>
  <c r="AI18" i="19" a="1"/>
  <c r="AI18" i="19" s="1"/>
  <c r="AE18" i="19" a="1"/>
  <c r="AE18" i="19" s="1"/>
  <c r="BL18" i="19" a="1"/>
  <c r="BL18" i="19" s="1"/>
  <c r="AP18" i="19" a="1"/>
  <c r="AP18" i="19" s="1"/>
  <c r="AJ18" i="19" a="1"/>
  <c r="AJ18" i="19" s="1"/>
  <c r="AF18" i="19" a="1"/>
  <c r="AF18" i="19" s="1"/>
  <c r="DT17" i="19" a="1"/>
  <c r="DT17" i="19" s="1"/>
  <c r="DN17" i="19" a="1"/>
  <c r="DN17" i="19" s="1"/>
  <c r="DL17" i="19" a="1"/>
  <c r="DL17" i="19" s="1"/>
  <c r="DJ17" i="19" a="1"/>
  <c r="DJ17" i="19" s="1"/>
  <c r="EW17" i="19" a="1"/>
  <c r="EW17" i="19" s="1"/>
  <c r="EQ17" i="19" a="1"/>
  <c r="EQ17" i="19" s="1"/>
  <c r="EO17" i="19" a="1"/>
  <c r="EO17" i="19" s="1"/>
  <c r="EM17" i="19" a="1"/>
  <c r="EM17" i="19" s="1"/>
  <c r="EK17" i="19" a="1"/>
  <c r="EK17" i="19" s="1"/>
  <c r="EI17" i="19" a="1"/>
  <c r="EI17" i="19" s="1"/>
  <c r="EG17" i="19" a="1"/>
  <c r="EG17" i="19" s="1"/>
  <c r="EA17" i="19" a="1"/>
  <c r="EA17" i="19" s="1"/>
  <c r="DY17" i="19" a="1"/>
  <c r="DY17" i="19" s="1"/>
  <c r="DS17" i="19" a="1"/>
  <c r="DS17" i="19" s="1"/>
  <c r="BM17" i="19" a="1"/>
  <c r="BM17" i="19" s="1"/>
  <c r="AO17" i="19" a="1"/>
  <c r="AO17" i="19" s="1"/>
  <c r="AK17" i="19" a="1"/>
  <c r="AK17" i="19" s="1"/>
  <c r="AI17" i="19" a="1"/>
  <c r="AI17" i="19" s="1"/>
  <c r="AE17" i="19" a="1"/>
  <c r="AE17" i="19" s="1"/>
  <c r="BL17" i="19" a="1"/>
  <c r="BL17" i="19" s="1"/>
  <c r="AP17" i="19" a="1"/>
  <c r="AP17" i="19" s="1"/>
  <c r="AJ17" i="19" a="1"/>
  <c r="AJ17" i="19" s="1"/>
  <c r="AF17" i="19" a="1"/>
  <c r="AF17" i="19" s="1"/>
  <c r="DT16" i="19" a="1"/>
  <c r="DT16" i="19" s="1"/>
  <c r="DN16" i="19" a="1"/>
  <c r="DN16" i="19" s="1"/>
  <c r="DL16" i="19" a="1"/>
  <c r="DL16" i="19" s="1"/>
  <c r="DJ16" i="19" a="1"/>
  <c r="DJ16" i="19" s="1"/>
  <c r="EW16" i="19" a="1"/>
  <c r="EW16" i="19" s="1"/>
  <c r="EQ16" i="19" a="1"/>
  <c r="EQ16" i="19" s="1"/>
  <c r="EO16" i="19" a="1"/>
  <c r="EO16" i="19" s="1"/>
  <c r="EM16" i="19" a="1"/>
  <c r="EM16" i="19" s="1"/>
  <c r="EK16" i="19" a="1"/>
  <c r="EK16" i="19" s="1"/>
  <c r="EI16" i="19" a="1"/>
  <c r="EI16" i="19" s="1"/>
  <c r="EG16" i="19" a="1"/>
  <c r="EG16" i="19" s="1"/>
  <c r="EA16" i="19" a="1"/>
  <c r="EA16" i="19" s="1"/>
  <c r="DY16" i="19" a="1"/>
  <c r="DY16" i="19" s="1"/>
  <c r="DS16" i="19" a="1"/>
  <c r="DS16" i="19" s="1"/>
  <c r="BM16" i="19" a="1"/>
  <c r="BM16" i="19" s="1"/>
  <c r="AO16" i="19" a="1"/>
  <c r="AO16" i="19" s="1"/>
  <c r="AK16" i="19" a="1"/>
  <c r="AK16" i="19" s="1"/>
  <c r="AI16" i="19" a="1"/>
  <c r="AI16" i="19" s="1"/>
  <c r="AE16" i="19" a="1"/>
  <c r="AE16" i="19" s="1"/>
  <c r="BL16" i="19" a="1"/>
  <c r="BL16" i="19" s="1"/>
  <c r="AP16" i="19" a="1"/>
  <c r="AP16" i="19" s="1"/>
  <c r="AJ16" i="19" a="1"/>
  <c r="AJ16" i="19" s="1"/>
  <c r="AF16" i="19" a="1"/>
  <c r="AF16" i="19" s="1"/>
  <c r="DT15" i="19" a="1"/>
  <c r="DT15" i="19" s="1"/>
  <c r="DN15" i="19" a="1"/>
  <c r="DN15" i="19" s="1"/>
  <c r="DL15" i="19" a="1"/>
  <c r="DL15" i="19" s="1"/>
  <c r="DJ15" i="19" a="1"/>
  <c r="DJ15" i="19" s="1"/>
  <c r="EW15" i="19" a="1"/>
  <c r="EW15" i="19" s="1"/>
  <c r="EQ15" i="19" a="1"/>
  <c r="EQ15" i="19" s="1"/>
  <c r="EO15" i="19" a="1"/>
  <c r="EO15" i="19" s="1"/>
  <c r="EM15" i="19" a="1"/>
  <c r="EM15" i="19" s="1"/>
  <c r="EK15" i="19" a="1"/>
  <c r="EK15" i="19" s="1"/>
  <c r="EI15" i="19" a="1"/>
  <c r="EI15" i="19" s="1"/>
  <c r="EG15" i="19" a="1"/>
  <c r="EG15" i="19" s="1"/>
  <c r="EA15" i="19" a="1"/>
  <c r="EA15" i="19" s="1"/>
  <c r="DY15" i="19" a="1"/>
  <c r="DY15" i="19" s="1"/>
  <c r="DS15" i="19" a="1"/>
  <c r="DS15" i="19" s="1"/>
  <c r="BM15" i="19" a="1"/>
  <c r="BM15" i="19" s="1"/>
  <c r="AO15" i="19" a="1"/>
  <c r="AO15" i="19" s="1"/>
  <c r="AK15" i="19" a="1"/>
  <c r="AK15" i="19" s="1"/>
  <c r="AI15" i="19" a="1"/>
  <c r="AI15" i="19" s="1"/>
  <c r="AE15" i="19" a="1"/>
  <c r="AE15" i="19" s="1"/>
  <c r="BL15" i="19" a="1"/>
  <c r="BL15" i="19" s="1"/>
  <c r="AP15" i="19" a="1"/>
  <c r="AP15" i="19" s="1"/>
  <c r="AJ15" i="19" a="1"/>
  <c r="AJ15" i="19" s="1"/>
  <c r="AF15" i="19" a="1"/>
  <c r="AF15" i="19" s="1"/>
  <c r="DT14" i="19" a="1"/>
  <c r="DT14" i="19" s="1"/>
  <c r="DN14" i="19" a="1"/>
  <c r="DN14" i="19" s="1"/>
  <c r="DL14" i="19" a="1"/>
  <c r="DL14" i="19" s="1"/>
  <c r="DJ14" i="19" a="1"/>
  <c r="DJ14" i="19" s="1"/>
  <c r="EW14" i="19" a="1"/>
  <c r="EW14" i="19" s="1"/>
  <c r="EQ14" i="19" a="1"/>
  <c r="EQ14" i="19" s="1"/>
  <c r="EO14" i="19" a="1"/>
  <c r="EO14" i="19" s="1"/>
  <c r="EM14" i="19" a="1"/>
  <c r="EM14" i="19" s="1"/>
  <c r="EK14" i="19" a="1"/>
  <c r="EK14" i="19" s="1"/>
  <c r="EI14" i="19" a="1"/>
  <c r="EI14" i="19" s="1"/>
  <c r="EG14" i="19" a="1"/>
  <c r="EG14" i="19" s="1"/>
  <c r="EA14" i="19" a="1"/>
  <c r="EA14" i="19" s="1"/>
  <c r="DY14" i="19" a="1"/>
  <c r="DY14" i="19" s="1"/>
  <c r="DS14" i="19" a="1"/>
  <c r="DS14" i="19" s="1"/>
  <c r="BM14" i="19" a="1"/>
  <c r="BM14" i="19" s="1"/>
  <c r="AO14" i="19" a="1"/>
  <c r="AO14" i="19" s="1"/>
  <c r="AK14" i="19" a="1"/>
  <c r="AK14" i="19" s="1"/>
  <c r="AI14" i="19" a="1"/>
  <c r="AI14" i="19" s="1"/>
  <c r="AE14" i="19" a="1"/>
  <c r="AE14" i="19" s="1"/>
  <c r="BL14" i="19" a="1"/>
  <c r="BL14" i="19" s="1"/>
  <c r="AP14" i="19" a="1"/>
  <c r="AP14" i="19" s="1"/>
  <c r="AJ14" i="19" a="1"/>
  <c r="AJ14" i="19" s="1"/>
  <c r="AF14" i="19" a="1"/>
  <c r="AF14" i="19" s="1"/>
  <c r="DT13" i="19" a="1"/>
  <c r="DT13" i="19" s="1"/>
  <c r="DN13" i="19" a="1"/>
  <c r="DN13" i="19" s="1"/>
  <c r="DL13" i="19" a="1"/>
  <c r="DL13" i="19" s="1"/>
  <c r="DJ13" i="19" a="1"/>
  <c r="DJ13" i="19" s="1"/>
  <c r="EW13" i="19" a="1"/>
  <c r="EW13" i="19" s="1"/>
  <c r="EQ13" i="19" a="1"/>
  <c r="EQ13" i="19" s="1"/>
  <c r="EO13" i="19" a="1"/>
  <c r="EO13" i="19" s="1"/>
  <c r="EM13" i="19" a="1"/>
  <c r="EM13" i="19" s="1"/>
  <c r="EK13" i="19" a="1"/>
  <c r="EK13" i="19" s="1"/>
  <c r="EI13" i="19" a="1"/>
  <c r="EI13" i="19" s="1"/>
  <c r="EG13" i="19" a="1"/>
  <c r="EG13" i="19" s="1"/>
  <c r="EA13" i="19" a="1"/>
  <c r="EA13" i="19" s="1"/>
  <c r="DY13" i="19" a="1"/>
  <c r="DY13" i="19" s="1"/>
  <c r="DS13" i="19" a="1"/>
  <c r="DS13" i="19" s="1"/>
  <c r="BM13" i="19" a="1"/>
  <c r="BM13" i="19" s="1"/>
  <c r="AO13" i="19" a="1"/>
  <c r="AO13" i="19" s="1"/>
  <c r="AK13" i="19" a="1"/>
  <c r="AK13" i="19" s="1"/>
  <c r="AI13" i="19" a="1"/>
  <c r="AI13" i="19" s="1"/>
  <c r="AE13" i="19" a="1"/>
  <c r="AE13" i="19" s="1"/>
  <c r="BL13" i="19" a="1"/>
  <c r="BL13" i="19" s="1"/>
  <c r="AP13" i="19" a="1"/>
  <c r="AP13" i="19" s="1"/>
  <c r="AJ13" i="19" a="1"/>
  <c r="AJ13" i="19" s="1"/>
  <c r="AF13" i="19" a="1"/>
  <c r="AF13" i="19" s="1"/>
  <c r="DT12" i="19" a="1"/>
  <c r="DT12" i="19" s="1"/>
  <c r="DN12" i="19" a="1"/>
  <c r="DN12" i="19" s="1"/>
  <c r="DL12" i="19" a="1"/>
  <c r="DL12" i="19" s="1"/>
  <c r="DJ12" i="19" a="1"/>
  <c r="DJ12" i="19" s="1"/>
  <c r="EW12" i="19" a="1"/>
  <c r="EW12" i="19" s="1"/>
  <c r="EQ12" i="19" a="1"/>
  <c r="EQ12" i="19" s="1"/>
  <c r="EO12" i="19" a="1"/>
  <c r="EO12" i="19" s="1"/>
  <c r="EM12" i="19" a="1"/>
  <c r="EM12" i="19" s="1"/>
  <c r="EK12" i="19" a="1"/>
  <c r="EK12" i="19" s="1"/>
  <c r="EI12" i="19" a="1"/>
  <c r="EI12" i="19" s="1"/>
  <c r="EG12" i="19" a="1"/>
  <c r="EG12" i="19" s="1"/>
  <c r="EA12" i="19" a="1"/>
  <c r="EA12" i="19" s="1"/>
  <c r="DY12" i="19" a="1"/>
  <c r="DY12" i="19" s="1"/>
  <c r="DS12" i="19" a="1"/>
  <c r="DS12" i="19" s="1"/>
  <c r="BM12" i="19" a="1"/>
  <c r="BM12" i="19" s="1"/>
  <c r="AO12" i="19" a="1"/>
  <c r="AO12" i="19" s="1"/>
  <c r="AK12" i="19" a="1"/>
  <c r="AK12" i="19" s="1"/>
  <c r="AI12" i="19" a="1"/>
  <c r="AI12" i="19" s="1"/>
  <c r="AE12" i="19" a="1"/>
  <c r="AE12" i="19" s="1"/>
  <c r="BL12" i="19" a="1"/>
  <c r="BL12" i="19" s="1"/>
  <c r="AP12" i="19" a="1"/>
  <c r="AP12" i="19" s="1"/>
  <c r="AJ12" i="19" a="1"/>
  <c r="AJ12" i="19" s="1"/>
  <c r="AF12" i="19" a="1"/>
  <c r="AF12" i="19" s="1"/>
  <c r="DT11" i="19" a="1"/>
  <c r="DT11" i="19" s="1"/>
  <c r="DN11" i="19" a="1"/>
  <c r="DN11" i="19" s="1"/>
  <c r="DL11" i="19" a="1"/>
  <c r="DL11" i="19" s="1"/>
  <c r="DJ11" i="19" a="1"/>
  <c r="DJ11" i="19" s="1"/>
  <c r="EW11" i="19" a="1"/>
  <c r="EW11" i="19" s="1"/>
  <c r="EQ11" i="19" a="1"/>
  <c r="EQ11" i="19" s="1"/>
  <c r="EO11" i="19" a="1"/>
  <c r="EO11" i="19" s="1"/>
  <c r="EM11" i="19" a="1"/>
  <c r="EM11" i="19" s="1"/>
  <c r="EK11" i="19" a="1"/>
  <c r="EK11" i="19" s="1"/>
  <c r="EI11" i="19" a="1"/>
  <c r="EI11" i="19" s="1"/>
  <c r="EG11" i="19" a="1"/>
  <c r="EG11" i="19" s="1"/>
  <c r="EA11" i="19" a="1"/>
  <c r="EA11" i="19" s="1"/>
  <c r="DY11" i="19" a="1"/>
  <c r="DY11" i="19" s="1"/>
  <c r="DS11" i="19" a="1"/>
  <c r="DS11" i="19" s="1"/>
  <c r="BM11" i="19" a="1"/>
  <c r="BM11" i="19" s="1"/>
  <c r="AO11" i="19" a="1"/>
  <c r="AO11" i="19" s="1"/>
  <c r="AK11" i="19" a="1"/>
  <c r="AK11" i="19" s="1"/>
  <c r="AI11" i="19" a="1"/>
  <c r="AI11" i="19" s="1"/>
  <c r="AE11" i="19" a="1"/>
  <c r="AE11" i="19" s="1"/>
  <c r="BL11" i="19" a="1"/>
  <c r="BL11" i="19" s="1"/>
  <c r="AP11" i="19" a="1"/>
  <c r="AP11" i="19" s="1"/>
  <c r="AJ11" i="19" a="1"/>
  <c r="AJ11" i="19" s="1"/>
  <c r="AF11" i="19" a="1"/>
  <c r="AF11" i="19" s="1"/>
  <c r="DT10" i="19" a="1"/>
  <c r="DT10" i="19" s="1"/>
  <c r="DN10" i="19" a="1"/>
  <c r="DN10" i="19" s="1"/>
  <c r="DL10" i="19" a="1"/>
  <c r="DL10" i="19" s="1"/>
  <c r="DJ10" i="19" a="1"/>
  <c r="DJ10" i="19" s="1"/>
  <c r="EW10" i="19" a="1"/>
  <c r="EW10" i="19" s="1"/>
  <c r="EQ10" i="19" a="1"/>
  <c r="EQ10" i="19" s="1"/>
  <c r="EO10" i="19" a="1"/>
  <c r="EO10" i="19" s="1"/>
  <c r="EM10" i="19" a="1"/>
  <c r="EM10" i="19" s="1"/>
  <c r="EK10" i="19" a="1"/>
  <c r="EK10" i="19" s="1"/>
  <c r="EI10" i="19" a="1"/>
  <c r="EI10" i="19" s="1"/>
  <c r="EG10" i="19" a="1"/>
  <c r="EG10" i="19" s="1"/>
  <c r="EA10" i="19" a="1"/>
  <c r="EA10" i="19" s="1"/>
  <c r="DY10" i="19" a="1"/>
  <c r="DY10" i="19" s="1"/>
  <c r="DS10" i="19" a="1"/>
  <c r="DS10" i="19" s="1"/>
  <c r="BM10" i="19" a="1"/>
  <c r="BM10" i="19" s="1"/>
  <c r="AO10" i="19" a="1"/>
  <c r="AO10" i="19" s="1"/>
  <c r="AK10" i="19" a="1"/>
  <c r="AK10" i="19" s="1"/>
  <c r="AI10" i="19" a="1"/>
  <c r="AI10" i="19" s="1"/>
  <c r="AE10" i="19" a="1"/>
  <c r="AE10" i="19" s="1"/>
  <c r="BL10" i="19" a="1"/>
  <c r="BL10" i="19" s="1"/>
  <c r="AP10" i="19" a="1"/>
  <c r="AP10" i="19" s="1"/>
  <c r="AJ10" i="19" a="1"/>
  <c r="AJ10" i="19" s="1"/>
  <c r="AF10" i="19" a="1"/>
  <c r="AF10" i="19" s="1"/>
  <c r="DT9" i="19" a="1"/>
  <c r="DT9" i="19" s="1"/>
  <c r="DN9" i="19" a="1"/>
  <c r="DN9" i="19" s="1"/>
  <c r="DL9" i="19" a="1"/>
  <c r="DL9" i="19" s="1"/>
  <c r="DJ9" i="19" a="1"/>
  <c r="DJ9" i="19" s="1"/>
  <c r="EW9" i="19" a="1"/>
  <c r="EW9" i="19" s="1"/>
  <c r="EQ9" i="19" a="1"/>
  <c r="EQ9" i="19" s="1"/>
  <c r="EO9" i="19" a="1"/>
  <c r="EO9" i="19" s="1"/>
  <c r="EM9" i="19" a="1"/>
  <c r="EM9" i="19" s="1"/>
  <c r="EK9" i="19" a="1"/>
  <c r="EK9" i="19" s="1"/>
  <c r="EI9" i="19" a="1"/>
  <c r="EI9" i="19" s="1"/>
  <c r="EG9" i="19" a="1"/>
  <c r="EG9" i="19" s="1"/>
  <c r="EA9" i="19" a="1"/>
  <c r="EA9" i="19" s="1"/>
  <c r="DY9" i="19" a="1"/>
  <c r="DY9" i="19" s="1"/>
  <c r="DS9" i="19" a="1"/>
  <c r="DS9" i="19" s="1"/>
  <c r="BM9" i="19" a="1"/>
  <c r="BM9" i="19" s="1"/>
  <c r="AO9" i="19" a="1"/>
  <c r="AO9" i="19" s="1"/>
  <c r="AK9" i="19" a="1"/>
  <c r="AK9" i="19" s="1"/>
  <c r="AI9" i="19" a="1"/>
  <c r="AI9" i="19" s="1"/>
  <c r="AE9" i="19" a="1"/>
  <c r="AE9" i="19" s="1"/>
  <c r="BL9" i="19" a="1"/>
  <c r="BL9" i="19" s="1"/>
  <c r="AP9" i="19" a="1"/>
  <c r="AP9" i="19" s="1"/>
  <c r="AJ9" i="19" a="1"/>
  <c r="AJ9" i="19" s="1"/>
  <c r="AF9" i="19" a="1"/>
  <c r="AF9" i="19" s="1"/>
  <c r="DT8" i="19" a="1"/>
  <c r="DT8" i="19" s="1"/>
  <c r="DN8" i="19" a="1"/>
  <c r="DN8" i="19" s="1"/>
  <c r="DL8" i="19" a="1"/>
  <c r="DL8" i="19" s="1"/>
  <c r="DJ8" i="19" a="1"/>
  <c r="DJ8" i="19" s="1"/>
  <c r="EW8" i="19" a="1"/>
  <c r="EW8" i="19" s="1"/>
  <c r="EQ8" i="19" a="1"/>
  <c r="EQ8" i="19" s="1"/>
  <c r="EO8" i="19" a="1"/>
  <c r="EO8" i="19" s="1"/>
  <c r="EM8" i="19" a="1"/>
  <c r="EM8" i="19" s="1"/>
  <c r="EK8" i="19" a="1"/>
  <c r="EK8" i="19" s="1"/>
  <c r="EI8" i="19" a="1"/>
  <c r="EI8" i="19" s="1"/>
  <c r="EG8" i="19" a="1"/>
  <c r="EG8" i="19" s="1"/>
  <c r="EA8" i="19" a="1"/>
  <c r="EA8" i="19" s="1"/>
  <c r="DY8" i="19" a="1"/>
  <c r="DY8" i="19" s="1"/>
  <c r="DS8" i="19" a="1"/>
  <c r="DS8" i="19" s="1"/>
  <c r="BM8" i="19" a="1"/>
  <c r="BM8" i="19" s="1"/>
  <c r="AO8" i="19" a="1"/>
  <c r="AO8" i="19" s="1"/>
  <c r="AK8" i="19" a="1"/>
  <c r="AK8" i="19" s="1"/>
  <c r="AI8" i="19" a="1"/>
  <c r="AI8" i="19" s="1"/>
  <c r="AE8" i="19" a="1"/>
  <c r="AE8" i="19" s="1"/>
  <c r="BL8" i="19" a="1"/>
  <c r="BL8" i="19" s="1"/>
  <c r="AP8" i="19" a="1"/>
  <c r="AP8" i="19" s="1"/>
  <c r="AJ8" i="19" a="1"/>
  <c r="AJ8" i="19" s="1"/>
  <c r="AF8" i="19" a="1"/>
  <c r="AF8" i="19" s="1"/>
  <c r="DT7" i="19" a="1"/>
  <c r="DT7" i="19" s="1"/>
  <c r="DN7" i="19" a="1"/>
  <c r="DN7" i="19" s="1"/>
  <c r="DL7" i="19" a="1"/>
  <c r="DL7" i="19" s="1"/>
  <c r="DJ7" i="19" a="1"/>
  <c r="DJ7" i="19" s="1"/>
  <c r="EW7" i="19" a="1"/>
  <c r="EW7" i="19" s="1"/>
  <c r="EQ7" i="19" a="1"/>
  <c r="EQ7" i="19" s="1"/>
  <c r="EO7" i="19" a="1"/>
  <c r="EO7" i="19" s="1"/>
  <c r="EM7" i="19" a="1"/>
  <c r="EM7" i="19" s="1"/>
  <c r="EK7" i="19" a="1"/>
  <c r="EK7" i="19" s="1"/>
  <c r="EI7" i="19" a="1"/>
  <c r="EI7" i="19" s="1"/>
  <c r="EG7" i="19" a="1"/>
  <c r="EG7" i="19" s="1"/>
  <c r="EA7" i="19" a="1"/>
  <c r="EA7" i="19" s="1"/>
  <c r="DY7" i="19" a="1"/>
  <c r="DY7" i="19" s="1"/>
  <c r="DS7" i="19" a="1"/>
  <c r="DS7" i="19" s="1"/>
  <c r="BM7" i="19" a="1"/>
  <c r="BM7" i="19" s="1"/>
  <c r="AO7" i="19" a="1"/>
  <c r="AO7" i="19" s="1"/>
  <c r="AK7" i="19" a="1"/>
  <c r="AK7" i="19" s="1"/>
  <c r="AI7" i="19" a="1"/>
  <c r="AI7" i="19" s="1"/>
  <c r="AE7" i="19" a="1"/>
  <c r="AE7" i="19" s="1"/>
  <c r="BL7" i="19" a="1"/>
  <c r="BL7" i="19" s="1"/>
  <c r="AP7" i="19" a="1"/>
  <c r="AP7" i="19" s="1"/>
  <c r="AJ7" i="19" a="1"/>
  <c r="AJ7" i="19" s="1"/>
  <c r="AF7" i="19" a="1"/>
  <c r="AF7" i="19" s="1"/>
  <c r="DT6" i="19" a="1"/>
  <c r="DT6" i="19" s="1"/>
  <c r="DN6" i="19" a="1"/>
  <c r="DN6" i="19" s="1"/>
  <c r="DL6" i="19" a="1"/>
  <c r="DL6" i="19" s="1"/>
  <c r="DJ6" i="19" a="1"/>
  <c r="DJ6" i="19" s="1"/>
  <c r="EW6" i="19" a="1"/>
  <c r="EW6" i="19" s="1"/>
  <c r="EQ6" i="19" a="1"/>
  <c r="EQ6" i="19" s="1"/>
  <c r="EO6" i="19" a="1"/>
  <c r="EO6" i="19" s="1"/>
  <c r="EM6" i="19" a="1"/>
  <c r="EM6" i="19" s="1"/>
  <c r="EK6" i="19" a="1"/>
  <c r="EK6" i="19" s="1"/>
  <c r="EI6" i="19" a="1"/>
  <c r="EI6" i="19" s="1"/>
  <c r="EG6" i="19" a="1"/>
  <c r="EG6" i="19" s="1"/>
  <c r="EA6" i="19" a="1"/>
  <c r="EA6" i="19" s="1"/>
  <c r="DY6" i="19" a="1"/>
  <c r="DY6" i="19" s="1"/>
  <c r="DS6" i="19" a="1"/>
  <c r="DS6" i="19" s="1"/>
  <c r="BM6" i="19" a="1"/>
  <c r="BM6" i="19" s="1"/>
  <c r="AO6" i="19" a="1"/>
  <c r="AO6" i="19" s="1"/>
  <c r="AK6" i="19" a="1"/>
  <c r="AK6" i="19" s="1"/>
  <c r="AI6" i="19" a="1"/>
  <c r="AI6" i="19" s="1"/>
  <c r="AE6" i="19" a="1"/>
  <c r="AE6" i="19" s="1"/>
  <c r="BL6" i="19" a="1"/>
  <c r="BL6" i="19" s="1"/>
  <c r="AP6" i="19" a="1"/>
  <c r="AP6" i="19" s="1"/>
  <c r="AJ6" i="19" a="1"/>
  <c r="AJ6" i="19" s="1"/>
  <c r="AF6" i="19" a="1"/>
  <c r="AF6" i="19" s="1"/>
  <c r="DT5" i="19" a="1"/>
  <c r="DT5" i="19" s="1"/>
  <c r="DN5" i="19" a="1"/>
  <c r="DN5" i="19" s="1"/>
  <c r="DL5" i="19" a="1"/>
  <c r="DL5" i="19" s="1"/>
  <c r="DJ5" i="19" a="1"/>
  <c r="DJ5" i="19" s="1"/>
  <c r="EW5" i="19" a="1"/>
  <c r="EW5" i="19" s="1"/>
  <c r="EQ5" i="19" a="1"/>
  <c r="EQ5" i="19" s="1"/>
  <c r="EO5" i="19" a="1"/>
  <c r="EO5" i="19" s="1"/>
  <c r="EM5" i="19" a="1"/>
  <c r="EM5" i="19" s="1"/>
  <c r="EK5" i="19" a="1"/>
  <c r="EK5" i="19" s="1"/>
  <c r="EI5" i="19" a="1"/>
  <c r="EI5" i="19" s="1"/>
  <c r="EG5" i="19" a="1"/>
  <c r="EG5" i="19" s="1"/>
  <c r="EA5" i="19" a="1"/>
  <c r="EA5" i="19" s="1"/>
  <c r="DY5" i="19" a="1"/>
  <c r="DY5" i="19" s="1"/>
  <c r="DS5" i="19" a="1"/>
  <c r="DS5" i="19" s="1"/>
  <c r="BM5" i="19" a="1"/>
  <c r="BM5" i="19" s="1"/>
  <c r="AO5" i="19" a="1"/>
  <c r="AO5" i="19" s="1"/>
  <c r="AK5" i="19" a="1"/>
  <c r="AK5" i="19" s="1"/>
  <c r="AI5" i="19" a="1"/>
  <c r="AI5" i="19" s="1"/>
  <c r="AE5" i="19" a="1"/>
  <c r="AE5" i="19" s="1"/>
  <c r="BL5" i="19" a="1"/>
  <c r="BL5" i="19" s="1"/>
  <c r="AP5" i="19" a="1"/>
  <c r="AP5" i="19" s="1"/>
  <c r="AJ5" i="19" a="1"/>
  <c r="AJ5" i="19" s="1"/>
  <c r="AF5" i="19" a="1"/>
  <c r="AF5" i="19" s="1"/>
  <c r="DT4" i="19" a="1"/>
  <c r="DT4" i="19" s="1"/>
  <c r="DN4" i="19" a="1"/>
  <c r="DN4" i="19" s="1"/>
  <c r="DL4" i="19" a="1"/>
  <c r="DL4" i="19" s="1"/>
  <c r="DJ4" i="19" a="1"/>
  <c r="DJ4" i="19" s="1"/>
  <c r="EW4" i="19" a="1"/>
  <c r="EW4" i="19" s="1"/>
  <c r="EQ4" i="19" a="1"/>
  <c r="EQ4" i="19" s="1"/>
  <c r="EO4" i="19" a="1"/>
  <c r="EO4" i="19" s="1"/>
  <c r="EM4" i="19" a="1"/>
  <c r="EM4" i="19" s="1"/>
  <c r="EK4" i="19" a="1"/>
  <c r="EK4" i="19" s="1"/>
  <c r="EI4" i="19" a="1"/>
  <c r="EI4" i="19" s="1"/>
  <c r="EG4" i="19" a="1"/>
  <c r="EG4" i="19" s="1"/>
  <c r="EA4" i="19" a="1"/>
  <c r="EA4" i="19" s="1"/>
  <c r="DY4" i="19" a="1"/>
  <c r="DY4" i="19" s="1"/>
  <c r="DS4" i="19" a="1"/>
  <c r="DS4" i="19" s="1"/>
  <c r="BM4" i="19" a="1"/>
  <c r="BM4" i="19" s="1"/>
  <c r="AO4" i="19" a="1"/>
  <c r="AO4" i="19" s="1"/>
  <c r="AK4" i="19" a="1"/>
  <c r="AK4" i="19" s="1"/>
  <c r="AI4" i="19" a="1"/>
  <c r="AI4" i="19" s="1"/>
  <c r="AE4" i="19" a="1"/>
  <c r="AE4" i="19" s="1"/>
  <c r="BL4" i="19" a="1"/>
  <c r="BL4" i="19" s="1"/>
  <c r="AP4" i="19" a="1"/>
  <c r="AP4" i="19" s="1"/>
  <c r="AJ4" i="19" a="1"/>
  <c r="AJ4" i="19" s="1"/>
  <c r="AF4" i="19" a="1"/>
  <c r="AF4" i="19" s="1"/>
  <c r="DT3" i="19" a="1"/>
  <c r="DT3" i="19" s="1"/>
  <c r="DN3" i="19" a="1"/>
  <c r="DN3" i="19" s="1"/>
  <c r="DL3" i="19" a="1"/>
  <c r="DL3" i="19" s="1"/>
  <c r="DJ3" i="19" a="1"/>
  <c r="DJ3" i="19" s="1"/>
  <c r="EW3" i="19" a="1"/>
  <c r="EW3" i="19" s="1"/>
  <c r="EQ3" i="19" a="1"/>
  <c r="EQ3" i="19" s="1"/>
  <c r="EO3" i="19" a="1"/>
  <c r="EO3" i="19" s="1"/>
  <c r="EM3" i="19" a="1"/>
  <c r="EM3" i="19" s="1"/>
  <c r="EK3" i="19" a="1"/>
  <c r="EK3" i="19" s="1"/>
  <c r="EI3" i="19" a="1"/>
  <c r="EI3" i="19" s="1"/>
  <c r="EG3" i="19" a="1"/>
  <c r="EG3" i="19" s="1"/>
  <c r="EA3" i="19" a="1"/>
  <c r="EA3" i="19" s="1"/>
  <c r="DY3" i="19" a="1"/>
  <c r="DY3" i="19" s="1"/>
  <c r="DS3" i="19" a="1"/>
  <c r="DS3" i="19" s="1"/>
  <c r="BM3" i="19" a="1"/>
  <c r="BM3" i="19" s="1"/>
  <c r="AO3" i="19" a="1"/>
  <c r="AO3" i="19" s="1"/>
  <c r="AK3" i="19" a="1"/>
  <c r="AK3" i="19" s="1"/>
  <c r="AI3" i="19" a="1"/>
  <c r="AI3" i="19" s="1"/>
  <c r="AE3" i="19" a="1"/>
  <c r="AE3" i="19" s="1"/>
  <c r="BL3" i="19" a="1"/>
  <c r="BL3" i="19" s="1"/>
  <c r="AP3" i="19" a="1"/>
  <c r="AP3" i="19" s="1"/>
  <c r="AJ3" i="19" a="1"/>
  <c r="AJ3" i="19" s="1"/>
  <c r="AF3" i="19" a="1"/>
  <c r="AF3" i="19" s="1"/>
  <c r="A3" i="5"/>
  <c r="EI2" i="19" a="1"/>
  <c r="EI2" i="19" s="1"/>
  <c r="EA2" i="19" a="1"/>
  <c r="EA2" i="19" s="1"/>
  <c r="EQ2" i="19" a="1"/>
  <c r="EQ2" i="19" s="1"/>
  <c r="EM2" i="19" a="1"/>
  <c r="EM2" i="19" s="1"/>
  <c r="DS2" i="19" a="1"/>
  <c r="DS2" i="19" s="1"/>
  <c r="DT2" i="19" a="1"/>
  <c r="DT2" i="19" s="1"/>
  <c r="DL2" i="19" a="1"/>
  <c r="DL2" i="19" s="1"/>
  <c r="BL2" i="19" a="1"/>
  <c r="BL2" i="19" s="1"/>
  <c r="AI2" i="19" a="1"/>
  <c r="AI2" i="19" s="1"/>
  <c r="AE2" i="19" a="1"/>
  <c r="AE2" i="19" s="1"/>
  <c r="AJ2" i="19" a="1"/>
  <c r="AJ2" i="19" s="1"/>
  <c r="AF2" i="19" a="1"/>
  <c r="AF2" i="19" s="1"/>
  <c r="EK2" i="19" a="1"/>
  <c r="EK2" i="19" s="1"/>
  <c r="EG2" i="19" a="1"/>
  <c r="EG2" i="19" s="1"/>
  <c r="DY2" i="19" a="1"/>
  <c r="DY2" i="19" s="1"/>
  <c r="EW2" i="19" a="1"/>
  <c r="EW2" i="19" s="1"/>
  <c r="EO2" i="19" a="1"/>
  <c r="EO2" i="19" s="1"/>
  <c r="DN2" i="19" a="1"/>
  <c r="DN2" i="19" s="1"/>
  <c r="DJ2" i="19" a="1"/>
  <c r="DJ2" i="19" s="1"/>
  <c r="AO2" i="19" a="1"/>
  <c r="AO2" i="19" s="1"/>
  <c r="AK2" i="19" a="1"/>
  <c r="AK2" i="19" s="1"/>
  <c r="BM2" i="19" a="1"/>
  <c r="BM2" i="19" s="1"/>
  <c r="AP2" i="19" a="1"/>
  <c r="AP2" i="19" s="1"/>
  <c r="DW3" i="5" a="1"/>
  <c r="DW3" i="5" s="1"/>
  <c r="DQ3" i="5" a="1"/>
  <c r="DQ3" i="5" s="1"/>
  <c r="DO3" i="5" a="1"/>
  <c r="DO3" i="5" s="1"/>
  <c r="DM3" i="5" a="1"/>
  <c r="DM3" i="5" s="1"/>
  <c r="EZ3" i="5" a="1"/>
  <c r="EZ3" i="5" s="1"/>
  <c r="ET3" i="5" a="1"/>
  <c r="ET3" i="5" s="1"/>
  <c r="ER3" i="5" a="1"/>
  <c r="ER3" i="5" s="1"/>
  <c r="EP3" i="5" a="1"/>
  <c r="EP3" i="5" s="1"/>
  <c r="EN3" i="5" a="1"/>
  <c r="EN3" i="5" s="1"/>
  <c r="EL3" i="5" a="1"/>
  <c r="EL3" i="5" s="1"/>
  <c r="EJ3" i="5" a="1"/>
  <c r="EJ3" i="5" s="1"/>
  <c r="ED3" i="5" a="1"/>
  <c r="ED3" i="5" s="1"/>
  <c r="EB3" i="5" a="1"/>
  <c r="EB3" i="5" s="1"/>
  <c r="DV3" i="5" a="1"/>
  <c r="DV3" i="5" s="1"/>
  <c r="BP3" i="5" a="1"/>
  <c r="BP3" i="5" s="1"/>
  <c r="BO3" i="5" a="1"/>
  <c r="BO3" i="5" s="1"/>
  <c r="AS3" i="5" a="1"/>
  <c r="AS3" i="5" s="1"/>
  <c r="AR3" i="5" a="1"/>
  <c r="AR3" i="5" s="1"/>
  <c r="AN3" i="5" a="1"/>
  <c r="AN3" i="5" s="1"/>
  <c r="AM3" i="5" a="1"/>
  <c r="AM3" i="5" s="1"/>
  <c r="AL3" i="5" a="1"/>
  <c r="AL3" i="5" s="1"/>
  <c r="AI3" i="5" a="1"/>
  <c r="AI3" i="5" s="1"/>
  <c r="AH3" i="5" a="1"/>
  <c r="AH3" i="5" s="1"/>
  <c r="AF3" i="5" a="1"/>
  <c r="AF3" i="5" s="1"/>
  <c r="HI59" i="19" a="1"/>
  <c r="HI59" i="19" s="1"/>
  <c r="FK59" i="19" a="1"/>
  <c r="FK59" i="19" s="1"/>
  <c r="FI59" i="19" a="1"/>
  <c r="FI59" i="19" s="1"/>
  <c r="FG59" i="19" a="1"/>
  <c r="FG59" i="19" s="1"/>
  <c r="FE59" i="19" a="1"/>
  <c r="FE59" i="19" s="1"/>
  <c r="FC59" i="19" a="1"/>
  <c r="FC59" i="19" s="1"/>
  <c r="FA59" i="19" a="1"/>
  <c r="FA59" i="19" s="1"/>
  <c r="EY59" i="19" a="1"/>
  <c r="EY59" i="19" s="1"/>
  <c r="EU59" i="19" a="1"/>
  <c r="EU59" i="19" s="1"/>
  <c r="EF59" i="19" a="1"/>
  <c r="EF59" i="19" s="1"/>
  <c r="EE59" i="19" a="1"/>
  <c r="EE59" i="19" s="1"/>
  <c r="ED59" i="19" a="1"/>
  <c r="ED59" i="19" s="1"/>
  <c r="EC59" i="19" a="1"/>
  <c r="EC59" i="19" s="1"/>
  <c r="DW59" i="19" a="1"/>
  <c r="DW59" i="19" s="1"/>
  <c r="DR59" i="19" a="1"/>
  <c r="DR59" i="19" s="1"/>
  <c r="DI59" i="19" a="1"/>
  <c r="DI59" i="19" s="1"/>
  <c r="HJ59" i="19" a="1"/>
  <c r="HJ59" i="19" s="1"/>
  <c r="FL59" i="19" a="1"/>
  <c r="FL59" i="19" s="1"/>
  <c r="FJ59" i="19" a="1"/>
  <c r="FJ59" i="19" s="1"/>
  <c r="FH59" i="19" a="1"/>
  <c r="FH59" i="19" s="1"/>
  <c r="FF59" i="19" a="1"/>
  <c r="FF59" i="19" s="1"/>
  <c r="FD59" i="19" a="1"/>
  <c r="FD59" i="19" s="1"/>
  <c r="FB59" i="19" a="1"/>
  <c r="FB59" i="19" s="1"/>
  <c r="EZ59" i="19" a="1"/>
  <c r="EZ59" i="19" s="1"/>
  <c r="EV59" i="19" a="1"/>
  <c r="EV59" i="19" s="1"/>
  <c r="ET59" i="19" a="1"/>
  <c r="ET59" i="19" s="1"/>
  <c r="DX59" i="19" a="1"/>
  <c r="DX59" i="19" s="1"/>
  <c r="DQ59" i="19" a="1"/>
  <c r="DQ59" i="19" s="1"/>
  <c r="AC59" i="19" a="1"/>
  <c r="AC59" i="19" s="1"/>
  <c r="AA59" i="19" a="1"/>
  <c r="AA59" i="19" s="1"/>
  <c r="Y59" i="19" a="1"/>
  <c r="Y59" i="19" s="1"/>
  <c r="W59" i="19" a="1"/>
  <c r="W59" i="19" s="1"/>
  <c r="U59" i="19" a="1"/>
  <c r="U59" i="19" s="1"/>
  <c r="S59" i="19" a="1"/>
  <c r="S59" i="19" s="1"/>
  <c r="Q59" i="19" a="1"/>
  <c r="Q59" i="19" s="1"/>
  <c r="O59" i="19" a="1"/>
  <c r="O59" i="19" s="1"/>
  <c r="M59" i="19" a="1"/>
  <c r="M59" i="19" s="1"/>
  <c r="K59" i="19" a="1"/>
  <c r="K59" i="19" s="1"/>
  <c r="I59" i="19" a="1"/>
  <c r="I59" i="19" s="1"/>
  <c r="G59" i="19" a="1"/>
  <c r="G59" i="19" s="1"/>
  <c r="AB59" i="19" a="1"/>
  <c r="AB59" i="19" s="1"/>
  <c r="Z59" i="19" a="1"/>
  <c r="Z59" i="19" s="1"/>
  <c r="X59" i="19" a="1"/>
  <c r="X59" i="19" s="1"/>
  <c r="V59" i="19" a="1"/>
  <c r="V59" i="19" s="1"/>
  <c r="T59" i="19" a="1"/>
  <c r="T59" i="19" s="1"/>
  <c r="R59" i="19" a="1"/>
  <c r="R59" i="19" s="1"/>
  <c r="P59" i="19" a="1"/>
  <c r="P59" i="19" s="1"/>
  <c r="L59" i="19" a="1"/>
  <c r="L59" i="19" s="1"/>
  <c r="J59" i="19" a="1"/>
  <c r="J59" i="19" s="1"/>
  <c r="H59" i="19" a="1"/>
  <c r="H59" i="19" s="1"/>
  <c r="D59" i="19" a="1"/>
  <c r="D59" i="19" s="1"/>
  <c r="E59" i="19" a="1"/>
  <c r="E59" i="19" s="1"/>
  <c r="HI58" i="19" a="1"/>
  <c r="HI58" i="19" s="1"/>
  <c r="FK58" i="19" a="1"/>
  <c r="FK58" i="19" s="1"/>
  <c r="FI58" i="19" a="1"/>
  <c r="FI58" i="19" s="1"/>
  <c r="FG58" i="19" a="1"/>
  <c r="FG58" i="19" s="1"/>
  <c r="FE58" i="19" a="1"/>
  <c r="FE58" i="19" s="1"/>
  <c r="FC58" i="19" a="1"/>
  <c r="FC58" i="19" s="1"/>
  <c r="FA58" i="19" a="1"/>
  <c r="FA58" i="19" s="1"/>
  <c r="EY58" i="19" a="1"/>
  <c r="EY58" i="19" s="1"/>
  <c r="EU58" i="19" a="1"/>
  <c r="EU58" i="19" s="1"/>
  <c r="EE58" i="19" a="1"/>
  <c r="EE58" i="19" s="1"/>
  <c r="EC58" i="19" a="1"/>
  <c r="EC58" i="19" s="1"/>
  <c r="DW58" i="19" a="1"/>
  <c r="DW58" i="19" s="1"/>
  <c r="DQ58" i="19" a="1"/>
  <c r="DQ58" i="19" s="1"/>
  <c r="DI58" i="19" a="1"/>
  <c r="DI58" i="19" s="1"/>
  <c r="HJ58" i="19" a="1"/>
  <c r="HJ58" i="19" s="1"/>
  <c r="FL58" i="19" a="1"/>
  <c r="FL58" i="19" s="1"/>
  <c r="FJ58" i="19" a="1"/>
  <c r="FJ58" i="19" s="1"/>
  <c r="FH58" i="19" a="1"/>
  <c r="FH58" i="19" s="1"/>
  <c r="FF58" i="19" a="1"/>
  <c r="FF58" i="19" s="1"/>
  <c r="FD58" i="19" a="1"/>
  <c r="FD58" i="19" s="1"/>
  <c r="FB58" i="19" a="1"/>
  <c r="FB58" i="19" s="1"/>
  <c r="EZ58" i="19" a="1"/>
  <c r="EZ58" i="19" s="1"/>
  <c r="EV58" i="19" a="1"/>
  <c r="EV58" i="19" s="1"/>
  <c r="ET58" i="19" a="1"/>
  <c r="ET58" i="19" s="1"/>
  <c r="EF58" i="19" a="1"/>
  <c r="EF58" i="19" s="1"/>
  <c r="ED58" i="19" a="1"/>
  <c r="ED58" i="19" s="1"/>
  <c r="DX58" i="19" a="1"/>
  <c r="DX58" i="19" s="1"/>
  <c r="DR58" i="19" a="1"/>
  <c r="DR58" i="19" s="1"/>
  <c r="AC58" i="19" a="1"/>
  <c r="AC58" i="19" s="1"/>
  <c r="AA58" i="19" a="1"/>
  <c r="AA58" i="19" s="1"/>
  <c r="Y58" i="19" a="1"/>
  <c r="Y58" i="19" s="1"/>
  <c r="W58" i="19" a="1"/>
  <c r="W58" i="19" s="1"/>
  <c r="U58" i="19" a="1"/>
  <c r="U58" i="19" s="1"/>
  <c r="S58" i="19" a="1"/>
  <c r="S58" i="19" s="1"/>
  <c r="Q58" i="19" a="1"/>
  <c r="Q58" i="19" s="1"/>
  <c r="O58" i="19" a="1"/>
  <c r="O58" i="19" s="1"/>
  <c r="M58" i="19" a="1"/>
  <c r="M58" i="19" s="1"/>
  <c r="K58" i="19" a="1"/>
  <c r="K58" i="19" s="1"/>
  <c r="I58" i="19" a="1"/>
  <c r="I58" i="19" s="1"/>
  <c r="G58" i="19" a="1"/>
  <c r="G58" i="19" s="1"/>
  <c r="E58" i="19" a="1"/>
  <c r="E58" i="19" s="1"/>
  <c r="AB58" i="19" a="1"/>
  <c r="AB58" i="19" s="1"/>
  <c r="Z58" i="19" a="1"/>
  <c r="Z58" i="19" s="1"/>
  <c r="X58" i="19" a="1"/>
  <c r="X58" i="19" s="1"/>
  <c r="V58" i="19" a="1"/>
  <c r="V58" i="19" s="1"/>
  <c r="T58" i="19" a="1"/>
  <c r="T58" i="19" s="1"/>
  <c r="R58" i="19" a="1"/>
  <c r="R58" i="19" s="1"/>
  <c r="P58" i="19" a="1"/>
  <c r="P58" i="19" s="1"/>
  <c r="L58" i="19" a="1"/>
  <c r="L58" i="19" s="1"/>
  <c r="J58" i="19" a="1"/>
  <c r="J58" i="19" s="1"/>
  <c r="H58" i="19" a="1"/>
  <c r="H58" i="19" s="1"/>
  <c r="D58" i="19" a="1"/>
  <c r="D58" i="19" s="1"/>
  <c r="HI57" i="19" a="1"/>
  <c r="HI57" i="19" s="1"/>
  <c r="FK57" i="19" a="1"/>
  <c r="FK57" i="19" s="1"/>
  <c r="FI57" i="19" a="1"/>
  <c r="FI57" i="19" s="1"/>
  <c r="FG57" i="19" a="1"/>
  <c r="FG57" i="19" s="1"/>
  <c r="FE57" i="19" a="1"/>
  <c r="FE57" i="19" s="1"/>
  <c r="FC57" i="19" a="1"/>
  <c r="FC57" i="19" s="1"/>
  <c r="FA57" i="19" a="1"/>
  <c r="FA57" i="19" s="1"/>
  <c r="EY57" i="19" a="1"/>
  <c r="EY57" i="19" s="1"/>
  <c r="EU57" i="19" a="1"/>
  <c r="EU57" i="19" s="1"/>
  <c r="EE57" i="19" a="1"/>
  <c r="EE57" i="19" s="1"/>
  <c r="EC57" i="19" a="1"/>
  <c r="EC57" i="19" s="1"/>
  <c r="DW57" i="19" a="1"/>
  <c r="DW57" i="19" s="1"/>
  <c r="DQ57" i="19" a="1"/>
  <c r="DQ57" i="19" s="1"/>
  <c r="DI57" i="19" a="1"/>
  <c r="DI57" i="19" s="1"/>
  <c r="EZ57" i="19" a="1"/>
  <c r="EZ57" i="19" s="1"/>
  <c r="ET57" i="19" a="1"/>
  <c r="ET57" i="19" s="1"/>
  <c r="ED57" i="19" a="1"/>
  <c r="ED57" i="19" s="1"/>
  <c r="DX57" i="19" a="1"/>
  <c r="DX57" i="19" s="1"/>
  <c r="HJ57" i="19" a="1"/>
  <c r="HJ57" i="19" s="1"/>
  <c r="FL57" i="19" a="1"/>
  <c r="FL57" i="19" s="1"/>
  <c r="FJ57" i="19" a="1"/>
  <c r="FJ57" i="19" s="1"/>
  <c r="FH57" i="19" a="1"/>
  <c r="FH57" i="19" s="1"/>
  <c r="FF57" i="19" a="1"/>
  <c r="FF57" i="19" s="1"/>
  <c r="FD57" i="19" a="1"/>
  <c r="FD57" i="19" s="1"/>
  <c r="FB57" i="19" a="1"/>
  <c r="FB57" i="19" s="1"/>
  <c r="EV57" i="19" a="1"/>
  <c r="EV57" i="19" s="1"/>
  <c r="EF57" i="19" a="1"/>
  <c r="EF57" i="19" s="1"/>
  <c r="DR57" i="19" a="1"/>
  <c r="DR57" i="19" s="1"/>
  <c r="AC57" i="19" a="1"/>
  <c r="AC57" i="19" s="1"/>
  <c r="AA57" i="19" a="1"/>
  <c r="AA57" i="19" s="1"/>
  <c r="Y57" i="19" a="1"/>
  <c r="Y57" i="19" s="1"/>
  <c r="W57" i="19" a="1"/>
  <c r="W57" i="19" s="1"/>
  <c r="U57" i="19" a="1"/>
  <c r="U57" i="19" s="1"/>
  <c r="S57" i="19" a="1"/>
  <c r="S57" i="19" s="1"/>
  <c r="Q57" i="19" a="1"/>
  <c r="Q57" i="19" s="1"/>
  <c r="O57" i="19" a="1"/>
  <c r="O57" i="19" s="1"/>
  <c r="M57" i="19" a="1"/>
  <c r="M57" i="19" s="1"/>
  <c r="K57" i="19" a="1"/>
  <c r="K57" i="19" s="1"/>
  <c r="I57" i="19" a="1"/>
  <c r="I57" i="19" s="1"/>
  <c r="G57" i="19" a="1"/>
  <c r="G57" i="19" s="1"/>
  <c r="E57" i="19" a="1"/>
  <c r="E57" i="19" s="1"/>
  <c r="AB57" i="19" a="1"/>
  <c r="AB57" i="19" s="1"/>
  <c r="Z57" i="19" a="1"/>
  <c r="Z57" i="19" s="1"/>
  <c r="X57" i="19" a="1"/>
  <c r="X57" i="19" s="1"/>
  <c r="V57" i="19" a="1"/>
  <c r="V57" i="19" s="1"/>
  <c r="T57" i="19" a="1"/>
  <c r="T57" i="19" s="1"/>
  <c r="R57" i="19" a="1"/>
  <c r="R57" i="19" s="1"/>
  <c r="P57" i="19" a="1"/>
  <c r="P57" i="19" s="1"/>
  <c r="L57" i="19" a="1"/>
  <c r="L57" i="19" s="1"/>
  <c r="J57" i="19" a="1"/>
  <c r="J57" i="19" s="1"/>
  <c r="H57" i="19" a="1"/>
  <c r="H57" i="19" s="1"/>
  <c r="D57" i="19" a="1"/>
  <c r="D57" i="19" s="1"/>
  <c r="HI56" i="19" a="1"/>
  <c r="HI56" i="19" s="1"/>
  <c r="FK56" i="19" a="1"/>
  <c r="FK56" i="19" s="1"/>
  <c r="FI56" i="19" a="1"/>
  <c r="FI56" i="19" s="1"/>
  <c r="FG56" i="19" a="1"/>
  <c r="FG56" i="19" s="1"/>
  <c r="FE56" i="19" a="1"/>
  <c r="FE56" i="19" s="1"/>
  <c r="FC56" i="19" a="1"/>
  <c r="FC56" i="19" s="1"/>
  <c r="FA56" i="19" a="1"/>
  <c r="FA56" i="19" s="1"/>
  <c r="EY56" i="19" a="1"/>
  <c r="EY56" i="19" s="1"/>
  <c r="EU56" i="19" a="1"/>
  <c r="EU56" i="19" s="1"/>
  <c r="EE56" i="19" a="1"/>
  <c r="EE56" i="19" s="1"/>
  <c r="EC56" i="19" a="1"/>
  <c r="EC56" i="19" s="1"/>
  <c r="DW56" i="19" a="1"/>
  <c r="DW56" i="19" s="1"/>
  <c r="DQ56" i="19" a="1"/>
  <c r="DQ56" i="19" s="1"/>
  <c r="DI56" i="19" a="1"/>
  <c r="DI56" i="19" s="1"/>
  <c r="FL56" i="19" a="1"/>
  <c r="FL56" i="19" s="1"/>
  <c r="FF56" i="19" a="1"/>
  <c r="FF56" i="19" s="1"/>
  <c r="EZ56" i="19" a="1"/>
  <c r="EZ56" i="19" s="1"/>
  <c r="EV56" i="19" a="1"/>
  <c r="EV56" i="19" s="1"/>
  <c r="EF56" i="19" a="1"/>
  <c r="EF56" i="19" s="1"/>
  <c r="DR56" i="19" a="1"/>
  <c r="DR56" i="19" s="1"/>
  <c r="HJ56" i="19" a="1"/>
  <c r="HJ56" i="19" s="1"/>
  <c r="FJ56" i="19" a="1"/>
  <c r="FJ56" i="19" s="1"/>
  <c r="FH56" i="19" a="1"/>
  <c r="FH56" i="19" s="1"/>
  <c r="FD56" i="19" a="1"/>
  <c r="FD56" i="19" s="1"/>
  <c r="FB56" i="19" a="1"/>
  <c r="FB56" i="19" s="1"/>
  <c r="ET56" i="19" a="1"/>
  <c r="ET56" i="19" s="1"/>
  <c r="ED56" i="19" a="1"/>
  <c r="ED56" i="19" s="1"/>
  <c r="DX56" i="19" a="1"/>
  <c r="DX56" i="19" s="1"/>
  <c r="AC56" i="19" a="1"/>
  <c r="AC56" i="19" s="1"/>
  <c r="AA56" i="19" a="1"/>
  <c r="AA56" i="19" s="1"/>
  <c r="Y56" i="19" a="1"/>
  <c r="Y56" i="19" s="1"/>
  <c r="W56" i="19" a="1"/>
  <c r="W56" i="19" s="1"/>
  <c r="U56" i="19" a="1"/>
  <c r="U56" i="19" s="1"/>
  <c r="S56" i="19" a="1"/>
  <c r="S56" i="19" s="1"/>
  <c r="Q56" i="19" a="1"/>
  <c r="Q56" i="19" s="1"/>
  <c r="O56" i="19" a="1"/>
  <c r="O56" i="19" s="1"/>
  <c r="M56" i="19" a="1"/>
  <c r="M56" i="19" s="1"/>
  <c r="K56" i="19" a="1"/>
  <c r="K56" i="19" s="1"/>
  <c r="I56" i="19" a="1"/>
  <c r="I56" i="19" s="1"/>
  <c r="G56" i="19" a="1"/>
  <c r="G56" i="19" s="1"/>
  <c r="E56" i="19" a="1"/>
  <c r="E56" i="19" s="1"/>
  <c r="P56" i="19" a="1"/>
  <c r="P56" i="19" s="1"/>
  <c r="L56" i="19" a="1"/>
  <c r="L56" i="19" s="1"/>
  <c r="H56" i="19" a="1"/>
  <c r="H56" i="19" s="1"/>
  <c r="AB56" i="19" a="1"/>
  <c r="AB56" i="19" s="1"/>
  <c r="Z56" i="19" a="1"/>
  <c r="Z56" i="19" s="1"/>
  <c r="X56" i="19" a="1"/>
  <c r="X56" i="19" s="1"/>
  <c r="V56" i="19" a="1"/>
  <c r="V56" i="19" s="1"/>
  <c r="T56" i="19" a="1"/>
  <c r="T56" i="19" s="1"/>
  <c r="R56" i="19" a="1"/>
  <c r="R56" i="19" s="1"/>
  <c r="J56" i="19" a="1"/>
  <c r="J56" i="19" s="1"/>
  <c r="D56" i="19" a="1"/>
  <c r="D56" i="19" s="1"/>
  <c r="HI55" i="19" a="1"/>
  <c r="HI55" i="19" s="1"/>
  <c r="FK55" i="19" a="1"/>
  <c r="FK55" i="19" s="1"/>
  <c r="FI55" i="19" a="1"/>
  <c r="FI55" i="19" s="1"/>
  <c r="FG55" i="19" a="1"/>
  <c r="FG55" i="19" s="1"/>
  <c r="FE55" i="19" a="1"/>
  <c r="FE55" i="19" s="1"/>
  <c r="FC55" i="19" a="1"/>
  <c r="FC55" i="19" s="1"/>
  <c r="FA55" i="19" a="1"/>
  <c r="FA55" i="19" s="1"/>
  <c r="EY55" i="19" a="1"/>
  <c r="EY55" i="19" s="1"/>
  <c r="EU55" i="19" a="1"/>
  <c r="EU55" i="19" s="1"/>
  <c r="EE55" i="19" a="1"/>
  <c r="EE55" i="19" s="1"/>
  <c r="EC55" i="19" a="1"/>
  <c r="EC55" i="19" s="1"/>
  <c r="DW55" i="19" a="1"/>
  <c r="DW55" i="19" s="1"/>
  <c r="DQ55" i="19" a="1"/>
  <c r="DQ55" i="19" s="1"/>
  <c r="DI55" i="19" a="1"/>
  <c r="DI55" i="19" s="1"/>
  <c r="HJ55" i="19" a="1"/>
  <c r="HJ55" i="19" s="1"/>
  <c r="FL55" i="19" a="1"/>
  <c r="FL55" i="19" s="1"/>
  <c r="FH55" i="19" a="1"/>
  <c r="FH55" i="19" s="1"/>
  <c r="FF55" i="19" a="1"/>
  <c r="FF55" i="19" s="1"/>
  <c r="FB55" i="19" a="1"/>
  <c r="FB55" i="19" s="1"/>
  <c r="ET55" i="19" a="1"/>
  <c r="ET55" i="19" s="1"/>
  <c r="ED55" i="19" a="1"/>
  <c r="ED55" i="19" s="1"/>
  <c r="DR55" i="19" a="1"/>
  <c r="DR55" i="19" s="1"/>
  <c r="FJ55" i="19" a="1"/>
  <c r="FJ55" i="19" s="1"/>
  <c r="FD55" i="19" a="1"/>
  <c r="FD55" i="19" s="1"/>
  <c r="EZ55" i="19" a="1"/>
  <c r="EZ55" i="19" s="1"/>
  <c r="EV55" i="19" a="1"/>
  <c r="EV55" i="19" s="1"/>
  <c r="EF55" i="19" a="1"/>
  <c r="EF55" i="19" s="1"/>
  <c r="DX55" i="19" a="1"/>
  <c r="DX55" i="19" s="1"/>
  <c r="AC55" i="19" a="1"/>
  <c r="AC55" i="19" s="1"/>
  <c r="AA55" i="19" a="1"/>
  <c r="AA55" i="19" s="1"/>
  <c r="Y55" i="19" a="1"/>
  <c r="Y55" i="19" s="1"/>
  <c r="W55" i="19" a="1"/>
  <c r="W55" i="19" s="1"/>
  <c r="U55" i="19" a="1"/>
  <c r="U55" i="19" s="1"/>
  <c r="S55" i="19" a="1"/>
  <c r="S55" i="19" s="1"/>
  <c r="Q55" i="19" a="1"/>
  <c r="Q55" i="19" s="1"/>
  <c r="O55" i="19" a="1"/>
  <c r="O55" i="19" s="1"/>
  <c r="M55" i="19" a="1"/>
  <c r="M55" i="19" s="1"/>
  <c r="K55" i="19" a="1"/>
  <c r="K55" i="19" s="1"/>
  <c r="I55" i="19" a="1"/>
  <c r="I55" i="19" s="1"/>
  <c r="G55" i="19" a="1"/>
  <c r="G55" i="19" s="1"/>
  <c r="E55" i="19" a="1"/>
  <c r="E55" i="19" s="1"/>
  <c r="Z55" i="19" a="1"/>
  <c r="Z55" i="19" s="1"/>
  <c r="X55" i="19" a="1"/>
  <c r="X55" i="19" s="1"/>
  <c r="T55" i="19" a="1"/>
  <c r="T55" i="19" s="1"/>
  <c r="P55" i="19" a="1"/>
  <c r="P55" i="19" s="1"/>
  <c r="J55" i="19" a="1"/>
  <c r="J55" i="19" s="1"/>
  <c r="D55" i="19" a="1"/>
  <c r="D55" i="19" s="1"/>
  <c r="AB55" i="19" a="1"/>
  <c r="AB55" i="19" s="1"/>
  <c r="V55" i="19" a="1"/>
  <c r="V55" i="19" s="1"/>
  <c r="R55" i="19" a="1"/>
  <c r="R55" i="19" s="1"/>
  <c r="L55" i="19" a="1"/>
  <c r="L55" i="19" s="1"/>
  <c r="H55" i="19" a="1"/>
  <c r="H55" i="19" s="1"/>
  <c r="HI54" i="19" a="1"/>
  <c r="HI54" i="19" s="1"/>
  <c r="FK54" i="19" a="1"/>
  <c r="FK54" i="19" s="1"/>
  <c r="FI54" i="19" a="1"/>
  <c r="FI54" i="19" s="1"/>
  <c r="FG54" i="19" a="1"/>
  <c r="FG54" i="19" s="1"/>
  <c r="FE54" i="19" a="1"/>
  <c r="FE54" i="19" s="1"/>
  <c r="FC54" i="19" a="1"/>
  <c r="FC54" i="19" s="1"/>
  <c r="FA54" i="19" a="1"/>
  <c r="FA54" i="19" s="1"/>
  <c r="EY54" i="19" a="1"/>
  <c r="EY54" i="19" s="1"/>
  <c r="EU54" i="19" a="1"/>
  <c r="EU54" i="19" s="1"/>
  <c r="EE54" i="19" a="1"/>
  <c r="EE54" i="19" s="1"/>
  <c r="EC54" i="19" a="1"/>
  <c r="EC54" i="19" s="1"/>
  <c r="DW54" i="19" a="1"/>
  <c r="DW54" i="19" s="1"/>
  <c r="DQ54" i="19" a="1"/>
  <c r="DQ54" i="19" s="1"/>
  <c r="DI54" i="19" a="1"/>
  <c r="DI54" i="19" s="1"/>
  <c r="HJ54" i="19" a="1"/>
  <c r="HJ54" i="19" s="1"/>
  <c r="FL54" i="19" a="1"/>
  <c r="FL54" i="19" s="1"/>
  <c r="FJ54" i="19" a="1"/>
  <c r="FJ54" i="19" s="1"/>
  <c r="FH54" i="19" a="1"/>
  <c r="FH54" i="19" s="1"/>
  <c r="FF54" i="19" a="1"/>
  <c r="FF54" i="19" s="1"/>
  <c r="FB54" i="19" a="1"/>
  <c r="FB54" i="19" s="1"/>
  <c r="EZ54" i="19" a="1"/>
  <c r="EZ54" i="19" s="1"/>
  <c r="EV54" i="19" a="1"/>
  <c r="EV54" i="19" s="1"/>
  <c r="EF54" i="19" a="1"/>
  <c r="EF54" i="19" s="1"/>
  <c r="DX54" i="19" a="1"/>
  <c r="DX54" i="19" s="1"/>
  <c r="FD54" i="19" a="1"/>
  <c r="FD54" i="19" s="1"/>
  <c r="ET54" i="19" a="1"/>
  <c r="ET54" i="19" s="1"/>
  <c r="ED54" i="19" a="1"/>
  <c r="ED54" i="19" s="1"/>
  <c r="DR54" i="19" a="1"/>
  <c r="DR54" i="19" s="1"/>
  <c r="AC54" i="19" a="1"/>
  <c r="AC54" i="19" s="1"/>
  <c r="AA54" i="19" a="1"/>
  <c r="AA54" i="19" s="1"/>
  <c r="Y54" i="19" a="1"/>
  <c r="Y54" i="19" s="1"/>
  <c r="W54" i="19" a="1"/>
  <c r="W54" i="19" s="1"/>
  <c r="U54" i="19" a="1"/>
  <c r="U54" i="19" s="1"/>
  <c r="S54" i="19" a="1"/>
  <c r="S54" i="19" s="1"/>
  <c r="Q54" i="19" a="1"/>
  <c r="Q54" i="19" s="1"/>
  <c r="O54" i="19" a="1"/>
  <c r="O54" i="19" s="1"/>
  <c r="M54" i="19" a="1"/>
  <c r="M54" i="19" s="1"/>
  <c r="K54" i="19" a="1"/>
  <c r="K54" i="19" s="1"/>
  <c r="I54" i="19" a="1"/>
  <c r="I54" i="19" s="1"/>
  <c r="G54" i="19" a="1"/>
  <c r="G54" i="19" s="1"/>
  <c r="AB54" i="19" a="1"/>
  <c r="AB54" i="19" s="1"/>
  <c r="Z54" i="19" a="1"/>
  <c r="Z54" i="19" s="1"/>
  <c r="X54" i="19" a="1"/>
  <c r="X54" i="19" s="1"/>
  <c r="V54" i="19" a="1"/>
  <c r="V54" i="19" s="1"/>
  <c r="T54" i="19" a="1"/>
  <c r="T54" i="19" s="1"/>
  <c r="R54" i="19" a="1"/>
  <c r="R54" i="19" s="1"/>
  <c r="P54" i="19" a="1"/>
  <c r="P54" i="19" s="1"/>
  <c r="L54" i="19" a="1"/>
  <c r="L54" i="19" s="1"/>
  <c r="J54" i="19" a="1"/>
  <c r="J54" i="19" s="1"/>
  <c r="H54" i="19" a="1"/>
  <c r="H54" i="19" s="1"/>
  <c r="D54" i="19" a="1"/>
  <c r="D54" i="19" s="1"/>
  <c r="E54" i="19" a="1"/>
  <c r="E54" i="19" s="1"/>
  <c r="HJ53" i="19" a="1"/>
  <c r="HJ53" i="19" s="1"/>
  <c r="HI53" i="19" a="1"/>
  <c r="HI53" i="19" s="1"/>
  <c r="FK53" i="19" a="1"/>
  <c r="FK53" i="19" s="1"/>
  <c r="FI53" i="19" a="1"/>
  <c r="FI53" i="19" s="1"/>
  <c r="FG53" i="19" a="1"/>
  <c r="FG53" i="19" s="1"/>
  <c r="FE53" i="19" a="1"/>
  <c r="FE53" i="19" s="1"/>
  <c r="FC53" i="19" a="1"/>
  <c r="FC53" i="19" s="1"/>
  <c r="FA53" i="19" a="1"/>
  <c r="FA53" i="19" s="1"/>
  <c r="EY53" i="19" a="1"/>
  <c r="EY53" i="19" s="1"/>
  <c r="EU53" i="19" a="1"/>
  <c r="EU53" i="19" s="1"/>
  <c r="EE53" i="19" a="1"/>
  <c r="EE53" i="19" s="1"/>
  <c r="EC53" i="19" a="1"/>
  <c r="EC53" i="19" s="1"/>
  <c r="DW53" i="19" a="1"/>
  <c r="DW53" i="19" s="1"/>
  <c r="DQ53" i="19" a="1"/>
  <c r="DQ53" i="19" s="1"/>
  <c r="DI53" i="19" a="1"/>
  <c r="DI53" i="19" s="1"/>
  <c r="FJ53" i="19" a="1"/>
  <c r="FJ53" i="19" s="1"/>
  <c r="FF53" i="19" a="1"/>
  <c r="FF53" i="19" s="1"/>
  <c r="FD53" i="19" a="1"/>
  <c r="FD53" i="19" s="1"/>
  <c r="EV53" i="19" a="1"/>
  <c r="EV53" i="19" s="1"/>
  <c r="EF53" i="19" a="1"/>
  <c r="EF53" i="19" s="1"/>
  <c r="DX53" i="19" a="1"/>
  <c r="DX53" i="19" s="1"/>
  <c r="FL53" i="19" a="1"/>
  <c r="FL53" i="19" s="1"/>
  <c r="FH53" i="19" a="1"/>
  <c r="FH53" i="19" s="1"/>
  <c r="FB53" i="19" a="1"/>
  <c r="FB53" i="19" s="1"/>
  <c r="EZ53" i="19" a="1"/>
  <c r="EZ53" i="19" s="1"/>
  <c r="ET53" i="19" a="1"/>
  <c r="ET53" i="19" s="1"/>
  <c r="ED53" i="19" a="1"/>
  <c r="ED53" i="19" s="1"/>
  <c r="DR53" i="19" a="1"/>
  <c r="DR53" i="19" s="1"/>
  <c r="AC53" i="19" a="1"/>
  <c r="AC53" i="19" s="1"/>
  <c r="AA53" i="19" a="1"/>
  <c r="AA53" i="19" s="1"/>
  <c r="Y53" i="19" a="1"/>
  <c r="Y53" i="19" s="1"/>
  <c r="W53" i="19" a="1"/>
  <c r="W53" i="19" s="1"/>
  <c r="U53" i="19" a="1"/>
  <c r="U53" i="19" s="1"/>
  <c r="S53" i="19" a="1"/>
  <c r="S53" i="19" s="1"/>
  <c r="Q53" i="19" a="1"/>
  <c r="Q53" i="19" s="1"/>
  <c r="O53" i="19" a="1"/>
  <c r="O53" i="19" s="1"/>
  <c r="M53" i="19" a="1"/>
  <c r="M53" i="19" s="1"/>
  <c r="K53" i="19" a="1"/>
  <c r="K53" i="19" s="1"/>
  <c r="I53" i="19" a="1"/>
  <c r="I53" i="19" s="1"/>
  <c r="G53" i="19" a="1"/>
  <c r="G53" i="19" s="1"/>
  <c r="E53" i="19" a="1"/>
  <c r="E53" i="19" s="1"/>
  <c r="AB53" i="19" a="1"/>
  <c r="AB53" i="19" s="1"/>
  <c r="Z53" i="19" a="1"/>
  <c r="Z53" i="19" s="1"/>
  <c r="X53" i="19" a="1"/>
  <c r="X53" i="19" s="1"/>
  <c r="V53" i="19" a="1"/>
  <c r="V53" i="19" s="1"/>
  <c r="T53" i="19" a="1"/>
  <c r="T53" i="19" s="1"/>
  <c r="R53" i="19" a="1"/>
  <c r="R53" i="19" s="1"/>
  <c r="P53" i="19" a="1"/>
  <c r="P53" i="19" s="1"/>
  <c r="L53" i="19" a="1"/>
  <c r="L53" i="19" s="1"/>
  <c r="J53" i="19" a="1"/>
  <c r="J53" i="19" s="1"/>
  <c r="H53" i="19" a="1"/>
  <c r="H53" i="19" s="1"/>
  <c r="D53" i="19" a="1"/>
  <c r="D53" i="19" s="1"/>
  <c r="HI52" i="19" a="1"/>
  <c r="HI52" i="19" s="1"/>
  <c r="FK52" i="19" a="1"/>
  <c r="FK52" i="19" s="1"/>
  <c r="FI52" i="19" a="1"/>
  <c r="FI52" i="19" s="1"/>
  <c r="FG52" i="19" a="1"/>
  <c r="FG52" i="19" s="1"/>
  <c r="FE52" i="19" a="1"/>
  <c r="FE52" i="19" s="1"/>
  <c r="FC52" i="19" a="1"/>
  <c r="FC52" i="19" s="1"/>
  <c r="FA52" i="19" a="1"/>
  <c r="FA52" i="19" s="1"/>
  <c r="EY52" i="19" a="1"/>
  <c r="EY52" i="19" s="1"/>
  <c r="EU52" i="19" a="1"/>
  <c r="EU52" i="19" s="1"/>
  <c r="EE52" i="19" a="1"/>
  <c r="EE52" i="19" s="1"/>
  <c r="EC52" i="19" a="1"/>
  <c r="EC52" i="19" s="1"/>
  <c r="DW52" i="19" a="1"/>
  <c r="DW52" i="19" s="1"/>
  <c r="DQ52" i="19" a="1"/>
  <c r="DQ52" i="19" s="1"/>
  <c r="DI52" i="19" a="1"/>
  <c r="DI52" i="19" s="1"/>
  <c r="HJ52" i="19" a="1"/>
  <c r="HJ52" i="19" s="1"/>
  <c r="FJ52" i="19" a="1"/>
  <c r="FJ52" i="19" s="1"/>
  <c r="FF52" i="19" a="1"/>
  <c r="FF52" i="19" s="1"/>
  <c r="FB52" i="19" a="1"/>
  <c r="FB52" i="19" s="1"/>
  <c r="EV52" i="19" a="1"/>
  <c r="EV52" i="19" s="1"/>
  <c r="ED52" i="19" a="1"/>
  <c r="ED52" i="19" s="1"/>
  <c r="DR52" i="19" a="1"/>
  <c r="DR52" i="19" s="1"/>
  <c r="FL52" i="19" a="1"/>
  <c r="FL52" i="19" s="1"/>
  <c r="FH52" i="19" a="1"/>
  <c r="FH52" i="19" s="1"/>
  <c r="FD52" i="19" a="1"/>
  <c r="FD52" i="19" s="1"/>
  <c r="EZ52" i="19" a="1"/>
  <c r="EZ52" i="19" s="1"/>
  <c r="ET52" i="19" a="1"/>
  <c r="ET52" i="19" s="1"/>
  <c r="EF52" i="19" a="1"/>
  <c r="EF52" i="19" s="1"/>
  <c r="DX52" i="19" a="1"/>
  <c r="DX52" i="19" s="1"/>
  <c r="AC52" i="19" a="1"/>
  <c r="AC52" i="19" s="1"/>
  <c r="AA52" i="19" a="1"/>
  <c r="AA52" i="19" s="1"/>
  <c r="Y52" i="19" a="1"/>
  <c r="Y52" i="19" s="1"/>
  <c r="W52" i="19" a="1"/>
  <c r="W52" i="19" s="1"/>
  <c r="U52" i="19" a="1"/>
  <c r="U52" i="19" s="1"/>
  <c r="S52" i="19" a="1"/>
  <c r="S52" i="19" s="1"/>
  <c r="Q52" i="19" a="1"/>
  <c r="Q52" i="19" s="1"/>
  <c r="O52" i="19" a="1"/>
  <c r="O52" i="19" s="1"/>
  <c r="M52" i="19" a="1"/>
  <c r="M52" i="19" s="1"/>
  <c r="K52" i="19" a="1"/>
  <c r="K52" i="19" s="1"/>
  <c r="I52" i="19" a="1"/>
  <c r="I52" i="19" s="1"/>
  <c r="G52" i="19" a="1"/>
  <c r="G52" i="19" s="1"/>
  <c r="E52" i="19" a="1"/>
  <c r="E52" i="19" s="1"/>
  <c r="Z52" i="19" a="1"/>
  <c r="Z52" i="19" s="1"/>
  <c r="X52" i="19" a="1"/>
  <c r="X52" i="19" s="1"/>
  <c r="T52" i="19" a="1"/>
  <c r="T52" i="19" s="1"/>
  <c r="P52" i="19" a="1"/>
  <c r="P52" i="19" s="1"/>
  <c r="L52" i="19" a="1"/>
  <c r="L52" i="19" s="1"/>
  <c r="H52" i="19" a="1"/>
  <c r="H52" i="19" s="1"/>
  <c r="AB52" i="19" a="1"/>
  <c r="AB52" i="19" s="1"/>
  <c r="V52" i="19" a="1"/>
  <c r="V52" i="19" s="1"/>
  <c r="R52" i="19" a="1"/>
  <c r="R52" i="19" s="1"/>
  <c r="J52" i="19" a="1"/>
  <c r="J52" i="19" s="1"/>
  <c r="D52" i="19" a="1"/>
  <c r="D52" i="19" s="1"/>
  <c r="HI51" i="19" a="1"/>
  <c r="HI51" i="19" s="1"/>
  <c r="FK51" i="19" a="1"/>
  <c r="FK51" i="19" s="1"/>
  <c r="FI51" i="19" a="1"/>
  <c r="FI51" i="19" s="1"/>
  <c r="FG51" i="19" a="1"/>
  <c r="FG51" i="19" s="1"/>
  <c r="FE51" i="19" a="1"/>
  <c r="FE51" i="19" s="1"/>
  <c r="FC51" i="19" a="1"/>
  <c r="FC51" i="19" s="1"/>
  <c r="FA51" i="19" a="1"/>
  <c r="FA51" i="19" s="1"/>
  <c r="EY51" i="19" a="1"/>
  <c r="EY51" i="19" s="1"/>
  <c r="EU51" i="19" a="1"/>
  <c r="EU51" i="19" s="1"/>
  <c r="EE51" i="19" a="1"/>
  <c r="EE51" i="19" s="1"/>
  <c r="EC51" i="19" a="1"/>
  <c r="EC51" i="19" s="1"/>
  <c r="DW51" i="19" a="1"/>
  <c r="DW51" i="19" s="1"/>
  <c r="DQ51" i="19" a="1"/>
  <c r="DQ51" i="19" s="1"/>
  <c r="DI51" i="19" a="1"/>
  <c r="DI51" i="19" s="1"/>
  <c r="HJ51" i="19" a="1"/>
  <c r="HJ51" i="19" s="1"/>
  <c r="FL51" i="19" a="1"/>
  <c r="FL51" i="19" s="1"/>
  <c r="FJ51" i="19" a="1"/>
  <c r="FJ51" i="19" s="1"/>
  <c r="FH51" i="19" a="1"/>
  <c r="FH51" i="19" s="1"/>
  <c r="FF51" i="19" a="1"/>
  <c r="FF51" i="19" s="1"/>
  <c r="FD51" i="19" a="1"/>
  <c r="FD51" i="19" s="1"/>
  <c r="FB51" i="19" a="1"/>
  <c r="FB51" i="19" s="1"/>
  <c r="EZ51" i="19" a="1"/>
  <c r="EZ51" i="19" s="1"/>
  <c r="EV51" i="19" a="1"/>
  <c r="EV51" i="19" s="1"/>
  <c r="ET51" i="19" a="1"/>
  <c r="ET51" i="19" s="1"/>
  <c r="EF51" i="19" a="1"/>
  <c r="EF51" i="19" s="1"/>
  <c r="ED51" i="19" a="1"/>
  <c r="ED51" i="19" s="1"/>
  <c r="DX51" i="19" a="1"/>
  <c r="DX51" i="19" s="1"/>
  <c r="DR51" i="19" a="1"/>
  <c r="DR51" i="19" s="1"/>
  <c r="AC51" i="19" a="1"/>
  <c r="AC51" i="19" s="1"/>
  <c r="AA51" i="19" a="1"/>
  <c r="AA51" i="19" s="1"/>
  <c r="Y51" i="19" a="1"/>
  <c r="Y51" i="19" s="1"/>
  <c r="W51" i="19" a="1"/>
  <c r="W51" i="19" s="1"/>
  <c r="U51" i="19" a="1"/>
  <c r="U51" i="19" s="1"/>
  <c r="S51" i="19" a="1"/>
  <c r="S51" i="19" s="1"/>
  <c r="Q51" i="19" a="1"/>
  <c r="Q51" i="19" s="1"/>
  <c r="O51" i="19" a="1"/>
  <c r="O51" i="19" s="1"/>
  <c r="M51" i="19" a="1"/>
  <c r="M51" i="19" s="1"/>
  <c r="K51" i="19" a="1"/>
  <c r="K51" i="19" s="1"/>
  <c r="I51" i="19" a="1"/>
  <c r="I51" i="19" s="1"/>
  <c r="G51" i="19" a="1"/>
  <c r="G51" i="19" s="1"/>
  <c r="E51" i="19" a="1"/>
  <c r="E51" i="19" s="1"/>
  <c r="X51" i="19" a="1"/>
  <c r="X51" i="19" s="1"/>
  <c r="T51" i="19" a="1"/>
  <c r="T51" i="19" s="1"/>
  <c r="P51" i="19" a="1"/>
  <c r="P51" i="19" s="1"/>
  <c r="L51" i="19" a="1"/>
  <c r="L51" i="19" s="1"/>
  <c r="H51" i="19" a="1"/>
  <c r="H51" i="19" s="1"/>
  <c r="AB51" i="19" a="1"/>
  <c r="AB51" i="19" s="1"/>
  <c r="Z51" i="19" a="1"/>
  <c r="Z51" i="19" s="1"/>
  <c r="V51" i="19" a="1"/>
  <c r="V51" i="19" s="1"/>
  <c r="R51" i="19" a="1"/>
  <c r="R51" i="19" s="1"/>
  <c r="J51" i="19" a="1"/>
  <c r="J51" i="19" s="1"/>
  <c r="D51" i="19" a="1"/>
  <c r="D51" i="19" s="1"/>
  <c r="HI50" i="19" a="1"/>
  <c r="HI50" i="19" s="1"/>
  <c r="FK50" i="19" a="1"/>
  <c r="FK50" i="19" s="1"/>
  <c r="FI50" i="19" a="1"/>
  <c r="FI50" i="19" s="1"/>
  <c r="FG50" i="19" a="1"/>
  <c r="FG50" i="19" s="1"/>
  <c r="FE50" i="19" a="1"/>
  <c r="FE50" i="19" s="1"/>
  <c r="FC50" i="19" a="1"/>
  <c r="FC50" i="19" s="1"/>
  <c r="FA50" i="19" a="1"/>
  <c r="FA50" i="19" s="1"/>
  <c r="EY50" i="19" a="1"/>
  <c r="EY50" i="19" s="1"/>
  <c r="EU50" i="19" a="1"/>
  <c r="EU50" i="19" s="1"/>
  <c r="EE50" i="19" a="1"/>
  <c r="EE50" i="19" s="1"/>
  <c r="EC50" i="19" a="1"/>
  <c r="EC50" i="19" s="1"/>
  <c r="DW50" i="19" a="1"/>
  <c r="DW50" i="19" s="1"/>
  <c r="DQ50" i="19" a="1"/>
  <c r="DQ50" i="19" s="1"/>
  <c r="DI50" i="19" a="1"/>
  <c r="DI50" i="19" s="1"/>
  <c r="EF50" i="19" a="1"/>
  <c r="EF50" i="19" s="1"/>
  <c r="DR50" i="19" a="1"/>
  <c r="DR50" i="19" s="1"/>
  <c r="HJ50" i="19" a="1"/>
  <c r="HJ50" i="19" s="1"/>
  <c r="FL50" i="19" a="1"/>
  <c r="FL50" i="19" s="1"/>
  <c r="FJ50" i="19" a="1"/>
  <c r="FJ50" i="19" s="1"/>
  <c r="FH50" i="19" a="1"/>
  <c r="FH50" i="19" s="1"/>
  <c r="FF50" i="19" a="1"/>
  <c r="FF50" i="19" s="1"/>
  <c r="FD50" i="19" a="1"/>
  <c r="FD50" i="19" s="1"/>
  <c r="FB50" i="19" a="1"/>
  <c r="FB50" i="19" s="1"/>
  <c r="EZ50" i="19" a="1"/>
  <c r="EZ50" i="19" s="1"/>
  <c r="EV50" i="19" a="1"/>
  <c r="EV50" i="19" s="1"/>
  <c r="ET50" i="19" a="1"/>
  <c r="ET50" i="19" s="1"/>
  <c r="ED50" i="19" a="1"/>
  <c r="ED50" i="19" s="1"/>
  <c r="DX50" i="19" a="1"/>
  <c r="DX50" i="19" s="1"/>
  <c r="AC50" i="19" a="1"/>
  <c r="AC50" i="19" s="1"/>
  <c r="AA50" i="19" a="1"/>
  <c r="AA50" i="19" s="1"/>
  <c r="Y50" i="19" a="1"/>
  <c r="Y50" i="19" s="1"/>
  <c r="W50" i="19" a="1"/>
  <c r="W50" i="19" s="1"/>
  <c r="U50" i="19" a="1"/>
  <c r="U50" i="19" s="1"/>
  <c r="S50" i="19" a="1"/>
  <c r="S50" i="19" s="1"/>
  <c r="Q50" i="19" a="1"/>
  <c r="Q50" i="19" s="1"/>
  <c r="O50" i="19" a="1"/>
  <c r="O50" i="19" s="1"/>
  <c r="M50" i="19" a="1"/>
  <c r="M50" i="19" s="1"/>
  <c r="K50" i="19" a="1"/>
  <c r="K50" i="19" s="1"/>
  <c r="I50" i="19" a="1"/>
  <c r="I50" i="19" s="1"/>
  <c r="G50" i="19" a="1"/>
  <c r="G50" i="19" s="1"/>
  <c r="E50" i="19" a="1"/>
  <c r="E50" i="19" s="1"/>
  <c r="AB50" i="19" a="1"/>
  <c r="AB50" i="19" s="1"/>
  <c r="Z50" i="19" a="1"/>
  <c r="Z50" i="19" s="1"/>
  <c r="V50" i="19" a="1"/>
  <c r="V50" i="19" s="1"/>
  <c r="R50" i="19" a="1"/>
  <c r="R50" i="19" s="1"/>
  <c r="L50" i="19" a="1"/>
  <c r="L50" i="19" s="1"/>
  <c r="H50" i="19" a="1"/>
  <c r="H50" i="19" s="1"/>
  <c r="X50" i="19" a="1"/>
  <c r="X50" i="19" s="1"/>
  <c r="T50" i="19" a="1"/>
  <c r="T50" i="19" s="1"/>
  <c r="P50" i="19" a="1"/>
  <c r="P50" i="19" s="1"/>
  <c r="J50" i="19" a="1"/>
  <c r="J50" i="19" s="1"/>
  <c r="D50" i="19" a="1"/>
  <c r="D50" i="19" s="1"/>
  <c r="HI49" i="19" a="1"/>
  <c r="HI49" i="19" s="1"/>
  <c r="FK49" i="19" a="1"/>
  <c r="FK49" i="19" s="1"/>
  <c r="FI49" i="19" a="1"/>
  <c r="FI49" i="19" s="1"/>
  <c r="FG49" i="19" a="1"/>
  <c r="FG49" i="19" s="1"/>
  <c r="FE49" i="19" a="1"/>
  <c r="FE49" i="19" s="1"/>
  <c r="FC49" i="19" a="1"/>
  <c r="FC49" i="19" s="1"/>
  <c r="FA49" i="19" a="1"/>
  <c r="FA49" i="19" s="1"/>
  <c r="EY49" i="19" a="1"/>
  <c r="EY49" i="19" s="1"/>
  <c r="EU49" i="19" a="1"/>
  <c r="EU49" i="19" s="1"/>
  <c r="EE49" i="19" a="1"/>
  <c r="EE49" i="19" s="1"/>
  <c r="EC49" i="19" a="1"/>
  <c r="EC49" i="19" s="1"/>
  <c r="DW49" i="19" a="1"/>
  <c r="DW49" i="19" s="1"/>
  <c r="DQ49" i="19" a="1"/>
  <c r="DQ49" i="19" s="1"/>
  <c r="DI49" i="19" a="1"/>
  <c r="DI49" i="19" s="1"/>
  <c r="HJ49" i="19" a="1"/>
  <c r="HJ49" i="19" s="1"/>
  <c r="FL49" i="19" a="1"/>
  <c r="FL49" i="19" s="1"/>
  <c r="FJ49" i="19" a="1"/>
  <c r="FJ49" i="19" s="1"/>
  <c r="FH49" i="19" a="1"/>
  <c r="FH49" i="19" s="1"/>
  <c r="FF49" i="19" a="1"/>
  <c r="FF49" i="19" s="1"/>
  <c r="FD49" i="19" a="1"/>
  <c r="FD49" i="19" s="1"/>
  <c r="FB49" i="19" a="1"/>
  <c r="FB49" i="19" s="1"/>
  <c r="EZ49" i="19" a="1"/>
  <c r="EZ49" i="19" s="1"/>
  <c r="EV49" i="19" a="1"/>
  <c r="EV49" i="19" s="1"/>
  <c r="ET49" i="19" a="1"/>
  <c r="ET49" i="19" s="1"/>
  <c r="EF49" i="19" a="1"/>
  <c r="EF49" i="19" s="1"/>
  <c r="ED49" i="19" a="1"/>
  <c r="ED49" i="19" s="1"/>
  <c r="DX49" i="19" a="1"/>
  <c r="DX49" i="19" s="1"/>
  <c r="DR49" i="19" a="1"/>
  <c r="DR49" i="19" s="1"/>
  <c r="AC49" i="19" a="1"/>
  <c r="AC49" i="19" s="1"/>
  <c r="AA49" i="19" a="1"/>
  <c r="AA49" i="19" s="1"/>
  <c r="Y49" i="19" a="1"/>
  <c r="Y49" i="19" s="1"/>
  <c r="W49" i="19" a="1"/>
  <c r="W49" i="19" s="1"/>
  <c r="U49" i="19" a="1"/>
  <c r="U49" i="19" s="1"/>
  <c r="S49" i="19" a="1"/>
  <c r="S49" i="19" s="1"/>
  <c r="Q49" i="19" a="1"/>
  <c r="Q49" i="19" s="1"/>
  <c r="O49" i="19" a="1"/>
  <c r="O49" i="19" s="1"/>
  <c r="M49" i="19" a="1"/>
  <c r="M49" i="19" s="1"/>
  <c r="K49" i="19" a="1"/>
  <c r="K49" i="19" s="1"/>
  <c r="I49" i="19" a="1"/>
  <c r="I49" i="19" s="1"/>
  <c r="G49" i="19" a="1"/>
  <c r="G49" i="19" s="1"/>
  <c r="E49" i="19" a="1"/>
  <c r="E49" i="19" s="1"/>
  <c r="AB49" i="19" a="1"/>
  <c r="AB49" i="19" s="1"/>
  <c r="Z49" i="19" a="1"/>
  <c r="Z49" i="19" s="1"/>
  <c r="X49" i="19" a="1"/>
  <c r="X49" i="19" s="1"/>
  <c r="V49" i="19" a="1"/>
  <c r="V49" i="19" s="1"/>
  <c r="T49" i="19" a="1"/>
  <c r="T49" i="19" s="1"/>
  <c r="R49" i="19" a="1"/>
  <c r="R49" i="19" s="1"/>
  <c r="P49" i="19" a="1"/>
  <c r="P49" i="19" s="1"/>
  <c r="L49" i="19" a="1"/>
  <c r="L49" i="19" s="1"/>
  <c r="J49" i="19" a="1"/>
  <c r="J49" i="19" s="1"/>
  <c r="H49" i="19" a="1"/>
  <c r="H49" i="19" s="1"/>
  <c r="D49" i="19" a="1"/>
  <c r="D49" i="19" s="1"/>
  <c r="HI48" i="19" a="1"/>
  <c r="HI48" i="19" s="1"/>
  <c r="FK48" i="19" a="1"/>
  <c r="FK48" i="19" s="1"/>
  <c r="FI48" i="19" a="1"/>
  <c r="FI48" i="19" s="1"/>
  <c r="FG48" i="19" a="1"/>
  <c r="FG48" i="19" s="1"/>
  <c r="FE48" i="19" a="1"/>
  <c r="FE48" i="19" s="1"/>
  <c r="FC48" i="19" a="1"/>
  <c r="FC48" i="19" s="1"/>
  <c r="FA48" i="19" a="1"/>
  <c r="FA48" i="19" s="1"/>
  <c r="EY48" i="19" a="1"/>
  <c r="EY48" i="19" s="1"/>
  <c r="EU48" i="19" a="1"/>
  <c r="EU48" i="19" s="1"/>
  <c r="EE48" i="19" a="1"/>
  <c r="EE48" i="19" s="1"/>
  <c r="EC48" i="19" a="1"/>
  <c r="EC48" i="19" s="1"/>
  <c r="DW48" i="19" a="1"/>
  <c r="DW48" i="19" s="1"/>
  <c r="DQ48" i="19" a="1"/>
  <c r="DQ48" i="19" s="1"/>
  <c r="DI48" i="19" a="1"/>
  <c r="DI48" i="19" s="1"/>
  <c r="HJ48" i="19" a="1"/>
  <c r="HJ48" i="19" s="1"/>
  <c r="FL48" i="19" a="1"/>
  <c r="FL48" i="19" s="1"/>
  <c r="FJ48" i="19" a="1"/>
  <c r="FJ48" i="19" s="1"/>
  <c r="FH48" i="19" a="1"/>
  <c r="FH48" i="19" s="1"/>
  <c r="FF48" i="19" a="1"/>
  <c r="FF48" i="19" s="1"/>
  <c r="FD48" i="19" a="1"/>
  <c r="FD48" i="19" s="1"/>
  <c r="FB48" i="19" a="1"/>
  <c r="FB48" i="19" s="1"/>
  <c r="EZ48" i="19" a="1"/>
  <c r="EZ48" i="19" s="1"/>
  <c r="EV48" i="19" a="1"/>
  <c r="EV48" i="19" s="1"/>
  <c r="ET48" i="19" a="1"/>
  <c r="ET48" i="19" s="1"/>
  <c r="EF48" i="19" a="1"/>
  <c r="EF48" i="19" s="1"/>
  <c r="ED48" i="19" a="1"/>
  <c r="ED48" i="19" s="1"/>
  <c r="DX48" i="19" a="1"/>
  <c r="DX48" i="19" s="1"/>
  <c r="DR48" i="19" a="1"/>
  <c r="DR48" i="19" s="1"/>
  <c r="AC48" i="19" a="1"/>
  <c r="AC48" i="19" s="1"/>
  <c r="AA48" i="19" a="1"/>
  <c r="AA48" i="19" s="1"/>
  <c r="Y48" i="19" a="1"/>
  <c r="Y48" i="19" s="1"/>
  <c r="W48" i="19" a="1"/>
  <c r="W48" i="19" s="1"/>
  <c r="U48" i="19" a="1"/>
  <c r="U48" i="19" s="1"/>
  <c r="S48" i="19" a="1"/>
  <c r="S48" i="19" s="1"/>
  <c r="Q48" i="19" a="1"/>
  <c r="Q48" i="19" s="1"/>
  <c r="O48" i="19" a="1"/>
  <c r="O48" i="19" s="1"/>
  <c r="M48" i="19" a="1"/>
  <c r="M48" i="19" s="1"/>
  <c r="K48" i="19" a="1"/>
  <c r="K48" i="19" s="1"/>
  <c r="I48" i="19" a="1"/>
  <c r="I48" i="19" s="1"/>
  <c r="G48" i="19" a="1"/>
  <c r="G48" i="19" s="1"/>
  <c r="E48" i="19" a="1"/>
  <c r="E48" i="19" s="1"/>
  <c r="AB48" i="19" a="1"/>
  <c r="AB48" i="19" s="1"/>
  <c r="X48" i="19" a="1"/>
  <c r="X48" i="19" s="1"/>
  <c r="V48" i="19" a="1"/>
  <c r="V48" i="19" s="1"/>
  <c r="T48" i="19" a="1"/>
  <c r="T48" i="19" s="1"/>
  <c r="R48" i="19" a="1"/>
  <c r="R48" i="19" s="1"/>
  <c r="P48" i="19" a="1"/>
  <c r="P48" i="19" s="1"/>
  <c r="L48" i="19" a="1"/>
  <c r="L48" i="19" s="1"/>
  <c r="J48" i="19" a="1"/>
  <c r="J48" i="19" s="1"/>
  <c r="H48" i="19" a="1"/>
  <c r="H48" i="19" s="1"/>
  <c r="D48" i="19" a="1"/>
  <c r="D48" i="19" s="1"/>
  <c r="Z48" i="19" a="1"/>
  <c r="Z48" i="19" s="1"/>
  <c r="HI47" i="19" a="1"/>
  <c r="HI47" i="19" s="1"/>
  <c r="FK47" i="19" a="1"/>
  <c r="FK47" i="19" s="1"/>
  <c r="FI47" i="19" a="1"/>
  <c r="FI47" i="19" s="1"/>
  <c r="FG47" i="19" a="1"/>
  <c r="FG47" i="19" s="1"/>
  <c r="FE47" i="19" a="1"/>
  <c r="FE47" i="19" s="1"/>
  <c r="FC47" i="19" a="1"/>
  <c r="FC47" i="19" s="1"/>
  <c r="FA47" i="19" a="1"/>
  <c r="FA47" i="19" s="1"/>
  <c r="EY47" i="19" a="1"/>
  <c r="EY47" i="19" s="1"/>
  <c r="EU47" i="19" a="1"/>
  <c r="EU47" i="19" s="1"/>
  <c r="EE47" i="19" a="1"/>
  <c r="EE47" i="19" s="1"/>
  <c r="EC47" i="19" a="1"/>
  <c r="EC47" i="19" s="1"/>
  <c r="DW47" i="19" a="1"/>
  <c r="DW47" i="19" s="1"/>
  <c r="DQ47" i="19" a="1"/>
  <c r="DQ47" i="19" s="1"/>
  <c r="DI47" i="19" a="1"/>
  <c r="DI47" i="19" s="1"/>
  <c r="HJ47" i="19" a="1"/>
  <c r="HJ47" i="19" s="1"/>
  <c r="FL47" i="19" a="1"/>
  <c r="FL47" i="19" s="1"/>
  <c r="FJ47" i="19" a="1"/>
  <c r="FJ47" i="19" s="1"/>
  <c r="FH47" i="19" a="1"/>
  <c r="FH47" i="19" s="1"/>
  <c r="FF47" i="19" a="1"/>
  <c r="FF47" i="19" s="1"/>
  <c r="FD47" i="19" a="1"/>
  <c r="FD47" i="19" s="1"/>
  <c r="FB47" i="19" a="1"/>
  <c r="FB47" i="19" s="1"/>
  <c r="EZ47" i="19" a="1"/>
  <c r="EZ47" i="19" s="1"/>
  <c r="EV47" i="19" a="1"/>
  <c r="EV47" i="19" s="1"/>
  <c r="ET47" i="19" a="1"/>
  <c r="ET47" i="19" s="1"/>
  <c r="EF47" i="19" a="1"/>
  <c r="EF47" i="19" s="1"/>
  <c r="ED47" i="19" a="1"/>
  <c r="ED47" i="19" s="1"/>
  <c r="DX47" i="19" a="1"/>
  <c r="DX47" i="19" s="1"/>
  <c r="DR47" i="19" a="1"/>
  <c r="DR47" i="19" s="1"/>
  <c r="AC47" i="19" a="1"/>
  <c r="AC47" i="19" s="1"/>
  <c r="AA47" i="19" a="1"/>
  <c r="AA47" i="19" s="1"/>
  <c r="Y47" i="19" a="1"/>
  <c r="Y47" i="19" s="1"/>
  <c r="W47" i="19" a="1"/>
  <c r="W47" i="19" s="1"/>
  <c r="U47" i="19" a="1"/>
  <c r="U47" i="19" s="1"/>
  <c r="S47" i="19" a="1"/>
  <c r="S47" i="19" s="1"/>
  <c r="Q47" i="19" a="1"/>
  <c r="Q47" i="19" s="1"/>
  <c r="O47" i="19" a="1"/>
  <c r="O47" i="19" s="1"/>
  <c r="M47" i="19" a="1"/>
  <c r="M47" i="19" s="1"/>
  <c r="K47" i="19" a="1"/>
  <c r="K47" i="19" s="1"/>
  <c r="I47" i="19" a="1"/>
  <c r="I47" i="19" s="1"/>
  <c r="G47" i="19" a="1"/>
  <c r="G47" i="19" s="1"/>
  <c r="E47" i="19" a="1"/>
  <c r="E47" i="19" s="1"/>
  <c r="AB47" i="19" a="1"/>
  <c r="AB47" i="19" s="1"/>
  <c r="Z47" i="19" a="1"/>
  <c r="Z47" i="19" s="1"/>
  <c r="X47" i="19" a="1"/>
  <c r="X47" i="19" s="1"/>
  <c r="V47" i="19" a="1"/>
  <c r="V47" i="19" s="1"/>
  <c r="T47" i="19" a="1"/>
  <c r="T47" i="19" s="1"/>
  <c r="R47" i="19" a="1"/>
  <c r="R47" i="19" s="1"/>
  <c r="P47" i="19" a="1"/>
  <c r="P47" i="19" s="1"/>
  <c r="L47" i="19" a="1"/>
  <c r="L47" i="19" s="1"/>
  <c r="J47" i="19" a="1"/>
  <c r="J47" i="19" s="1"/>
  <c r="H47" i="19" a="1"/>
  <c r="H47" i="19" s="1"/>
  <c r="D47" i="19" a="1"/>
  <c r="D47" i="19" s="1"/>
  <c r="HI46" i="19" a="1"/>
  <c r="HI46" i="19" s="1"/>
  <c r="FK46" i="19" a="1"/>
  <c r="FK46" i="19" s="1"/>
  <c r="FI46" i="19" a="1"/>
  <c r="FI46" i="19" s="1"/>
  <c r="FG46" i="19" a="1"/>
  <c r="FG46" i="19" s="1"/>
  <c r="FE46" i="19" a="1"/>
  <c r="FE46" i="19" s="1"/>
  <c r="FC46" i="19" a="1"/>
  <c r="FC46" i="19" s="1"/>
  <c r="FA46" i="19" a="1"/>
  <c r="FA46" i="19" s="1"/>
  <c r="EY46" i="19" a="1"/>
  <c r="EY46" i="19" s="1"/>
  <c r="EU46" i="19" a="1"/>
  <c r="EU46" i="19" s="1"/>
  <c r="EE46" i="19" a="1"/>
  <c r="EE46" i="19" s="1"/>
  <c r="EC46" i="19" a="1"/>
  <c r="EC46" i="19" s="1"/>
  <c r="DW46" i="19" a="1"/>
  <c r="DW46" i="19" s="1"/>
  <c r="DQ46" i="19" a="1"/>
  <c r="DQ46" i="19" s="1"/>
  <c r="DI46" i="19" a="1"/>
  <c r="DI46" i="19" s="1"/>
  <c r="ED46" i="19" a="1"/>
  <c r="ED46" i="19" s="1"/>
  <c r="DX46" i="19" a="1"/>
  <c r="DX46" i="19" s="1"/>
  <c r="HJ46" i="19" a="1"/>
  <c r="HJ46" i="19" s="1"/>
  <c r="FL46" i="19" a="1"/>
  <c r="FL46" i="19" s="1"/>
  <c r="FJ46" i="19" a="1"/>
  <c r="FJ46" i="19" s="1"/>
  <c r="FH46" i="19" a="1"/>
  <c r="FH46" i="19" s="1"/>
  <c r="FF46" i="19" a="1"/>
  <c r="FF46" i="19" s="1"/>
  <c r="FD46" i="19" a="1"/>
  <c r="FD46" i="19" s="1"/>
  <c r="FB46" i="19" a="1"/>
  <c r="FB46" i="19" s="1"/>
  <c r="EZ46" i="19" a="1"/>
  <c r="EZ46" i="19" s="1"/>
  <c r="EV46" i="19" a="1"/>
  <c r="EV46" i="19" s="1"/>
  <c r="ET46" i="19" a="1"/>
  <c r="ET46" i="19" s="1"/>
  <c r="EF46" i="19" a="1"/>
  <c r="EF46" i="19" s="1"/>
  <c r="DR46" i="19" a="1"/>
  <c r="DR46" i="19" s="1"/>
  <c r="AC46" i="19" a="1"/>
  <c r="AC46" i="19" s="1"/>
  <c r="AA46" i="19" a="1"/>
  <c r="AA46" i="19" s="1"/>
  <c r="AB46" i="19" a="1"/>
  <c r="AB46" i="19" s="1"/>
  <c r="Z46" i="19" a="1"/>
  <c r="Z46" i="19" s="1"/>
  <c r="X46" i="19" a="1"/>
  <c r="X46" i="19" s="1"/>
  <c r="V46" i="19" a="1"/>
  <c r="V46" i="19" s="1"/>
  <c r="T46" i="19" a="1"/>
  <c r="T46" i="19" s="1"/>
  <c r="R46" i="19" a="1"/>
  <c r="R46" i="19" s="1"/>
  <c r="P46" i="19" a="1"/>
  <c r="P46" i="19" s="1"/>
  <c r="L46" i="19" a="1"/>
  <c r="L46" i="19" s="1"/>
  <c r="J46" i="19" a="1"/>
  <c r="J46" i="19" s="1"/>
  <c r="H46" i="19" a="1"/>
  <c r="H46" i="19" s="1"/>
  <c r="D46" i="19" a="1"/>
  <c r="D46" i="19" s="1"/>
  <c r="Y46" i="19" a="1"/>
  <c r="Y46" i="19" s="1"/>
  <c r="W46" i="19" a="1"/>
  <c r="W46" i="19" s="1"/>
  <c r="U46" i="19" a="1"/>
  <c r="U46" i="19" s="1"/>
  <c r="S46" i="19" a="1"/>
  <c r="S46" i="19" s="1"/>
  <c r="Q46" i="19" a="1"/>
  <c r="Q46" i="19" s="1"/>
  <c r="O46" i="19" a="1"/>
  <c r="O46" i="19" s="1"/>
  <c r="M46" i="19" a="1"/>
  <c r="M46" i="19" s="1"/>
  <c r="K46" i="19" a="1"/>
  <c r="K46" i="19" s="1"/>
  <c r="I46" i="19" a="1"/>
  <c r="I46" i="19" s="1"/>
  <c r="G46" i="19" a="1"/>
  <c r="G46" i="19" s="1"/>
  <c r="E46" i="19" a="1"/>
  <c r="E46" i="19" s="1"/>
  <c r="HI45" i="19" a="1"/>
  <c r="HI45" i="19" s="1"/>
  <c r="FK45" i="19" a="1"/>
  <c r="FK45" i="19" s="1"/>
  <c r="FI45" i="19" a="1"/>
  <c r="FI45" i="19" s="1"/>
  <c r="FG45" i="19" a="1"/>
  <c r="FG45" i="19" s="1"/>
  <c r="FE45" i="19" a="1"/>
  <c r="FE45" i="19" s="1"/>
  <c r="FC45" i="19" a="1"/>
  <c r="FC45" i="19" s="1"/>
  <c r="FA45" i="19" a="1"/>
  <c r="FA45" i="19" s="1"/>
  <c r="EY45" i="19" a="1"/>
  <c r="EY45" i="19" s="1"/>
  <c r="EU45" i="19" a="1"/>
  <c r="EU45" i="19" s="1"/>
  <c r="EE45" i="19" a="1"/>
  <c r="EE45" i="19" s="1"/>
  <c r="EC45" i="19" a="1"/>
  <c r="EC45" i="19" s="1"/>
  <c r="DW45" i="19" a="1"/>
  <c r="DW45" i="19" s="1"/>
  <c r="DQ45" i="19" a="1"/>
  <c r="DQ45" i="19" s="1"/>
  <c r="DI45" i="19" a="1"/>
  <c r="DI45" i="19" s="1"/>
  <c r="HJ45" i="19" a="1"/>
  <c r="HJ45" i="19" s="1"/>
  <c r="FL45" i="19" a="1"/>
  <c r="FL45" i="19" s="1"/>
  <c r="FJ45" i="19" a="1"/>
  <c r="FJ45" i="19" s="1"/>
  <c r="FH45" i="19" a="1"/>
  <c r="FH45" i="19" s="1"/>
  <c r="FF45" i="19" a="1"/>
  <c r="FF45" i="19" s="1"/>
  <c r="FD45" i="19" a="1"/>
  <c r="FD45" i="19" s="1"/>
  <c r="FB45" i="19" a="1"/>
  <c r="FB45" i="19" s="1"/>
  <c r="EZ45" i="19" a="1"/>
  <c r="EZ45" i="19" s="1"/>
  <c r="EV45" i="19" a="1"/>
  <c r="EV45" i="19" s="1"/>
  <c r="ET45" i="19" a="1"/>
  <c r="ET45" i="19" s="1"/>
  <c r="EF45" i="19" a="1"/>
  <c r="EF45" i="19" s="1"/>
  <c r="ED45" i="19" a="1"/>
  <c r="ED45" i="19" s="1"/>
  <c r="DX45" i="19" a="1"/>
  <c r="DX45" i="19" s="1"/>
  <c r="DR45" i="19" a="1"/>
  <c r="DR45" i="19" s="1"/>
  <c r="AC45" i="19" a="1"/>
  <c r="AC45" i="19" s="1"/>
  <c r="AA45" i="19" a="1"/>
  <c r="AA45" i="19" s="1"/>
  <c r="Y45" i="19" a="1"/>
  <c r="Y45" i="19" s="1"/>
  <c r="W45" i="19" a="1"/>
  <c r="W45" i="19" s="1"/>
  <c r="U45" i="19" a="1"/>
  <c r="U45" i="19" s="1"/>
  <c r="S45" i="19" a="1"/>
  <c r="S45" i="19" s="1"/>
  <c r="Q45" i="19" a="1"/>
  <c r="Q45" i="19" s="1"/>
  <c r="O45" i="19" a="1"/>
  <c r="O45" i="19" s="1"/>
  <c r="M45" i="19" a="1"/>
  <c r="M45" i="19" s="1"/>
  <c r="K45" i="19" a="1"/>
  <c r="K45" i="19" s="1"/>
  <c r="I45" i="19" a="1"/>
  <c r="I45" i="19" s="1"/>
  <c r="G45" i="19" a="1"/>
  <c r="G45" i="19" s="1"/>
  <c r="E45" i="19" a="1"/>
  <c r="E45" i="19" s="1"/>
  <c r="AB45" i="19" a="1"/>
  <c r="AB45" i="19" s="1"/>
  <c r="Z45" i="19" a="1"/>
  <c r="Z45" i="19" s="1"/>
  <c r="X45" i="19" a="1"/>
  <c r="X45" i="19" s="1"/>
  <c r="V45" i="19" a="1"/>
  <c r="V45" i="19" s="1"/>
  <c r="T45" i="19" a="1"/>
  <c r="T45" i="19" s="1"/>
  <c r="R45" i="19" a="1"/>
  <c r="R45" i="19" s="1"/>
  <c r="P45" i="19" a="1"/>
  <c r="P45" i="19" s="1"/>
  <c r="L45" i="19" a="1"/>
  <c r="L45" i="19" s="1"/>
  <c r="J45" i="19" a="1"/>
  <c r="J45" i="19" s="1"/>
  <c r="H45" i="19" a="1"/>
  <c r="H45" i="19" s="1"/>
  <c r="D45" i="19" a="1"/>
  <c r="D45" i="19" s="1"/>
  <c r="HI44" i="19" a="1"/>
  <c r="HI44" i="19" s="1"/>
  <c r="FK44" i="19" a="1"/>
  <c r="FK44" i="19" s="1"/>
  <c r="FI44" i="19" a="1"/>
  <c r="FI44" i="19" s="1"/>
  <c r="FG44" i="19" a="1"/>
  <c r="FG44" i="19" s="1"/>
  <c r="FE44" i="19" a="1"/>
  <c r="FE44" i="19" s="1"/>
  <c r="FC44" i="19" a="1"/>
  <c r="FC44" i="19" s="1"/>
  <c r="FA44" i="19" a="1"/>
  <c r="FA44" i="19" s="1"/>
  <c r="EY44" i="19" a="1"/>
  <c r="EY44" i="19" s="1"/>
  <c r="EU44" i="19" a="1"/>
  <c r="EU44" i="19" s="1"/>
  <c r="EE44" i="19" a="1"/>
  <c r="EE44" i="19" s="1"/>
  <c r="EC44" i="19" a="1"/>
  <c r="EC44" i="19" s="1"/>
  <c r="DW44" i="19" a="1"/>
  <c r="DW44" i="19" s="1"/>
  <c r="DQ44" i="19" a="1"/>
  <c r="DQ44" i="19" s="1"/>
  <c r="DI44" i="19" a="1"/>
  <c r="DI44" i="19" s="1"/>
  <c r="HJ44" i="19" a="1"/>
  <c r="HJ44" i="19" s="1"/>
  <c r="FL44" i="19" a="1"/>
  <c r="FL44" i="19" s="1"/>
  <c r="FJ44" i="19" a="1"/>
  <c r="FJ44" i="19" s="1"/>
  <c r="FH44" i="19" a="1"/>
  <c r="FH44" i="19" s="1"/>
  <c r="FF44" i="19" a="1"/>
  <c r="FF44" i="19" s="1"/>
  <c r="FD44" i="19" a="1"/>
  <c r="FD44" i="19" s="1"/>
  <c r="FB44" i="19" a="1"/>
  <c r="FB44" i="19" s="1"/>
  <c r="EZ44" i="19" a="1"/>
  <c r="EZ44" i="19" s="1"/>
  <c r="EV44" i="19" a="1"/>
  <c r="EV44" i="19" s="1"/>
  <c r="ET44" i="19" a="1"/>
  <c r="ET44" i="19" s="1"/>
  <c r="EF44" i="19" a="1"/>
  <c r="EF44" i="19" s="1"/>
  <c r="ED44" i="19" a="1"/>
  <c r="ED44" i="19" s="1"/>
  <c r="DX44" i="19" a="1"/>
  <c r="DX44" i="19" s="1"/>
  <c r="DR44" i="19" a="1"/>
  <c r="DR44" i="19" s="1"/>
  <c r="AC44" i="19" a="1"/>
  <c r="AC44" i="19" s="1"/>
  <c r="AA44" i="19" a="1"/>
  <c r="AA44" i="19" s="1"/>
  <c r="Y44" i="19" a="1"/>
  <c r="Y44" i="19" s="1"/>
  <c r="W44" i="19" a="1"/>
  <c r="W44" i="19" s="1"/>
  <c r="U44" i="19" a="1"/>
  <c r="U44" i="19" s="1"/>
  <c r="S44" i="19" a="1"/>
  <c r="S44" i="19" s="1"/>
  <c r="Q44" i="19" a="1"/>
  <c r="Q44" i="19" s="1"/>
  <c r="O44" i="19" a="1"/>
  <c r="O44" i="19" s="1"/>
  <c r="M44" i="19" a="1"/>
  <c r="M44" i="19" s="1"/>
  <c r="K44" i="19" a="1"/>
  <c r="K44" i="19" s="1"/>
  <c r="I44" i="19" a="1"/>
  <c r="I44" i="19" s="1"/>
  <c r="G44" i="19" a="1"/>
  <c r="G44" i="19" s="1"/>
  <c r="E44" i="19" a="1"/>
  <c r="E44" i="19" s="1"/>
  <c r="AB44" i="19" a="1"/>
  <c r="AB44" i="19" s="1"/>
  <c r="Z44" i="19" a="1"/>
  <c r="Z44" i="19" s="1"/>
  <c r="X44" i="19" a="1"/>
  <c r="X44" i="19" s="1"/>
  <c r="V44" i="19" a="1"/>
  <c r="V44" i="19" s="1"/>
  <c r="T44" i="19" a="1"/>
  <c r="T44" i="19" s="1"/>
  <c r="R44" i="19" a="1"/>
  <c r="R44" i="19" s="1"/>
  <c r="P44" i="19" a="1"/>
  <c r="P44" i="19" s="1"/>
  <c r="L44" i="19" a="1"/>
  <c r="L44" i="19" s="1"/>
  <c r="J44" i="19" a="1"/>
  <c r="J44" i="19" s="1"/>
  <c r="H44" i="19" a="1"/>
  <c r="H44" i="19" s="1"/>
  <c r="D44" i="19" a="1"/>
  <c r="D44" i="19" s="1"/>
  <c r="HI43" i="19" a="1"/>
  <c r="HI43" i="19" s="1"/>
  <c r="FK43" i="19" a="1"/>
  <c r="FK43" i="19" s="1"/>
  <c r="FI43" i="19" a="1"/>
  <c r="FI43" i="19" s="1"/>
  <c r="FG43" i="19" a="1"/>
  <c r="FG43" i="19" s="1"/>
  <c r="FE43" i="19" a="1"/>
  <c r="FE43" i="19" s="1"/>
  <c r="FC43" i="19" a="1"/>
  <c r="FC43" i="19" s="1"/>
  <c r="FA43" i="19" a="1"/>
  <c r="FA43" i="19" s="1"/>
  <c r="EY43" i="19" a="1"/>
  <c r="EY43" i="19" s="1"/>
  <c r="EU43" i="19" a="1"/>
  <c r="EU43" i="19" s="1"/>
  <c r="EE43" i="19" a="1"/>
  <c r="EE43" i="19" s="1"/>
  <c r="EC43" i="19" a="1"/>
  <c r="EC43" i="19" s="1"/>
  <c r="DW43" i="19" a="1"/>
  <c r="DW43" i="19" s="1"/>
  <c r="DQ43" i="19" a="1"/>
  <c r="DQ43" i="19" s="1"/>
  <c r="DI43" i="19" a="1"/>
  <c r="DI43" i="19" s="1"/>
  <c r="HJ43" i="19" a="1"/>
  <c r="HJ43" i="19" s="1"/>
  <c r="FL43" i="19" a="1"/>
  <c r="FL43" i="19" s="1"/>
  <c r="FJ43" i="19" a="1"/>
  <c r="FJ43" i="19" s="1"/>
  <c r="FH43" i="19" a="1"/>
  <c r="FH43" i="19" s="1"/>
  <c r="FF43" i="19" a="1"/>
  <c r="FF43" i="19" s="1"/>
  <c r="FD43" i="19" a="1"/>
  <c r="FD43" i="19" s="1"/>
  <c r="FB43" i="19" a="1"/>
  <c r="FB43" i="19" s="1"/>
  <c r="EZ43" i="19" a="1"/>
  <c r="EZ43" i="19" s="1"/>
  <c r="EV43" i="19" a="1"/>
  <c r="EV43" i="19" s="1"/>
  <c r="ET43" i="19" a="1"/>
  <c r="ET43" i="19" s="1"/>
  <c r="EF43" i="19" a="1"/>
  <c r="EF43" i="19" s="1"/>
  <c r="ED43" i="19" a="1"/>
  <c r="ED43" i="19" s="1"/>
  <c r="DX43" i="19" a="1"/>
  <c r="DX43" i="19" s="1"/>
  <c r="DR43" i="19" a="1"/>
  <c r="DR43" i="19" s="1"/>
  <c r="AC43" i="19" a="1"/>
  <c r="AC43" i="19" s="1"/>
  <c r="AA43" i="19" a="1"/>
  <c r="AA43" i="19" s="1"/>
  <c r="Y43" i="19" a="1"/>
  <c r="Y43" i="19" s="1"/>
  <c r="W43" i="19" a="1"/>
  <c r="W43" i="19" s="1"/>
  <c r="U43" i="19" a="1"/>
  <c r="U43" i="19" s="1"/>
  <c r="S43" i="19" a="1"/>
  <c r="S43" i="19" s="1"/>
  <c r="Q43" i="19" a="1"/>
  <c r="Q43" i="19" s="1"/>
  <c r="O43" i="19" a="1"/>
  <c r="O43" i="19" s="1"/>
  <c r="M43" i="19" a="1"/>
  <c r="M43" i="19" s="1"/>
  <c r="K43" i="19" a="1"/>
  <c r="K43" i="19" s="1"/>
  <c r="I43" i="19" a="1"/>
  <c r="I43" i="19" s="1"/>
  <c r="G43" i="19" a="1"/>
  <c r="G43" i="19" s="1"/>
  <c r="E43" i="19" a="1"/>
  <c r="E43" i="19" s="1"/>
  <c r="AB43" i="19" a="1"/>
  <c r="AB43" i="19" s="1"/>
  <c r="Z43" i="19" a="1"/>
  <c r="Z43" i="19" s="1"/>
  <c r="X43" i="19" a="1"/>
  <c r="X43" i="19" s="1"/>
  <c r="V43" i="19" a="1"/>
  <c r="V43" i="19" s="1"/>
  <c r="T43" i="19" a="1"/>
  <c r="T43" i="19" s="1"/>
  <c r="R43" i="19" a="1"/>
  <c r="R43" i="19" s="1"/>
  <c r="P43" i="19" a="1"/>
  <c r="P43" i="19" s="1"/>
  <c r="L43" i="19" a="1"/>
  <c r="L43" i="19" s="1"/>
  <c r="J43" i="19" a="1"/>
  <c r="J43" i="19" s="1"/>
  <c r="H43" i="19" a="1"/>
  <c r="H43" i="19" s="1"/>
  <c r="D43" i="19" a="1"/>
  <c r="D43" i="19" s="1"/>
  <c r="HI42" i="19" a="1"/>
  <c r="HI42" i="19" s="1"/>
  <c r="FK42" i="19" a="1"/>
  <c r="FK42" i="19" s="1"/>
  <c r="FI42" i="19" a="1"/>
  <c r="FI42" i="19" s="1"/>
  <c r="FG42" i="19" a="1"/>
  <c r="FG42" i="19" s="1"/>
  <c r="FE42" i="19" a="1"/>
  <c r="FE42" i="19" s="1"/>
  <c r="FC42" i="19" a="1"/>
  <c r="FC42" i="19" s="1"/>
  <c r="FA42" i="19" a="1"/>
  <c r="FA42" i="19" s="1"/>
  <c r="EY42" i="19" a="1"/>
  <c r="EY42" i="19" s="1"/>
  <c r="EU42" i="19" a="1"/>
  <c r="EU42" i="19" s="1"/>
  <c r="EE42" i="19" a="1"/>
  <c r="EE42" i="19" s="1"/>
  <c r="EC42" i="19" a="1"/>
  <c r="EC42" i="19" s="1"/>
  <c r="DW42" i="19" a="1"/>
  <c r="DW42" i="19" s="1"/>
  <c r="DQ42" i="19" a="1"/>
  <c r="DQ42" i="19" s="1"/>
  <c r="DI42" i="19" a="1"/>
  <c r="DI42" i="19" s="1"/>
  <c r="HJ42" i="19" a="1"/>
  <c r="HJ42" i="19" s="1"/>
  <c r="FL42" i="19" a="1"/>
  <c r="FL42" i="19" s="1"/>
  <c r="FJ42" i="19" a="1"/>
  <c r="FJ42" i="19" s="1"/>
  <c r="FH42" i="19" a="1"/>
  <c r="FH42" i="19" s="1"/>
  <c r="FF42" i="19" a="1"/>
  <c r="FF42" i="19" s="1"/>
  <c r="FD42" i="19" a="1"/>
  <c r="FD42" i="19" s="1"/>
  <c r="FB42" i="19" a="1"/>
  <c r="FB42" i="19" s="1"/>
  <c r="EZ42" i="19" a="1"/>
  <c r="EZ42" i="19" s="1"/>
  <c r="EV42" i="19" a="1"/>
  <c r="EV42" i="19" s="1"/>
  <c r="ET42" i="19" a="1"/>
  <c r="ET42" i="19" s="1"/>
  <c r="EF42" i="19" a="1"/>
  <c r="EF42" i="19" s="1"/>
  <c r="ED42" i="19" a="1"/>
  <c r="ED42" i="19" s="1"/>
  <c r="DX42" i="19" a="1"/>
  <c r="DX42" i="19" s="1"/>
  <c r="DR42" i="19" a="1"/>
  <c r="DR42" i="19" s="1"/>
  <c r="AC42" i="19" a="1"/>
  <c r="AC42" i="19" s="1"/>
  <c r="AA42" i="19" a="1"/>
  <c r="AA42" i="19" s="1"/>
  <c r="Y42" i="19" a="1"/>
  <c r="Y42" i="19" s="1"/>
  <c r="W42" i="19" a="1"/>
  <c r="W42" i="19" s="1"/>
  <c r="U42" i="19" a="1"/>
  <c r="U42" i="19" s="1"/>
  <c r="S42" i="19" a="1"/>
  <c r="S42" i="19" s="1"/>
  <c r="Q42" i="19" a="1"/>
  <c r="Q42" i="19" s="1"/>
  <c r="O42" i="19" a="1"/>
  <c r="O42" i="19" s="1"/>
  <c r="M42" i="19" a="1"/>
  <c r="M42" i="19" s="1"/>
  <c r="K42" i="19" a="1"/>
  <c r="K42" i="19" s="1"/>
  <c r="I42" i="19" a="1"/>
  <c r="I42" i="19" s="1"/>
  <c r="G42" i="19" a="1"/>
  <c r="G42" i="19" s="1"/>
  <c r="E42" i="19" a="1"/>
  <c r="E42" i="19" s="1"/>
  <c r="AB42" i="19" a="1"/>
  <c r="AB42" i="19" s="1"/>
  <c r="Z42" i="19" a="1"/>
  <c r="Z42" i="19" s="1"/>
  <c r="X42" i="19" a="1"/>
  <c r="X42" i="19" s="1"/>
  <c r="V42" i="19" a="1"/>
  <c r="V42" i="19" s="1"/>
  <c r="T42" i="19" a="1"/>
  <c r="T42" i="19" s="1"/>
  <c r="R42" i="19" a="1"/>
  <c r="R42" i="19" s="1"/>
  <c r="P42" i="19" a="1"/>
  <c r="P42" i="19" s="1"/>
  <c r="L42" i="19" a="1"/>
  <c r="L42" i="19" s="1"/>
  <c r="J42" i="19" a="1"/>
  <c r="J42" i="19" s="1"/>
  <c r="H42" i="19" a="1"/>
  <c r="H42" i="19" s="1"/>
  <c r="D42" i="19" a="1"/>
  <c r="D42" i="19" s="1"/>
  <c r="HI41" i="19" a="1"/>
  <c r="HI41" i="19" s="1"/>
  <c r="FK41" i="19" a="1"/>
  <c r="FK41" i="19" s="1"/>
  <c r="FI41" i="19" a="1"/>
  <c r="FI41" i="19" s="1"/>
  <c r="FG41" i="19" a="1"/>
  <c r="FG41" i="19" s="1"/>
  <c r="FE41" i="19" a="1"/>
  <c r="FE41" i="19" s="1"/>
  <c r="FC41" i="19" a="1"/>
  <c r="FC41" i="19" s="1"/>
  <c r="FA41" i="19" a="1"/>
  <c r="FA41" i="19" s="1"/>
  <c r="EY41" i="19" a="1"/>
  <c r="EY41" i="19" s="1"/>
  <c r="EU41" i="19" a="1"/>
  <c r="EU41" i="19" s="1"/>
  <c r="EE41" i="19" a="1"/>
  <c r="EE41" i="19" s="1"/>
  <c r="EC41" i="19" a="1"/>
  <c r="EC41" i="19" s="1"/>
  <c r="DW41" i="19" a="1"/>
  <c r="DW41" i="19" s="1"/>
  <c r="DQ41" i="19" a="1"/>
  <c r="DQ41" i="19" s="1"/>
  <c r="DI41" i="19" a="1"/>
  <c r="DI41" i="19" s="1"/>
  <c r="HJ41" i="19" a="1"/>
  <c r="HJ41" i="19" s="1"/>
  <c r="FL41" i="19" a="1"/>
  <c r="FL41" i="19" s="1"/>
  <c r="FJ41" i="19" a="1"/>
  <c r="FJ41" i="19" s="1"/>
  <c r="FH41" i="19" a="1"/>
  <c r="FH41" i="19" s="1"/>
  <c r="FF41" i="19" a="1"/>
  <c r="FF41" i="19" s="1"/>
  <c r="FD41" i="19" a="1"/>
  <c r="FD41" i="19" s="1"/>
  <c r="FB41" i="19" a="1"/>
  <c r="FB41" i="19" s="1"/>
  <c r="EZ41" i="19" a="1"/>
  <c r="EZ41" i="19" s="1"/>
  <c r="EV41" i="19" a="1"/>
  <c r="EV41" i="19" s="1"/>
  <c r="ET41" i="19" a="1"/>
  <c r="ET41" i="19" s="1"/>
  <c r="EF41" i="19" a="1"/>
  <c r="EF41" i="19" s="1"/>
  <c r="ED41" i="19" a="1"/>
  <c r="ED41" i="19" s="1"/>
  <c r="DX41" i="19" a="1"/>
  <c r="DX41" i="19" s="1"/>
  <c r="DR41" i="19" a="1"/>
  <c r="DR41" i="19" s="1"/>
  <c r="AC41" i="19" a="1"/>
  <c r="AC41" i="19" s="1"/>
  <c r="AA41" i="19" a="1"/>
  <c r="AA41" i="19" s="1"/>
  <c r="Y41" i="19" a="1"/>
  <c r="Y41" i="19" s="1"/>
  <c r="W41" i="19" a="1"/>
  <c r="W41" i="19" s="1"/>
  <c r="U41" i="19" a="1"/>
  <c r="U41" i="19" s="1"/>
  <c r="S41" i="19" a="1"/>
  <c r="S41" i="19" s="1"/>
  <c r="Q41" i="19" a="1"/>
  <c r="Q41" i="19" s="1"/>
  <c r="O41" i="19" a="1"/>
  <c r="O41" i="19" s="1"/>
  <c r="M41" i="19" a="1"/>
  <c r="M41" i="19" s="1"/>
  <c r="K41" i="19" a="1"/>
  <c r="K41" i="19" s="1"/>
  <c r="I41" i="19" a="1"/>
  <c r="I41" i="19" s="1"/>
  <c r="G41" i="19" a="1"/>
  <c r="G41" i="19" s="1"/>
  <c r="E41" i="19" a="1"/>
  <c r="E41" i="19" s="1"/>
  <c r="AB41" i="19" a="1"/>
  <c r="AB41" i="19" s="1"/>
  <c r="Z41" i="19" a="1"/>
  <c r="Z41" i="19" s="1"/>
  <c r="X41" i="19" a="1"/>
  <c r="X41" i="19" s="1"/>
  <c r="V41" i="19" a="1"/>
  <c r="V41" i="19" s="1"/>
  <c r="T41" i="19" a="1"/>
  <c r="T41" i="19" s="1"/>
  <c r="R41" i="19" a="1"/>
  <c r="R41" i="19" s="1"/>
  <c r="P41" i="19" a="1"/>
  <c r="P41" i="19" s="1"/>
  <c r="L41" i="19" a="1"/>
  <c r="L41" i="19" s="1"/>
  <c r="J41" i="19" a="1"/>
  <c r="J41" i="19" s="1"/>
  <c r="H41" i="19" a="1"/>
  <c r="H41" i="19" s="1"/>
  <c r="D41" i="19" a="1"/>
  <c r="D41" i="19" s="1"/>
  <c r="HI40" i="19" a="1"/>
  <c r="HI40" i="19" s="1"/>
  <c r="FK40" i="19" a="1"/>
  <c r="FK40" i="19" s="1"/>
  <c r="FI40" i="19" a="1"/>
  <c r="FI40" i="19" s="1"/>
  <c r="FG40" i="19" a="1"/>
  <c r="FG40" i="19" s="1"/>
  <c r="FE40" i="19" a="1"/>
  <c r="FE40" i="19" s="1"/>
  <c r="FC40" i="19" a="1"/>
  <c r="FC40" i="19" s="1"/>
  <c r="FA40" i="19" a="1"/>
  <c r="FA40" i="19" s="1"/>
  <c r="EY40" i="19" a="1"/>
  <c r="EY40" i="19" s="1"/>
  <c r="EU40" i="19" a="1"/>
  <c r="EU40" i="19" s="1"/>
  <c r="EE40" i="19" a="1"/>
  <c r="EE40" i="19" s="1"/>
  <c r="EC40" i="19" a="1"/>
  <c r="EC40" i="19" s="1"/>
  <c r="DW40" i="19" a="1"/>
  <c r="DW40" i="19" s="1"/>
  <c r="DQ40" i="19" a="1"/>
  <c r="DQ40" i="19" s="1"/>
  <c r="DI40" i="19" a="1"/>
  <c r="DI40" i="19" s="1"/>
  <c r="HJ40" i="19" a="1"/>
  <c r="HJ40" i="19" s="1"/>
  <c r="FL40" i="19" a="1"/>
  <c r="FL40" i="19" s="1"/>
  <c r="FJ40" i="19" a="1"/>
  <c r="FJ40" i="19" s="1"/>
  <c r="FH40" i="19" a="1"/>
  <c r="FH40" i="19" s="1"/>
  <c r="FF40" i="19" a="1"/>
  <c r="FF40" i="19" s="1"/>
  <c r="FD40" i="19" a="1"/>
  <c r="FD40" i="19" s="1"/>
  <c r="FB40" i="19" a="1"/>
  <c r="FB40" i="19" s="1"/>
  <c r="EZ40" i="19" a="1"/>
  <c r="EZ40" i="19" s="1"/>
  <c r="EV40" i="19" a="1"/>
  <c r="EV40" i="19" s="1"/>
  <c r="ET40" i="19" a="1"/>
  <c r="ET40" i="19" s="1"/>
  <c r="EF40" i="19" a="1"/>
  <c r="EF40" i="19" s="1"/>
  <c r="ED40" i="19" a="1"/>
  <c r="ED40" i="19" s="1"/>
  <c r="DX40" i="19" a="1"/>
  <c r="DX40" i="19" s="1"/>
  <c r="DR40" i="19" a="1"/>
  <c r="DR40" i="19" s="1"/>
  <c r="AC40" i="19" a="1"/>
  <c r="AC40" i="19" s="1"/>
  <c r="AA40" i="19" a="1"/>
  <c r="AA40" i="19" s="1"/>
  <c r="Y40" i="19" a="1"/>
  <c r="Y40" i="19" s="1"/>
  <c r="W40" i="19" a="1"/>
  <c r="W40" i="19" s="1"/>
  <c r="U40" i="19" a="1"/>
  <c r="U40" i="19" s="1"/>
  <c r="S40" i="19" a="1"/>
  <c r="S40" i="19" s="1"/>
  <c r="Q40" i="19" a="1"/>
  <c r="Q40" i="19" s="1"/>
  <c r="O40" i="19" a="1"/>
  <c r="O40" i="19" s="1"/>
  <c r="M40" i="19" a="1"/>
  <c r="M40" i="19" s="1"/>
  <c r="K40" i="19" a="1"/>
  <c r="K40" i="19" s="1"/>
  <c r="I40" i="19" a="1"/>
  <c r="I40" i="19" s="1"/>
  <c r="G40" i="19" a="1"/>
  <c r="G40" i="19" s="1"/>
  <c r="E40" i="19" a="1"/>
  <c r="E40" i="19" s="1"/>
  <c r="AB40" i="19" a="1"/>
  <c r="AB40" i="19" s="1"/>
  <c r="Z40" i="19" a="1"/>
  <c r="Z40" i="19" s="1"/>
  <c r="X40" i="19" a="1"/>
  <c r="X40" i="19" s="1"/>
  <c r="V40" i="19" a="1"/>
  <c r="V40" i="19" s="1"/>
  <c r="T40" i="19" a="1"/>
  <c r="T40" i="19" s="1"/>
  <c r="R40" i="19" a="1"/>
  <c r="R40" i="19" s="1"/>
  <c r="P40" i="19" a="1"/>
  <c r="P40" i="19" s="1"/>
  <c r="L40" i="19" a="1"/>
  <c r="L40" i="19" s="1"/>
  <c r="J40" i="19" a="1"/>
  <c r="J40" i="19" s="1"/>
  <c r="H40" i="19" a="1"/>
  <c r="H40" i="19" s="1"/>
  <c r="D40" i="19" a="1"/>
  <c r="D40" i="19" s="1"/>
  <c r="HI39" i="19" a="1"/>
  <c r="HI39" i="19" s="1"/>
  <c r="FK39" i="19" a="1"/>
  <c r="FK39" i="19" s="1"/>
  <c r="FI39" i="19" a="1"/>
  <c r="FI39" i="19" s="1"/>
  <c r="FG39" i="19" a="1"/>
  <c r="FG39" i="19" s="1"/>
  <c r="FE39" i="19" a="1"/>
  <c r="FE39" i="19" s="1"/>
  <c r="FC39" i="19" a="1"/>
  <c r="FC39" i="19" s="1"/>
  <c r="FA39" i="19" a="1"/>
  <c r="FA39" i="19" s="1"/>
  <c r="EY39" i="19" a="1"/>
  <c r="EY39" i="19" s="1"/>
  <c r="EU39" i="19" a="1"/>
  <c r="EU39" i="19" s="1"/>
  <c r="EE39" i="19" a="1"/>
  <c r="EE39" i="19" s="1"/>
  <c r="EC39" i="19" a="1"/>
  <c r="EC39" i="19" s="1"/>
  <c r="DW39" i="19" a="1"/>
  <c r="DW39" i="19" s="1"/>
  <c r="DQ39" i="19" a="1"/>
  <c r="DQ39" i="19" s="1"/>
  <c r="DI39" i="19" a="1"/>
  <c r="DI39" i="19" s="1"/>
  <c r="HJ39" i="19" a="1"/>
  <c r="HJ39" i="19" s="1"/>
  <c r="FL39" i="19" a="1"/>
  <c r="FL39" i="19" s="1"/>
  <c r="FJ39" i="19" a="1"/>
  <c r="FJ39" i="19" s="1"/>
  <c r="FH39" i="19" a="1"/>
  <c r="FH39" i="19" s="1"/>
  <c r="FF39" i="19" a="1"/>
  <c r="FF39" i="19" s="1"/>
  <c r="FD39" i="19" a="1"/>
  <c r="FD39" i="19" s="1"/>
  <c r="FB39" i="19" a="1"/>
  <c r="FB39" i="19" s="1"/>
  <c r="EZ39" i="19" a="1"/>
  <c r="EZ39" i="19" s="1"/>
  <c r="EV39" i="19" a="1"/>
  <c r="EV39" i="19" s="1"/>
  <c r="ET39" i="19" a="1"/>
  <c r="ET39" i="19" s="1"/>
  <c r="EF39" i="19" a="1"/>
  <c r="EF39" i="19" s="1"/>
  <c r="ED39" i="19" a="1"/>
  <c r="ED39" i="19" s="1"/>
  <c r="DX39" i="19" a="1"/>
  <c r="DX39" i="19" s="1"/>
  <c r="DR39" i="19" a="1"/>
  <c r="DR39" i="19" s="1"/>
  <c r="AC39" i="19" a="1"/>
  <c r="AC39" i="19" s="1"/>
  <c r="AA39" i="19" a="1"/>
  <c r="AA39" i="19" s="1"/>
  <c r="Y39" i="19" a="1"/>
  <c r="Y39" i="19" s="1"/>
  <c r="W39" i="19" a="1"/>
  <c r="W39" i="19" s="1"/>
  <c r="U39" i="19" a="1"/>
  <c r="U39" i="19" s="1"/>
  <c r="S39" i="19" a="1"/>
  <c r="S39" i="19" s="1"/>
  <c r="Q39" i="19" a="1"/>
  <c r="Q39" i="19" s="1"/>
  <c r="O39" i="19" a="1"/>
  <c r="O39" i="19" s="1"/>
  <c r="M39" i="19" a="1"/>
  <c r="M39" i="19" s="1"/>
  <c r="K39" i="19" a="1"/>
  <c r="K39" i="19" s="1"/>
  <c r="I39" i="19" a="1"/>
  <c r="I39" i="19" s="1"/>
  <c r="G39" i="19" a="1"/>
  <c r="G39" i="19" s="1"/>
  <c r="E39" i="19" a="1"/>
  <c r="E39" i="19" s="1"/>
  <c r="AB39" i="19" a="1"/>
  <c r="AB39" i="19" s="1"/>
  <c r="Z39" i="19" a="1"/>
  <c r="Z39" i="19" s="1"/>
  <c r="X39" i="19" a="1"/>
  <c r="X39" i="19" s="1"/>
  <c r="V39" i="19" a="1"/>
  <c r="V39" i="19" s="1"/>
  <c r="T39" i="19" a="1"/>
  <c r="T39" i="19" s="1"/>
  <c r="R39" i="19" a="1"/>
  <c r="R39" i="19" s="1"/>
  <c r="P39" i="19" a="1"/>
  <c r="P39" i="19" s="1"/>
  <c r="L39" i="19" a="1"/>
  <c r="L39" i="19" s="1"/>
  <c r="J39" i="19" a="1"/>
  <c r="J39" i="19" s="1"/>
  <c r="H39" i="19" a="1"/>
  <c r="H39" i="19" s="1"/>
  <c r="D39" i="19" a="1"/>
  <c r="D39" i="19" s="1"/>
  <c r="HI38" i="19" a="1"/>
  <c r="HI38" i="19" s="1"/>
  <c r="FK38" i="19" a="1"/>
  <c r="FK38" i="19" s="1"/>
  <c r="FI38" i="19" a="1"/>
  <c r="FI38" i="19" s="1"/>
  <c r="FG38" i="19" a="1"/>
  <c r="FG38" i="19" s="1"/>
  <c r="FE38" i="19" a="1"/>
  <c r="FE38" i="19" s="1"/>
  <c r="FC38" i="19" a="1"/>
  <c r="FC38" i="19" s="1"/>
  <c r="FA38" i="19" a="1"/>
  <c r="FA38" i="19" s="1"/>
  <c r="EY38" i="19" a="1"/>
  <c r="EY38" i="19" s="1"/>
  <c r="EU38" i="19" a="1"/>
  <c r="EU38" i="19" s="1"/>
  <c r="EE38" i="19" a="1"/>
  <c r="EE38" i="19" s="1"/>
  <c r="EC38" i="19" a="1"/>
  <c r="EC38" i="19" s="1"/>
  <c r="DW38" i="19" a="1"/>
  <c r="DW38" i="19" s="1"/>
  <c r="DQ38" i="19" a="1"/>
  <c r="DQ38" i="19" s="1"/>
  <c r="DI38" i="19" a="1"/>
  <c r="DI38" i="19" s="1"/>
  <c r="HJ38" i="19" a="1"/>
  <c r="HJ38" i="19" s="1"/>
  <c r="FL38" i="19" a="1"/>
  <c r="FL38" i="19" s="1"/>
  <c r="FJ38" i="19" a="1"/>
  <c r="FJ38" i="19" s="1"/>
  <c r="FH38" i="19" a="1"/>
  <c r="FH38" i="19" s="1"/>
  <c r="FF38" i="19" a="1"/>
  <c r="FF38" i="19" s="1"/>
  <c r="FD38" i="19" a="1"/>
  <c r="FD38" i="19" s="1"/>
  <c r="FB38" i="19" a="1"/>
  <c r="FB38" i="19" s="1"/>
  <c r="EZ38" i="19" a="1"/>
  <c r="EZ38" i="19" s="1"/>
  <c r="EV38" i="19" a="1"/>
  <c r="EV38" i="19" s="1"/>
  <c r="ET38" i="19" a="1"/>
  <c r="ET38" i="19" s="1"/>
  <c r="EF38" i="19" a="1"/>
  <c r="EF38" i="19" s="1"/>
  <c r="ED38" i="19" a="1"/>
  <c r="ED38" i="19" s="1"/>
  <c r="DX38" i="19" a="1"/>
  <c r="DX38" i="19" s="1"/>
  <c r="DR38" i="19" a="1"/>
  <c r="DR38" i="19" s="1"/>
  <c r="AC38" i="19" a="1"/>
  <c r="AC38" i="19" s="1"/>
  <c r="AA38" i="19" a="1"/>
  <c r="AA38" i="19" s="1"/>
  <c r="Y38" i="19" a="1"/>
  <c r="Y38" i="19" s="1"/>
  <c r="W38" i="19" a="1"/>
  <c r="W38" i="19" s="1"/>
  <c r="U38" i="19" a="1"/>
  <c r="U38" i="19" s="1"/>
  <c r="S38" i="19" a="1"/>
  <c r="S38" i="19" s="1"/>
  <c r="Q38" i="19" a="1"/>
  <c r="Q38" i="19" s="1"/>
  <c r="O38" i="19" a="1"/>
  <c r="O38" i="19" s="1"/>
  <c r="M38" i="19" a="1"/>
  <c r="M38" i="19" s="1"/>
  <c r="K38" i="19" a="1"/>
  <c r="K38" i="19" s="1"/>
  <c r="I38" i="19" a="1"/>
  <c r="I38" i="19" s="1"/>
  <c r="G38" i="19" a="1"/>
  <c r="G38" i="19" s="1"/>
  <c r="E38" i="19" a="1"/>
  <c r="E38" i="19" s="1"/>
  <c r="AB38" i="19" a="1"/>
  <c r="AB38" i="19" s="1"/>
  <c r="Z38" i="19" a="1"/>
  <c r="Z38" i="19" s="1"/>
  <c r="X38" i="19" a="1"/>
  <c r="X38" i="19" s="1"/>
  <c r="V38" i="19" a="1"/>
  <c r="V38" i="19" s="1"/>
  <c r="T38" i="19" a="1"/>
  <c r="T38" i="19" s="1"/>
  <c r="R38" i="19" a="1"/>
  <c r="R38" i="19" s="1"/>
  <c r="P38" i="19" a="1"/>
  <c r="P38" i="19" s="1"/>
  <c r="L38" i="19" a="1"/>
  <c r="L38" i="19" s="1"/>
  <c r="J38" i="19" a="1"/>
  <c r="J38" i="19" s="1"/>
  <c r="H38" i="19" a="1"/>
  <c r="H38" i="19" s="1"/>
  <c r="D38" i="19" a="1"/>
  <c r="D38" i="19" s="1"/>
  <c r="HI37" i="19" a="1"/>
  <c r="HI37" i="19" s="1"/>
  <c r="FK37" i="19" a="1"/>
  <c r="FK37" i="19" s="1"/>
  <c r="FI37" i="19" a="1"/>
  <c r="FI37" i="19" s="1"/>
  <c r="FG37" i="19" a="1"/>
  <c r="FG37" i="19" s="1"/>
  <c r="FE37" i="19" a="1"/>
  <c r="FE37" i="19" s="1"/>
  <c r="FC37" i="19" a="1"/>
  <c r="FC37" i="19" s="1"/>
  <c r="FA37" i="19" a="1"/>
  <c r="FA37" i="19" s="1"/>
  <c r="EY37" i="19" a="1"/>
  <c r="EY37" i="19" s="1"/>
  <c r="EU37" i="19" a="1"/>
  <c r="EU37" i="19" s="1"/>
  <c r="EE37" i="19" a="1"/>
  <c r="EE37" i="19" s="1"/>
  <c r="EC37" i="19" a="1"/>
  <c r="EC37" i="19" s="1"/>
  <c r="DW37" i="19" a="1"/>
  <c r="DW37" i="19" s="1"/>
  <c r="DQ37" i="19" a="1"/>
  <c r="DQ37" i="19" s="1"/>
  <c r="DI37" i="19" a="1"/>
  <c r="DI37" i="19" s="1"/>
  <c r="HJ37" i="19" a="1"/>
  <c r="HJ37" i="19" s="1"/>
  <c r="FL37" i="19" a="1"/>
  <c r="FL37" i="19" s="1"/>
  <c r="FJ37" i="19" a="1"/>
  <c r="FJ37" i="19" s="1"/>
  <c r="FH37" i="19" a="1"/>
  <c r="FH37" i="19" s="1"/>
  <c r="FF37" i="19" a="1"/>
  <c r="FF37" i="19" s="1"/>
  <c r="FD37" i="19" a="1"/>
  <c r="FD37" i="19" s="1"/>
  <c r="FB37" i="19" a="1"/>
  <c r="FB37" i="19" s="1"/>
  <c r="EZ37" i="19" a="1"/>
  <c r="EZ37" i="19" s="1"/>
  <c r="EV37" i="19" a="1"/>
  <c r="EV37" i="19" s="1"/>
  <c r="ET37" i="19" a="1"/>
  <c r="ET37" i="19" s="1"/>
  <c r="EF37" i="19" a="1"/>
  <c r="EF37" i="19" s="1"/>
  <c r="ED37" i="19" a="1"/>
  <c r="ED37" i="19" s="1"/>
  <c r="DX37" i="19" a="1"/>
  <c r="DX37" i="19" s="1"/>
  <c r="DR37" i="19" a="1"/>
  <c r="DR37" i="19" s="1"/>
  <c r="AC37" i="19" a="1"/>
  <c r="AC37" i="19" s="1"/>
  <c r="AA37" i="19" a="1"/>
  <c r="AA37" i="19" s="1"/>
  <c r="Y37" i="19" a="1"/>
  <c r="Y37" i="19" s="1"/>
  <c r="W37" i="19" a="1"/>
  <c r="W37" i="19" s="1"/>
  <c r="U37" i="19" a="1"/>
  <c r="U37" i="19" s="1"/>
  <c r="S37" i="19" a="1"/>
  <c r="S37" i="19" s="1"/>
  <c r="Q37" i="19" a="1"/>
  <c r="Q37" i="19" s="1"/>
  <c r="O37" i="19" a="1"/>
  <c r="O37" i="19" s="1"/>
  <c r="M37" i="19" a="1"/>
  <c r="M37" i="19" s="1"/>
  <c r="K37" i="19" a="1"/>
  <c r="K37" i="19" s="1"/>
  <c r="I37" i="19" a="1"/>
  <c r="I37" i="19" s="1"/>
  <c r="G37" i="19" a="1"/>
  <c r="G37" i="19" s="1"/>
  <c r="E37" i="19" a="1"/>
  <c r="E37" i="19" s="1"/>
  <c r="AB37" i="19" a="1"/>
  <c r="AB37" i="19" s="1"/>
  <c r="Z37" i="19" a="1"/>
  <c r="Z37" i="19" s="1"/>
  <c r="X37" i="19" a="1"/>
  <c r="X37" i="19" s="1"/>
  <c r="V37" i="19" a="1"/>
  <c r="V37" i="19" s="1"/>
  <c r="T37" i="19" a="1"/>
  <c r="T37" i="19" s="1"/>
  <c r="R37" i="19" a="1"/>
  <c r="R37" i="19" s="1"/>
  <c r="P37" i="19" a="1"/>
  <c r="P37" i="19" s="1"/>
  <c r="L37" i="19" a="1"/>
  <c r="L37" i="19" s="1"/>
  <c r="J37" i="19" a="1"/>
  <c r="J37" i="19" s="1"/>
  <c r="H37" i="19" a="1"/>
  <c r="H37" i="19" s="1"/>
  <c r="D37" i="19" a="1"/>
  <c r="D37" i="19" s="1"/>
  <c r="HI36" i="19" a="1"/>
  <c r="HI36" i="19" s="1"/>
  <c r="FK36" i="19" a="1"/>
  <c r="FK36" i="19" s="1"/>
  <c r="FI36" i="19" a="1"/>
  <c r="FI36" i="19" s="1"/>
  <c r="FG36" i="19" a="1"/>
  <c r="FG36" i="19" s="1"/>
  <c r="FE36" i="19" a="1"/>
  <c r="FE36" i="19" s="1"/>
  <c r="FC36" i="19" a="1"/>
  <c r="FC36" i="19" s="1"/>
  <c r="FA36" i="19" a="1"/>
  <c r="FA36" i="19" s="1"/>
  <c r="EY36" i="19" a="1"/>
  <c r="EY36" i="19" s="1"/>
  <c r="EU36" i="19" a="1"/>
  <c r="EU36" i="19" s="1"/>
  <c r="EE36" i="19" a="1"/>
  <c r="EE36" i="19" s="1"/>
  <c r="EC36" i="19" a="1"/>
  <c r="EC36" i="19" s="1"/>
  <c r="DW36" i="19" a="1"/>
  <c r="DW36" i="19" s="1"/>
  <c r="DQ36" i="19" a="1"/>
  <c r="DQ36" i="19" s="1"/>
  <c r="DI36" i="19" a="1"/>
  <c r="DI36" i="19" s="1"/>
  <c r="HJ36" i="19" a="1"/>
  <c r="HJ36" i="19" s="1"/>
  <c r="FL36" i="19" a="1"/>
  <c r="FL36" i="19" s="1"/>
  <c r="FJ36" i="19" a="1"/>
  <c r="FJ36" i="19" s="1"/>
  <c r="FH36" i="19" a="1"/>
  <c r="FH36" i="19" s="1"/>
  <c r="FF36" i="19" a="1"/>
  <c r="FF36" i="19" s="1"/>
  <c r="FD36" i="19" a="1"/>
  <c r="FD36" i="19" s="1"/>
  <c r="FB36" i="19" a="1"/>
  <c r="FB36" i="19" s="1"/>
  <c r="EZ36" i="19" a="1"/>
  <c r="EZ36" i="19" s="1"/>
  <c r="EV36" i="19" a="1"/>
  <c r="EV36" i="19" s="1"/>
  <c r="ET36" i="19" a="1"/>
  <c r="ET36" i="19" s="1"/>
  <c r="EF36" i="19" a="1"/>
  <c r="EF36" i="19" s="1"/>
  <c r="ED36" i="19" a="1"/>
  <c r="ED36" i="19" s="1"/>
  <c r="DX36" i="19" a="1"/>
  <c r="DX36" i="19" s="1"/>
  <c r="DR36" i="19" a="1"/>
  <c r="DR36" i="19" s="1"/>
  <c r="AC36" i="19" a="1"/>
  <c r="AC36" i="19" s="1"/>
  <c r="AA36" i="19" a="1"/>
  <c r="AA36" i="19" s="1"/>
  <c r="Y36" i="19" a="1"/>
  <c r="Y36" i="19" s="1"/>
  <c r="W36" i="19" a="1"/>
  <c r="W36" i="19" s="1"/>
  <c r="U36" i="19" a="1"/>
  <c r="U36" i="19" s="1"/>
  <c r="S36" i="19" a="1"/>
  <c r="S36" i="19" s="1"/>
  <c r="Q36" i="19" a="1"/>
  <c r="Q36" i="19" s="1"/>
  <c r="O36" i="19" a="1"/>
  <c r="O36" i="19" s="1"/>
  <c r="M36" i="19" a="1"/>
  <c r="M36" i="19" s="1"/>
  <c r="K36" i="19" a="1"/>
  <c r="K36" i="19" s="1"/>
  <c r="I36" i="19" a="1"/>
  <c r="I36" i="19" s="1"/>
  <c r="G36" i="19" a="1"/>
  <c r="G36" i="19" s="1"/>
  <c r="E36" i="19" a="1"/>
  <c r="E36" i="19" s="1"/>
  <c r="AB36" i="19" a="1"/>
  <c r="AB36" i="19" s="1"/>
  <c r="Z36" i="19" a="1"/>
  <c r="Z36" i="19" s="1"/>
  <c r="X36" i="19" a="1"/>
  <c r="X36" i="19" s="1"/>
  <c r="V36" i="19" a="1"/>
  <c r="V36" i="19" s="1"/>
  <c r="T36" i="19" a="1"/>
  <c r="T36" i="19" s="1"/>
  <c r="R36" i="19" a="1"/>
  <c r="R36" i="19" s="1"/>
  <c r="P36" i="19" a="1"/>
  <c r="P36" i="19" s="1"/>
  <c r="L36" i="19" a="1"/>
  <c r="L36" i="19" s="1"/>
  <c r="J36" i="19" a="1"/>
  <c r="J36" i="19" s="1"/>
  <c r="H36" i="19" a="1"/>
  <c r="H36" i="19" s="1"/>
  <c r="D36" i="19" a="1"/>
  <c r="D36" i="19" s="1"/>
  <c r="HI35" i="19" a="1"/>
  <c r="HI35" i="19" s="1"/>
  <c r="FK35" i="19" a="1"/>
  <c r="FK35" i="19" s="1"/>
  <c r="FI35" i="19" a="1"/>
  <c r="FI35" i="19" s="1"/>
  <c r="FG35" i="19" a="1"/>
  <c r="FG35" i="19" s="1"/>
  <c r="FE35" i="19" a="1"/>
  <c r="FE35" i="19" s="1"/>
  <c r="FC35" i="19" a="1"/>
  <c r="FC35" i="19" s="1"/>
  <c r="FA35" i="19" a="1"/>
  <c r="FA35" i="19" s="1"/>
  <c r="EY35" i="19" a="1"/>
  <c r="EY35" i="19" s="1"/>
  <c r="EU35" i="19" a="1"/>
  <c r="EU35" i="19" s="1"/>
  <c r="EE35" i="19" a="1"/>
  <c r="EE35" i="19" s="1"/>
  <c r="EC35" i="19" a="1"/>
  <c r="EC35" i="19" s="1"/>
  <c r="DW35" i="19" a="1"/>
  <c r="DW35" i="19" s="1"/>
  <c r="DQ35" i="19" a="1"/>
  <c r="DQ35" i="19" s="1"/>
  <c r="DI35" i="19" a="1"/>
  <c r="DI35" i="19" s="1"/>
  <c r="HJ35" i="19" a="1"/>
  <c r="HJ35" i="19" s="1"/>
  <c r="FL35" i="19" a="1"/>
  <c r="FL35" i="19" s="1"/>
  <c r="FJ35" i="19" a="1"/>
  <c r="FJ35" i="19" s="1"/>
  <c r="FH35" i="19" a="1"/>
  <c r="FH35" i="19" s="1"/>
  <c r="FF35" i="19" a="1"/>
  <c r="FF35" i="19" s="1"/>
  <c r="FD35" i="19" a="1"/>
  <c r="FD35" i="19" s="1"/>
  <c r="FB35" i="19" a="1"/>
  <c r="FB35" i="19" s="1"/>
  <c r="EZ35" i="19" a="1"/>
  <c r="EZ35" i="19" s="1"/>
  <c r="EV35" i="19" a="1"/>
  <c r="EV35" i="19" s="1"/>
  <c r="ET35" i="19" a="1"/>
  <c r="ET35" i="19" s="1"/>
  <c r="EF35" i="19" a="1"/>
  <c r="EF35" i="19" s="1"/>
  <c r="ED35" i="19" a="1"/>
  <c r="ED35" i="19" s="1"/>
  <c r="DX35" i="19" a="1"/>
  <c r="DX35" i="19" s="1"/>
  <c r="DR35" i="19" a="1"/>
  <c r="DR35" i="19" s="1"/>
  <c r="AC35" i="19" a="1"/>
  <c r="AC35" i="19" s="1"/>
  <c r="AA35" i="19" a="1"/>
  <c r="AA35" i="19" s="1"/>
  <c r="Y35" i="19" a="1"/>
  <c r="Y35" i="19" s="1"/>
  <c r="W35" i="19" a="1"/>
  <c r="W35" i="19" s="1"/>
  <c r="U35" i="19" a="1"/>
  <c r="U35" i="19" s="1"/>
  <c r="S35" i="19" a="1"/>
  <c r="S35" i="19" s="1"/>
  <c r="Q35" i="19" a="1"/>
  <c r="Q35" i="19" s="1"/>
  <c r="O35" i="19" a="1"/>
  <c r="O35" i="19" s="1"/>
  <c r="M35" i="19" a="1"/>
  <c r="M35" i="19" s="1"/>
  <c r="K35" i="19" a="1"/>
  <c r="K35" i="19" s="1"/>
  <c r="I35" i="19" a="1"/>
  <c r="I35" i="19" s="1"/>
  <c r="G35" i="19" a="1"/>
  <c r="G35" i="19" s="1"/>
  <c r="E35" i="19" a="1"/>
  <c r="E35" i="19" s="1"/>
  <c r="AB35" i="19" a="1"/>
  <c r="AB35" i="19" s="1"/>
  <c r="Z35" i="19" a="1"/>
  <c r="Z35" i="19" s="1"/>
  <c r="X35" i="19" a="1"/>
  <c r="X35" i="19" s="1"/>
  <c r="V35" i="19" a="1"/>
  <c r="V35" i="19" s="1"/>
  <c r="T35" i="19" a="1"/>
  <c r="T35" i="19" s="1"/>
  <c r="R35" i="19" a="1"/>
  <c r="R35" i="19" s="1"/>
  <c r="P35" i="19" a="1"/>
  <c r="P35" i="19" s="1"/>
  <c r="L35" i="19" a="1"/>
  <c r="L35" i="19" s="1"/>
  <c r="J35" i="19" a="1"/>
  <c r="J35" i="19" s="1"/>
  <c r="H35" i="19" a="1"/>
  <c r="H35" i="19" s="1"/>
  <c r="D35" i="19" a="1"/>
  <c r="D35" i="19" s="1"/>
  <c r="HI34" i="19" a="1"/>
  <c r="HI34" i="19" s="1"/>
  <c r="FK34" i="19" a="1"/>
  <c r="FK34" i="19" s="1"/>
  <c r="FI34" i="19" a="1"/>
  <c r="FI34" i="19" s="1"/>
  <c r="FG34" i="19" a="1"/>
  <c r="FG34" i="19" s="1"/>
  <c r="FE34" i="19" a="1"/>
  <c r="FE34" i="19" s="1"/>
  <c r="FC34" i="19" a="1"/>
  <c r="FC34" i="19" s="1"/>
  <c r="FA34" i="19" a="1"/>
  <c r="FA34" i="19" s="1"/>
  <c r="EY34" i="19" a="1"/>
  <c r="EY34" i="19" s="1"/>
  <c r="EU34" i="19" a="1"/>
  <c r="EU34" i="19" s="1"/>
  <c r="EE34" i="19" a="1"/>
  <c r="EE34" i="19" s="1"/>
  <c r="EC34" i="19" a="1"/>
  <c r="EC34" i="19" s="1"/>
  <c r="DW34" i="19" a="1"/>
  <c r="DW34" i="19" s="1"/>
  <c r="DQ34" i="19" a="1"/>
  <c r="DQ34" i="19" s="1"/>
  <c r="DI34" i="19" a="1"/>
  <c r="DI34" i="19" s="1"/>
  <c r="HJ34" i="19" a="1"/>
  <c r="HJ34" i="19" s="1"/>
  <c r="FL34" i="19" a="1"/>
  <c r="FL34" i="19" s="1"/>
  <c r="FJ34" i="19" a="1"/>
  <c r="FJ34" i="19" s="1"/>
  <c r="FH34" i="19" a="1"/>
  <c r="FH34" i="19" s="1"/>
  <c r="FF34" i="19" a="1"/>
  <c r="FF34" i="19" s="1"/>
  <c r="FD34" i="19" a="1"/>
  <c r="FD34" i="19" s="1"/>
  <c r="FB34" i="19" a="1"/>
  <c r="FB34" i="19" s="1"/>
  <c r="EZ34" i="19" a="1"/>
  <c r="EZ34" i="19" s="1"/>
  <c r="EV34" i="19" a="1"/>
  <c r="EV34" i="19" s="1"/>
  <c r="ET34" i="19" a="1"/>
  <c r="ET34" i="19" s="1"/>
  <c r="EF34" i="19" a="1"/>
  <c r="EF34" i="19" s="1"/>
  <c r="ED34" i="19" a="1"/>
  <c r="ED34" i="19" s="1"/>
  <c r="DX34" i="19" a="1"/>
  <c r="DX34" i="19" s="1"/>
  <c r="DR34" i="19" a="1"/>
  <c r="DR34" i="19" s="1"/>
  <c r="AC34" i="19" a="1"/>
  <c r="AC34" i="19" s="1"/>
  <c r="AA34" i="19" a="1"/>
  <c r="AA34" i="19" s="1"/>
  <c r="Y34" i="19" a="1"/>
  <c r="Y34" i="19" s="1"/>
  <c r="W34" i="19" a="1"/>
  <c r="W34" i="19" s="1"/>
  <c r="U34" i="19" a="1"/>
  <c r="U34" i="19" s="1"/>
  <c r="S34" i="19" a="1"/>
  <c r="S34" i="19" s="1"/>
  <c r="Q34" i="19" a="1"/>
  <c r="Q34" i="19" s="1"/>
  <c r="O34" i="19" a="1"/>
  <c r="O34" i="19" s="1"/>
  <c r="M34" i="19" a="1"/>
  <c r="M34" i="19" s="1"/>
  <c r="K34" i="19" a="1"/>
  <c r="K34" i="19" s="1"/>
  <c r="I34" i="19" a="1"/>
  <c r="I34" i="19" s="1"/>
  <c r="G34" i="19" a="1"/>
  <c r="G34" i="19" s="1"/>
  <c r="E34" i="19" a="1"/>
  <c r="E34" i="19" s="1"/>
  <c r="AB34" i="19" a="1"/>
  <c r="AB34" i="19" s="1"/>
  <c r="Z34" i="19" a="1"/>
  <c r="Z34" i="19" s="1"/>
  <c r="X34" i="19" a="1"/>
  <c r="X34" i="19" s="1"/>
  <c r="V34" i="19" a="1"/>
  <c r="V34" i="19" s="1"/>
  <c r="T34" i="19" a="1"/>
  <c r="T34" i="19" s="1"/>
  <c r="R34" i="19" a="1"/>
  <c r="R34" i="19" s="1"/>
  <c r="P34" i="19" a="1"/>
  <c r="P34" i="19" s="1"/>
  <c r="L34" i="19" a="1"/>
  <c r="L34" i="19" s="1"/>
  <c r="J34" i="19" a="1"/>
  <c r="J34" i="19" s="1"/>
  <c r="H34" i="19" a="1"/>
  <c r="H34" i="19" s="1"/>
  <c r="D34" i="19" a="1"/>
  <c r="D34" i="19" s="1"/>
  <c r="HI33" i="19" a="1"/>
  <c r="HI33" i="19" s="1"/>
  <c r="FK33" i="19" a="1"/>
  <c r="FK33" i="19" s="1"/>
  <c r="FI33" i="19" a="1"/>
  <c r="FI33" i="19" s="1"/>
  <c r="FG33" i="19" a="1"/>
  <c r="FG33" i="19" s="1"/>
  <c r="FE33" i="19" a="1"/>
  <c r="FE33" i="19" s="1"/>
  <c r="FC33" i="19" a="1"/>
  <c r="FC33" i="19" s="1"/>
  <c r="FA33" i="19" a="1"/>
  <c r="FA33" i="19" s="1"/>
  <c r="EY33" i="19" a="1"/>
  <c r="EY33" i="19" s="1"/>
  <c r="EU33" i="19" a="1"/>
  <c r="EU33" i="19" s="1"/>
  <c r="EE33" i="19" a="1"/>
  <c r="EE33" i="19" s="1"/>
  <c r="EC33" i="19" a="1"/>
  <c r="EC33" i="19" s="1"/>
  <c r="DW33" i="19" a="1"/>
  <c r="DW33" i="19" s="1"/>
  <c r="DQ33" i="19" a="1"/>
  <c r="DQ33" i="19" s="1"/>
  <c r="DI33" i="19" a="1"/>
  <c r="DI33" i="19" s="1"/>
  <c r="HJ33" i="19" a="1"/>
  <c r="HJ33" i="19" s="1"/>
  <c r="FL33" i="19" a="1"/>
  <c r="FL33" i="19" s="1"/>
  <c r="FJ33" i="19" a="1"/>
  <c r="FJ33" i="19" s="1"/>
  <c r="FH33" i="19" a="1"/>
  <c r="FH33" i="19" s="1"/>
  <c r="FF33" i="19" a="1"/>
  <c r="FF33" i="19" s="1"/>
  <c r="FD33" i="19" a="1"/>
  <c r="FD33" i="19" s="1"/>
  <c r="FB33" i="19" a="1"/>
  <c r="FB33" i="19" s="1"/>
  <c r="EZ33" i="19" a="1"/>
  <c r="EZ33" i="19" s="1"/>
  <c r="EV33" i="19" a="1"/>
  <c r="EV33" i="19" s="1"/>
  <c r="ET33" i="19" a="1"/>
  <c r="ET33" i="19" s="1"/>
  <c r="EF33" i="19" a="1"/>
  <c r="EF33" i="19" s="1"/>
  <c r="ED33" i="19" a="1"/>
  <c r="ED33" i="19" s="1"/>
  <c r="DX33" i="19" a="1"/>
  <c r="DX33" i="19" s="1"/>
  <c r="DR33" i="19" a="1"/>
  <c r="DR33" i="19" s="1"/>
  <c r="AC33" i="19" a="1"/>
  <c r="AC33" i="19" s="1"/>
  <c r="AA33" i="19" a="1"/>
  <c r="AA33" i="19" s="1"/>
  <c r="Y33" i="19" a="1"/>
  <c r="Y33" i="19" s="1"/>
  <c r="W33" i="19" a="1"/>
  <c r="W33" i="19" s="1"/>
  <c r="U33" i="19" a="1"/>
  <c r="U33" i="19" s="1"/>
  <c r="S33" i="19" a="1"/>
  <c r="S33" i="19" s="1"/>
  <c r="Q33" i="19" a="1"/>
  <c r="Q33" i="19" s="1"/>
  <c r="O33" i="19" a="1"/>
  <c r="O33" i="19" s="1"/>
  <c r="M33" i="19" a="1"/>
  <c r="M33" i="19" s="1"/>
  <c r="K33" i="19" a="1"/>
  <c r="K33" i="19" s="1"/>
  <c r="I33" i="19" a="1"/>
  <c r="I33" i="19" s="1"/>
  <c r="G33" i="19" a="1"/>
  <c r="G33" i="19" s="1"/>
  <c r="E33" i="19" a="1"/>
  <c r="E33" i="19" s="1"/>
  <c r="AB33" i="19" a="1"/>
  <c r="AB33" i="19" s="1"/>
  <c r="Z33" i="19" a="1"/>
  <c r="Z33" i="19" s="1"/>
  <c r="X33" i="19" a="1"/>
  <c r="X33" i="19" s="1"/>
  <c r="V33" i="19" a="1"/>
  <c r="V33" i="19" s="1"/>
  <c r="T33" i="19" a="1"/>
  <c r="T33" i="19" s="1"/>
  <c r="R33" i="19" a="1"/>
  <c r="R33" i="19" s="1"/>
  <c r="P33" i="19" a="1"/>
  <c r="P33" i="19" s="1"/>
  <c r="L33" i="19" a="1"/>
  <c r="L33" i="19" s="1"/>
  <c r="J33" i="19" a="1"/>
  <c r="J33" i="19" s="1"/>
  <c r="H33" i="19" a="1"/>
  <c r="H33" i="19" s="1"/>
  <c r="D33" i="19" a="1"/>
  <c r="D33" i="19" s="1"/>
  <c r="HI32" i="19" a="1"/>
  <c r="HI32" i="19" s="1"/>
  <c r="FK32" i="19" a="1"/>
  <c r="FK32" i="19" s="1"/>
  <c r="FI32" i="19" a="1"/>
  <c r="FI32" i="19" s="1"/>
  <c r="FG32" i="19" a="1"/>
  <c r="FG32" i="19" s="1"/>
  <c r="FE32" i="19" a="1"/>
  <c r="FE32" i="19" s="1"/>
  <c r="FC32" i="19" a="1"/>
  <c r="FC32" i="19" s="1"/>
  <c r="FA32" i="19" a="1"/>
  <c r="FA32" i="19" s="1"/>
  <c r="EY32" i="19" a="1"/>
  <c r="EY32" i="19" s="1"/>
  <c r="EU32" i="19" a="1"/>
  <c r="EU32" i="19" s="1"/>
  <c r="EE32" i="19" a="1"/>
  <c r="EE32" i="19" s="1"/>
  <c r="EC32" i="19" a="1"/>
  <c r="EC32" i="19" s="1"/>
  <c r="DW32" i="19" a="1"/>
  <c r="DW32" i="19" s="1"/>
  <c r="DQ32" i="19" a="1"/>
  <c r="DQ32" i="19" s="1"/>
  <c r="DI32" i="19" a="1"/>
  <c r="DI32" i="19" s="1"/>
  <c r="HJ32" i="19" a="1"/>
  <c r="HJ32" i="19" s="1"/>
  <c r="FL32" i="19" a="1"/>
  <c r="FL32" i="19" s="1"/>
  <c r="FJ32" i="19" a="1"/>
  <c r="FJ32" i="19" s="1"/>
  <c r="FH32" i="19" a="1"/>
  <c r="FH32" i="19" s="1"/>
  <c r="FF32" i="19" a="1"/>
  <c r="FF32" i="19" s="1"/>
  <c r="FD32" i="19" a="1"/>
  <c r="FD32" i="19" s="1"/>
  <c r="FB32" i="19" a="1"/>
  <c r="FB32" i="19" s="1"/>
  <c r="EZ32" i="19" a="1"/>
  <c r="EZ32" i="19" s="1"/>
  <c r="EV32" i="19" a="1"/>
  <c r="EV32" i="19" s="1"/>
  <c r="ET32" i="19" a="1"/>
  <c r="ET32" i="19" s="1"/>
  <c r="EF32" i="19" a="1"/>
  <c r="EF32" i="19" s="1"/>
  <c r="ED32" i="19" a="1"/>
  <c r="ED32" i="19" s="1"/>
  <c r="DX32" i="19" a="1"/>
  <c r="DX32" i="19" s="1"/>
  <c r="DR32" i="19" a="1"/>
  <c r="DR32" i="19" s="1"/>
  <c r="AC32" i="19" a="1"/>
  <c r="AC32" i="19" s="1"/>
  <c r="AA32" i="19" a="1"/>
  <c r="AA32" i="19" s="1"/>
  <c r="Y32" i="19" a="1"/>
  <c r="Y32" i="19" s="1"/>
  <c r="W32" i="19" a="1"/>
  <c r="W32" i="19" s="1"/>
  <c r="U32" i="19" a="1"/>
  <c r="U32" i="19" s="1"/>
  <c r="S32" i="19" a="1"/>
  <c r="S32" i="19" s="1"/>
  <c r="Q32" i="19" a="1"/>
  <c r="Q32" i="19" s="1"/>
  <c r="O32" i="19" a="1"/>
  <c r="O32" i="19" s="1"/>
  <c r="M32" i="19" a="1"/>
  <c r="M32" i="19" s="1"/>
  <c r="K32" i="19" a="1"/>
  <c r="K32" i="19" s="1"/>
  <c r="I32" i="19" a="1"/>
  <c r="I32" i="19" s="1"/>
  <c r="G32" i="19" a="1"/>
  <c r="G32" i="19" s="1"/>
  <c r="E32" i="19" a="1"/>
  <c r="E32" i="19" s="1"/>
  <c r="AB32" i="19" a="1"/>
  <c r="AB32" i="19" s="1"/>
  <c r="Z32" i="19" a="1"/>
  <c r="Z32" i="19" s="1"/>
  <c r="X32" i="19" a="1"/>
  <c r="X32" i="19" s="1"/>
  <c r="V32" i="19" a="1"/>
  <c r="V32" i="19" s="1"/>
  <c r="T32" i="19" a="1"/>
  <c r="T32" i="19" s="1"/>
  <c r="R32" i="19" a="1"/>
  <c r="R32" i="19" s="1"/>
  <c r="P32" i="19" a="1"/>
  <c r="P32" i="19" s="1"/>
  <c r="L32" i="19" a="1"/>
  <c r="L32" i="19" s="1"/>
  <c r="J32" i="19" a="1"/>
  <c r="J32" i="19" s="1"/>
  <c r="H32" i="19" a="1"/>
  <c r="H32" i="19" s="1"/>
  <c r="D32" i="19" a="1"/>
  <c r="D32" i="19" s="1"/>
  <c r="HI31" i="19" a="1"/>
  <c r="HI31" i="19" s="1"/>
  <c r="FK31" i="19" a="1"/>
  <c r="FK31" i="19" s="1"/>
  <c r="FI31" i="19" a="1"/>
  <c r="FI31" i="19" s="1"/>
  <c r="FG31" i="19" a="1"/>
  <c r="FG31" i="19" s="1"/>
  <c r="FE31" i="19" a="1"/>
  <c r="FE31" i="19" s="1"/>
  <c r="FC31" i="19" a="1"/>
  <c r="FC31" i="19" s="1"/>
  <c r="FA31" i="19" a="1"/>
  <c r="FA31" i="19" s="1"/>
  <c r="EY31" i="19" a="1"/>
  <c r="EY31" i="19" s="1"/>
  <c r="EU31" i="19" a="1"/>
  <c r="EU31" i="19" s="1"/>
  <c r="EE31" i="19" a="1"/>
  <c r="EE31" i="19" s="1"/>
  <c r="EC31" i="19" a="1"/>
  <c r="EC31" i="19" s="1"/>
  <c r="DW31" i="19" a="1"/>
  <c r="DW31" i="19" s="1"/>
  <c r="DQ31" i="19" a="1"/>
  <c r="DQ31" i="19" s="1"/>
  <c r="DI31" i="19" a="1"/>
  <c r="DI31" i="19" s="1"/>
  <c r="HJ31" i="19" a="1"/>
  <c r="HJ31" i="19" s="1"/>
  <c r="FL31" i="19" a="1"/>
  <c r="FL31" i="19" s="1"/>
  <c r="FJ31" i="19" a="1"/>
  <c r="FJ31" i="19" s="1"/>
  <c r="FH31" i="19" a="1"/>
  <c r="FH31" i="19" s="1"/>
  <c r="FF31" i="19" a="1"/>
  <c r="FF31" i="19" s="1"/>
  <c r="FD31" i="19" a="1"/>
  <c r="FD31" i="19" s="1"/>
  <c r="FB31" i="19" a="1"/>
  <c r="FB31" i="19" s="1"/>
  <c r="EZ31" i="19" a="1"/>
  <c r="EZ31" i="19" s="1"/>
  <c r="EV31" i="19" a="1"/>
  <c r="EV31" i="19" s="1"/>
  <c r="ET31" i="19" a="1"/>
  <c r="ET31" i="19" s="1"/>
  <c r="EF31" i="19" a="1"/>
  <c r="EF31" i="19" s="1"/>
  <c r="ED31" i="19" a="1"/>
  <c r="ED31" i="19" s="1"/>
  <c r="DX31" i="19" a="1"/>
  <c r="DX31" i="19" s="1"/>
  <c r="DR31" i="19" a="1"/>
  <c r="DR31" i="19" s="1"/>
  <c r="AC31" i="19" a="1"/>
  <c r="AC31" i="19" s="1"/>
  <c r="AA31" i="19" a="1"/>
  <c r="AA31" i="19" s="1"/>
  <c r="Y31" i="19" a="1"/>
  <c r="Y31" i="19" s="1"/>
  <c r="W31" i="19" a="1"/>
  <c r="W31" i="19" s="1"/>
  <c r="U31" i="19" a="1"/>
  <c r="U31" i="19" s="1"/>
  <c r="S31" i="19" a="1"/>
  <c r="S31" i="19" s="1"/>
  <c r="Q31" i="19" a="1"/>
  <c r="Q31" i="19" s="1"/>
  <c r="O31" i="19" a="1"/>
  <c r="O31" i="19" s="1"/>
  <c r="M31" i="19" a="1"/>
  <c r="M31" i="19" s="1"/>
  <c r="K31" i="19" a="1"/>
  <c r="K31" i="19" s="1"/>
  <c r="I31" i="19" a="1"/>
  <c r="I31" i="19" s="1"/>
  <c r="G31" i="19" a="1"/>
  <c r="G31" i="19" s="1"/>
  <c r="E31" i="19" a="1"/>
  <c r="E31" i="19" s="1"/>
  <c r="AB31" i="19" a="1"/>
  <c r="AB31" i="19" s="1"/>
  <c r="Z31" i="19" a="1"/>
  <c r="Z31" i="19" s="1"/>
  <c r="X31" i="19" a="1"/>
  <c r="X31" i="19" s="1"/>
  <c r="V31" i="19" a="1"/>
  <c r="V31" i="19" s="1"/>
  <c r="T31" i="19" a="1"/>
  <c r="T31" i="19" s="1"/>
  <c r="R31" i="19" a="1"/>
  <c r="R31" i="19" s="1"/>
  <c r="P31" i="19" a="1"/>
  <c r="P31" i="19" s="1"/>
  <c r="L31" i="19" a="1"/>
  <c r="L31" i="19" s="1"/>
  <c r="J31" i="19" a="1"/>
  <c r="J31" i="19" s="1"/>
  <c r="H31" i="19" a="1"/>
  <c r="H31" i="19" s="1"/>
  <c r="D31" i="19" a="1"/>
  <c r="D31" i="19" s="1"/>
  <c r="HI30" i="19" a="1"/>
  <c r="HI30" i="19" s="1"/>
  <c r="FK30" i="19" a="1"/>
  <c r="FK30" i="19" s="1"/>
  <c r="FI30" i="19" a="1"/>
  <c r="FI30" i="19" s="1"/>
  <c r="FG30" i="19" a="1"/>
  <c r="FG30" i="19" s="1"/>
  <c r="FE30" i="19" a="1"/>
  <c r="FE30" i="19" s="1"/>
  <c r="FC30" i="19" a="1"/>
  <c r="FC30" i="19" s="1"/>
  <c r="FA30" i="19" a="1"/>
  <c r="FA30" i="19" s="1"/>
  <c r="EY30" i="19" a="1"/>
  <c r="EY30" i="19" s="1"/>
  <c r="EU30" i="19" a="1"/>
  <c r="EU30" i="19" s="1"/>
  <c r="EE30" i="19" a="1"/>
  <c r="EE30" i="19" s="1"/>
  <c r="EC30" i="19" a="1"/>
  <c r="EC30" i="19" s="1"/>
  <c r="DW30" i="19" a="1"/>
  <c r="DW30" i="19" s="1"/>
  <c r="DQ30" i="19" a="1"/>
  <c r="DQ30" i="19" s="1"/>
  <c r="DI30" i="19" a="1"/>
  <c r="DI30" i="19" s="1"/>
  <c r="HJ30" i="19" a="1"/>
  <c r="HJ30" i="19" s="1"/>
  <c r="FL30" i="19" a="1"/>
  <c r="FL30" i="19" s="1"/>
  <c r="FJ30" i="19" a="1"/>
  <c r="FJ30" i="19" s="1"/>
  <c r="FH30" i="19" a="1"/>
  <c r="FH30" i="19" s="1"/>
  <c r="FF30" i="19" a="1"/>
  <c r="FF30" i="19" s="1"/>
  <c r="FD30" i="19" a="1"/>
  <c r="FD30" i="19" s="1"/>
  <c r="FB30" i="19" a="1"/>
  <c r="FB30" i="19" s="1"/>
  <c r="EZ30" i="19" a="1"/>
  <c r="EZ30" i="19" s="1"/>
  <c r="EV30" i="19" a="1"/>
  <c r="EV30" i="19" s="1"/>
  <c r="ET30" i="19" a="1"/>
  <c r="ET30" i="19" s="1"/>
  <c r="EF30" i="19" a="1"/>
  <c r="EF30" i="19" s="1"/>
  <c r="ED30" i="19" a="1"/>
  <c r="ED30" i="19" s="1"/>
  <c r="DX30" i="19" a="1"/>
  <c r="DX30" i="19" s="1"/>
  <c r="DR30" i="19" a="1"/>
  <c r="DR30" i="19" s="1"/>
  <c r="AC30" i="19" a="1"/>
  <c r="AC30" i="19" s="1"/>
  <c r="AA30" i="19" a="1"/>
  <c r="AA30" i="19" s="1"/>
  <c r="Y30" i="19" a="1"/>
  <c r="Y30" i="19" s="1"/>
  <c r="W30" i="19" a="1"/>
  <c r="W30" i="19" s="1"/>
  <c r="U30" i="19" a="1"/>
  <c r="U30" i="19" s="1"/>
  <c r="S30" i="19" a="1"/>
  <c r="S30" i="19" s="1"/>
  <c r="Q30" i="19" a="1"/>
  <c r="Q30" i="19" s="1"/>
  <c r="O30" i="19" a="1"/>
  <c r="O30" i="19" s="1"/>
  <c r="M30" i="19" a="1"/>
  <c r="M30" i="19" s="1"/>
  <c r="K30" i="19" a="1"/>
  <c r="K30" i="19" s="1"/>
  <c r="I30" i="19" a="1"/>
  <c r="I30" i="19" s="1"/>
  <c r="G30" i="19" a="1"/>
  <c r="G30" i="19" s="1"/>
  <c r="E30" i="19" a="1"/>
  <c r="E30" i="19" s="1"/>
  <c r="AB30" i="19" a="1"/>
  <c r="AB30" i="19" s="1"/>
  <c r="Z30" i="19" a="1"/>
  <c r="Z30" i="19" s="1"/>
  <c r="X30" i="19" a="1"/>
  <c r="X30" i="19" s="1"/>
  <c r="V30" i="19" a="1"/>
  <c r="V30" i="19" s="1"/>
  <c r="T30" i="19" a="1"/>
  <c r="T30" i="19" s="1"/>
  <c r="R30" i="19" a="1"/>
  <c r="R30" i="19" s="1"/>
  <c r="P30" i="19" a="1"/>
  <c r="P30" i="19" s="1"/>
  <c r="L30" i="19" a="1"/>
  <c r="L30" i="19" s="1"/>
  <c r="J30" i="19" a="1"/>
  <c r="J30" i="19" s="1"/>
  <c r="H30" i="19" a="1"/>
  <c r="H30" i="19" s="1"/>
  <c r="D30" i="19" a="1"/>
  <c r="D30" i="19" s="1"/>
  <c r="HI29" i="19" a="1"/>
  <c r="HI29" i="19" s="1"/>
  <c r="FK29" i="19" a="1"/>
  <c r="FK29" i="19" s="1"/>
  <c r="FI29" i="19" a="1"/>
  <c r="FI29" i="19" s="1"/>
  <c r="FG29" i="19" a="1"/>
  <c r="FG29" i="19" s="1"/>
  <c r="FE29" i="19" a="1"/>
  <c r="FE29" i="19" s="1"/>
  <c r="FC29" i="19" a="1"/>
  <c r="FC29" i="19" s="1"/>
  <c r="FA29" i="19" a="1"/>
  <c r="FA29" i="19" s="1"/>
  <c r="EY29" i="19" a="1"/>
  <c r="EY29" i="19" s="1"/>
  <c r="EU29" i="19" a="1"/>
  <c r="EU29" i="19" s="1"/>
  <c r="EE29" i="19" a="1"/>
  <c r="EE29" i="19" s="1"/>
  <c r="EC29" i="19" a="1"/>
  <c r="EC29" i="19" s="1"/>
  <c r="DW29" i="19" a="1"/>
  <c r="DW29" i="19" s="1"/>
  <c r="DQ29" i="19" a="1"/>
  <c r="DQ29" i="19" s="1"/>
  <c r="DI29" i="19" a="1"/>
  <c r="DI29" i="19" s="1"/>
  <c r="HJ29" i="19" a="1"/>
  <c r="HJ29" i="19" s="1"/>
  <c r="FL29" i="19" a="1"/>
  <c r="FL29" i="19" s="1"/>
  <c r="FJ29" i="19" a="1"/>
  <c r="FJ29" i="19" s="1"/>
  <c r="FH29" i="19" a="1"/>
  <c r="FH29" i="19" s="1"/>
  <c r="FF29" i="19" a="1"/>
  <c r="FF29" i="19" s="1"/>
  <c r="FD29" i="19" a="1"/>
  <c r="FD29" i="19" s="1"/>
  <c r="FB29" i="19" a="1"/>
  <c r="FB29" i="19" s="1"/>
  <c r="EZ29" i="19" a="1"/>
  <c r="EZ29" i="19" s="1"/>
  <c r="EV29" i="19" a="1"/>
  <c r="EV29" i="19" s="1"/>
  <c r="ET29" i="19" a="1"/>
  <c r="ET29" i="19" s="1"/>
  <c r="EF29" i="19" a="1"/>
  <c r="EF29" i="19" s="1"/>
  <c r="ED29" i="19" a="1"/>
  <c r="ED29" i="19" s="1"/>
  <c r="DX29" i="19" a="1"/>
  <c r="DX29" i="19" s="1"/>
  <c r="DR29" i="19" a="1"/>
  <c r="DR29" i="19" s="1"/>
  <c r="AC29" i="19" a="1"/>
  <c r="AC29" i="19" s="1"/>
  <c r="AA29" i="19" a="1"/>
  <c r="AA29" i="19" s="1"/>
  <c r="Y29" i="19" a="1"/>
  <c r="Y29" i="19" s="1"/>
  <c r="W29" i="19" a="1"/>
  <c r="W29" i="19" s="1"/>
  <c r="U29" i="19" a="1"/>
  <c r="U29" i="19" s="1"/>
  <c r="S29" i="19" a="1"/>
  <c r="S29" i="19" s="1"/>
  <c r="Q29" i="19" a="1"/>
  <c r="Q29" i="19" s="1"/>
  <c r="O29" i="19" a="1"/>
  <c r="O29" i="19" s="1"/>
  <c r="M29" i="19" a="1"/>
  <c r="M29" i="19" s="1"/>
  <c r="K29" i="19" a="1"/>
  <c r="K29" i="19" s="1"/>
  <c r="I29" i="19" a="1"/>
  <c r="I29" i="19" s="1"/>
  <c r="G29" i="19" a="1"/>
  <c r="G29" i="19" s="1"/>
  <c r="E29" i="19" a="1"/>
  <c r="E29" i="19" s="1"/>
  <c r="AB29" i="19" a="1"/>
  <c r="AB29" i="19" s="1"/>
  <c r="Z29" i="19" a="1"/>
  <c r="Z29" i="19" s="1"/>
  <c r="X29" i="19" a="1"/>
  <c r="X29" i="19" s="1"/>
  <c r="V29" i="19" a="1"/>
  <c r="V29" i="19" s="1"/>
  <c r="T29" i="19" a="1"/>
  <c r="T29" i="19" s="1"/>
  <c r="R29" i="19" a="1"/>
  <c r="R29" i="19" s="1"/>
  <c r="P29" i="19" a="1"/>
  <c r="P29" i="19" s="1"/>
  <c r="L29" i="19" a="1"/>
  <c r="L29" i="19" s="1"/>
  <c r="J29" i="19" a="1"/>
  <c r="J29" i="19" s="1"/>
  <c r="H29" i="19" a="1"/>
  <c r="H29" i="19" s="1"/>
  <c r="D29" i="19" a="1"/>
  <c r="D29" i="19" s="1"/>
  <c r="HI28" i="19" a="1"/>
  <c r="HI28" i="19" s="1"/>
  <c r="FK28" i="19" a="1"/>
  <c r="FK28" i="19" s="1"/>
  <c r="FI28" i="19" a="1"/>
  <c r="FI28" i="19" s="1"/>
  <c r="FG28" i="19" a="1"/>
  <c r="FG28" i="19" s="1"/>
  <c r="FE28" i="19" a="1"/>
  <c r="FE28" i="19" s="1"/>
  <c r="FC28" i="19" a="1"/>
  <c r="FC28" i="19" s="1"/>
  <c r="FA28" i="19" a="1"/>
  <c r="FA28" i="19" s="1"/>
  <c r="EY28" i="19" a="1"/>
  <c r="EY28" i="19" s="1"/>
  <c r="EU28" i="19" a="1"/>
  <c r="EU28" i="19" s="1"/>
  <c r="EE28" i="19" a="1"/>
  <c r="EE28" i="19" s="1"/>
  <c r="EC28" i="19" a="1"/>
  <c r="EC28" i="19" s="1"/>
  <c r="DW28" i="19" a="1"/>
  <c r="DW28" i="19" s="1"/>
  <c r="DQ28" i="19" a="1"/>
  <c r="DQ28" i="19" s="1"/>
  <c r="DI28" i="19" a="1"/>
  <c r="DI28" i="19" s="1"/>
  <c r="HJ28" i="19" a="1"/>
  <c r="HJ28" i="19" s="1"/>
  <c r="FL28" i="19" a="1"/>
  <c r="FL28" i="19" s="1"/>
  <c r="FJ28" i="19" a="1"/>
  <c r="FJ28" i="19" s="1"/>
  <c r="FH28" i="19" a="1"/>
  <c r="FH28" i="19" s="1"/>
  <c r="FF28" i="19" a="1"/>
  <c r="FF28" i="19" s="1"/>
  <c r="FD28" i="19" a="1"/>
  <c r="FD28" i="19" s="1"/>
  <c r="FB28" i="19" a="1"/>
  <c r="FB28" i="19" s="1"/>
  <c r="EZ28" i="19" a="1"/>
  <c r="EZ28" i="19" s="1"/>
  <c r="EV28" i="19" a="1"/>
  <c r="EV28" i="19" s="1"/>
  <c r="ET28" i="19" a="1"/>
  <c r="ET28" i="19" s="1"/>
  <c r="EF28" i="19" a="1"/>
  <c r="EF28" i="19" s="1"/>
  <c r="ED28" i="19" a="1"/>
  <c r="ED28" i="19" s="1"/>
  <c r="DX28" i="19" a="1"/>
  <c r="DX28" i="19" s="1"/>
  <c r="DR28" i="19" a="1"/>
  <c r="DR28" i="19" s="1"/>
  <c r="AC28" i="19" a="1"/>
  <c r="AC28" i="19" s="1"/>
  <c r="AA28" i="19" a="1"/>
  <c r="AA28" i="19" s="1"/>
  <c r="Y28" i="19" a="1"/>
  <c r="Y28" i="19" s="1"/>
  <c r="W28" i="19" a="1"/>
  <c r="W28" i="19" s="1"/>
  <c r="U28" i="19" a="1"/>
  <c r="U28" i="19" s="1"/>
  <c r="S28" i="19" a="1"/>
  <c r="S28" i="19" s="1"/>
  <c r="Q28" i="19" a="1"/>
  <c r="Q28" i="19" s="1"/>
  <c r="O28" i="19" a="1"/>
  <c r="O28" i="19" s="1"/>
  <c r="M28" i="19" a="1"/>
  <c r="M28" i="19" s="1"/>
  <c r="K28" i="19" a="1"/>
  <c r="K28" i="19" s="1"/>
  <c r="I28" i="19" a="1"/>
  <c r="I28" i="19" s="1"/>
  <c r="G28" i="19" a="1"/>
  <c r="G28" i="19" s="1"/>
  <c r="E28" i="19" a="1"/>
  <c r="E28" i="19" s="1"/>
  <c r="AB28" i="19" a="1"/>
  <c r="AB28" i="19" s="1"/>
  <c r="Z28" i="19" a="1"/>
  <c r="Z28" i="19" s="1"/>
  <c r="X28" i="19" a="1"/>
  <c r="X28" i="19" s="1"/>
  <c r="V28" i="19" a="1"/>
  <c r="V28" i="19" s="1"/>
  <c r="T28" i="19" a="1"/>
  <c r="T28" i="19" s="1"/>
  <c r="R28" i="19" a="1"/>
  <c r="R28" i="19" s="1"/>
  <c r="P28" i="19" a="1"/>
  <c r="P28" i="19" s="1"/>
  <c r="L28" i="19" a="1"/>
  <c r="L28" i="19" s="1"/>
  <c r="J28" i="19" a="1"/>
  <c r="J28" i="19" s="1"/>
  <c r="H28" i="19" a="1"/>
  <c r="H28" i="19" s="1"/>
  <c r="D28" i="19" a="1"/>
  <c r="D28" i="19" s="1"/>
  <c r="HI27" i="19" a="1"/>
  <c r="HI27" i="19" s="1"/>
  <c r="FK27" i="19" a="1"/>
  <c r="FK27" i="19" s="1"/>
  <c r="FI27" i="19" a="1"/>
  <c r="FI27" i="19" s="1"/>
  <c r="FG27" i="19" a="1"/>
  <c r="FG27" i="19" s="1"/>
  <c r="FE27" i="19" a="1"/>
  <c r="FE27" i="19" s="1"/>
  <c r="FC27" i="19" a="1"/>
  <c r="FC27" i="19" s="1"/>
  <c r="FA27" i="19" a="1"/>
  <c r="FA27" i="19" s="1"/>
  <c r="EY27" i="19" a="1"/>
  <c r="EY27" i="19" s="1"/>
  <c r="EU27" i="19" a="1"/>
  <c r="EU27" i="19" s="1"/>
  <c r="EE27" i="19" a="1"/>
  <c r="EE27" i="19" s="1"/>
  <c r="EC27" i="19" a="1"/>
  <c r="EC27" i="19" s="1"/>
  <c r="DW27" i="19" a="1"/>
  <c r="DW27" i="19" s="1"/>
  <c r="DQ27" i="19" a="1"/>
  <c r="DQ27" i="19" s="1"/>
  <c r="DI27" i="19" a="1"/>
  <c r="DI27" i="19" s="1"/>
  <c r="HJ27" i="19" a="1"/>
  <c r="HJ27" i="19" s="1"/>
  <c r="FL27" i="19" a="1"/>
  <c r="FL27" i="19" s="1"/>
  <c r="FJ27" i="19" a="1"/>
  <c r="FJ27" i="19" s="1"/>
  <c r="FH27" i="19" a="1"/>
  <c r="FH27" i="19" s="1"/>
  <c r="FF27" i="19" a="1"/>
  <c r="FF27" i="19" s="1"/>
  <c r="FD27" i="19" a="1"/>
  <c r="FD27" i="19" s="1"/>
  <c r="FB27" i="19" a="1"/>
  <c r="FB27" i="19" s="1"/>
  <c r="EZ27" i="19" a="1"/>
  <c r="EZ27" i="19" s="1"/>
  <c r="EV27" i="19" a="1"/>
  <c r="EV27" i="19" s="1"/>
  <c r="ET27" i="19" a="1"/>
  <c r="ET27" i="19" s="1"/>
  <c r="EF27" i="19" a="1"/>
  <c r="EF27" i="19" s="1"/>
  <c r="ED27" i="19" a="1"/>
  <c r="ED27" i="19" s="1"/>
  <c r="DX27" i="19" a="1"/>
  <c r="DX27" i="19" s="1"/>
  <c r="DR27" i="19" a="1"/>
  <c r="DR27" i="19" s="1"/>
  <c r="AC27" i="19" a="1"/>
  <c r="AC27" i="19" s="1"/>
  <c r="AA27" i="19" a="1"/>
  <c r="AA27" i="19" s="1"/>
  <c r="Y27" i="19" a="1"/>
  <c r="Y27" i="19" s="1"/>
  <c r="W27" i="19" a="1"/>
  <c r="W27" i="19" s="1"/>
  <c r="U27" i="19" a="1"/>
  <c r="U27" i="19" s="1"/>
  <c r="S27" i="19" a="1"/>
  <c r="S27" i="19" s="1"/>
  <c r="Q27" i="19" a="1"/>
  <c r="Q27" i="19" s="1"/>
  <c r="O27" i="19" a="1"/>
  <c r="O27" i="19" s="1"/>
  <c r="M27" i="19" a="1"/>
  <c r="M27" i="19" s="1"/>
  <c r="K27" i="19" a="1"/>
  <c r="K27" i="19" s="1"/>
  <c r="I27" i="19" a="1"/>
  <c r="I27" i="19" s="1"/>
  <c r="G27" i="19" a="1"/>
  <c r="G27" i="19" s="1"/>
  <c r="E27" i="19" a="1"/>
  <c r="E27" i="19" s="1"/>
  <c r="AB27" i="19" a="1"/>
  <c r="AB27" i="19" s="1"/>
  <c r="Z27" i="19" a="1"/>
  <c r="Z27" i="19" s="1"/>
  <c r="X27" i="19" a="1"/>
  <c r="X27" i="19" s="1"/>
  <c r="V27" i="19" a="1"/>
  <c r="V27" i="19" s="1"/>
  <c r="T27" i="19" a="1"/>
  <c r="T27" i="19" s="1"/>
  <c r="R27" i="19" a="1"/>
  <c r="R27" i="19" s="1"/>
  <c r="P27" i="19" a="1"/>
  <c r="P27" i="19" s="1"/>
  <c r="L27" i="19" a="1"/>
  <c r="L27" i="19" s="1"/>
  <c r="J27" i="19" a="1"/>
  <c r="J27" i="19" s="1"/>
  <c r="H27" i="19" a="1"/>
  <c r="H27" i="19" s="1"/>
  <c r="D27" i="19" a="1"/>
  <c r="D27" i="19" s="1"/>
  <c r="HI26" i="19" a="1"/>
  <c r="HI26" i="19" s="1"/>
  <c r="FK26" i="19" a="1"/>
  <c r="FK26" i="19" s="1"/>
  <c r="FI26" i="19" a="1"/>
  <c r="FI26" i="19" s="1"/>
  <c r="FG26" i="19" a="1"/>
  <c r="FG26" i="19" s="1"/>
  <c r="FE26" i="19" a="1"/>
  <c r="FE26" i="19" s="1"/>
  <c r="FC26" i="19" a="1"/>
  <c r="FC26" i="19" s="1"/>
  <c r="FA26" i="19" a="1"/>
  <c r="FA26" i="19" s="1"/>
  <c r="EY26" i="19" a="1"/>
  <c r="EY26" i="19" s="1"/>
  <c r="EU26" i="19" a="1"/>
  <c r="EU26" i="19" s="1"/>
  <c r="EE26" i="19" a="1"/>
  <c r="EE26" i="19" s="1"/>
  <c r="EC26" i="19" a="1"/>
  <c r="EC26" i="19" s="1"/>
  <c r="DW26" i="19" a="1"/>
  <c r="DW26" i="19" s="1"/>
  <c r="DQ26" i="19" a="1"/>
  <c r="DQ26" i="19" s="1"/>
  <c r="DI26" i="19" a="1"/>
  <c r="DI26" i="19" s="1"/>
  <c r="HJ26" i="19" a="1"/>
  <c r="HJ26" i="19" s="1"/>
  <c r="FL26" i="19" a="1"/>
  <c r="FL26" i="19" s="1"/>
  <c r="FJ26" i="19" a="1"/>
  <c r="FJ26" i="19" s="1"/>
  <c r="FH26" i="19" a="1"/>
  <c r="FH26" i="19" s="1"/>
  <c r="FF26" i="19" a="1"/>
  <c r="FF26" i="19" s="1"/>
  <c r="FD26" i="19" a="1"/>
  <c r="FD26" i="19" s="1"/>
  <c r="FB26" i="19" a="1"/>
  <c r="FB26" i="19" s="1"/>
  <c r="EZ26" i="19" a="1"/>
  <c r="EZ26" i="19" s="1"/>
  <c r="EV26" i="19" a="1"/>
  <c r="EV26" i="19" s="1"/>
  <c r="ET26" i="19" a="1"/>
  <c r="ET26" i="19" s="1"/>
  <c r="EF26" i="19" a="1"/>
  <c r="EF26" i="19" s="1"/>
  <c r="ED26" i="19" a="1"/>
  <c r="ED26" i="19" s="1"/>
  <c r="DX26" i="19" a="1"/>
  <c r="DX26" i="19" s="1"/>
  <c r="DR26" i="19" a="1"/>
  <c r="DR26" i="19" s="1"/>
  <c r="AC26" i="19" a="1"/>
  <c r="AC26" i="19" s="1"/>
  <c r="AA26" i="19" a="1"/>
  <c r="AA26" i="19" s="1"/>
  <c r="Y26" i="19" a="1"/>
  <c r="Y26" i="19" s="1"/>
  <c r="W26" i="19" a="1"/>
  <c r="W26" i="19" s="1"/>
  <c r="U26" i="19" a="1"/>
  <c r="U26" i="19" s="1"/>
  <c r="S26" i="19" a="1"/>
  <c r="S26" i="19" s="1"/>
  <c r="Q26" i="19" a="1"/>
  <c r="Q26" i="19" s="1"/>
  <c r="O26" i="19" a="1"/>
  <c r="O26" i="19" s="1"/>
  <c r="M26" i="19" a="1"/>
  <c r="M26" i="19" s="1"/>
  <c r="K26" i="19" a="1"/>
  <c r="K26" i="19" s="1"/>
  <c r="I26" i="19" a="1"/>
  <c r="I26" i="19" s="1"/>
  <c r="G26" i="19" a="1"/>
  <c r="G26" i="19" s="1"/>
  <c r="E26" i="19" a="1"/>
  <c r="E26" i="19" s="1"/>
  <c r="AB26" i="19" a="1"/>
  <c r="AB26" i="19" s="1"/>
  <c r="Z26" i="19" a="1"/>
  <c r="Z26" i="19" s="1"/>
  <c r="X26" i="19" a="1"/>
  <c r="X26" i="19" s="1"/>
  <c r="V26" i="19" a="1"/>
  <c r="V26" i="19" s="1"/>
  <c r="T26" i="19" a="1"/>
  <c r="T26" i="19" s="1"/>
  <c r="R26" i="19" a="1"/>
  <c r="R26" i="19" s="1"/>
  <c r="P26" i="19" a="1"/>
  <c r="P26" i="19" s="1"/>
  <c r="L26" i="19" a="1"/>
  <c r="L26" i="19" s="1"/>
  <c r="J26" i="19" a="1"/>
  <c r="J26" i="19" s="1"/>
  <c r="H26" i="19" a="1"/>
  <c r="H26" i="19" s="1"/>
  <c r="D26" i="19" a="1"/>
  <c r="D26" i="19" s="1"/>
  <c r="HI25" i="19" a="1"/>
  <c r="HI25" i="19" s="1"/>
  <c r="FK25" i="19" a="1"/>
  <c r="FK25" i="19" s="1"/>
  <c r="FI25" i="19" a="1"/>
  <c r="FI25" i="19" s="1"/>
  <c r="FG25" i="19" a="1"/>
  <c r="FG25" i="19" s="1"/>
  <c r="FE25" i="19" a="1"/>
  <c r="FE25" i="19" s="1"/>
  <c r="FC25" i="19" a="1"/>
  <c r="FC25" i="19" s="1"/>
  <c r="FA25" i="19" a="1"/>
  <c r="FA25" i="19" s="1"/>
  <c r="EY25" i="19" a="1"/>
  <c r="EY25" i="19" s="1"/>
  <c r="EU25" i="19" a="1"/>
  <c r="EU25" i="19" s="1"/>
  <c r="EE25" i="19" a="1"/>
  <c r="EE25" i="19" s="1"/>
  <c r="EC25" i="19" a="1"/>
  <c r="EC25" i="19" s="1"/>
  <c r="DW25" i="19" a="1"/>
  <c r="DW25" i="19" s="1"/>
  <c r="DQ25" i="19" a="1"/>
  <c r="DQ25" i="19" s="1"/>
  <c r="DI25" i="19" a="1"/>
  <c r="DI25" i="19" s="1"/>
  <c r="HJ25" i="19" a="1"/>
  <c r="HJ25" i="19" s="1"/>
  <c r="FL25" i="19" a="1"/>
  <c r="FL25" i="19" s="1"/>
  <c r="FJ25" i="19" a="1"/>
  <c r="FJ25" i="19" s="1"/>
  <c r="FH25" i="19" a="1"/>
  <c r="FH25" i="19" s="1"/>
  <c r="FF25" i="19" a="1"/>
  <c r="FF25" i="19" s="1"/>
  <c r="FD25" i="19" a="1"/>
  <c r="FD25" i="19" s="1"/>
  <c r="FB25" i="19" a="1"/>
  <c r="FB25" i="19" s="1"/>
  <c r="EZ25" i="19" a="1"/>
  <c r="EZ25" i="19" s="1"/>
  <c r="EV25" i="19" a="1"/>
  <c r="EV25" i="19" s="1"/>
  <c r="ET25" i="19" a="1"/>
  <c r="ET25" i="19" s="1"/>
  <c r="EF25" i="19" a="1"/>
  <c r="EF25" i="19" s="1"/>
  <c r="ED25" i="19" a="1"/>
  <c r="ED25" i="19" s="1"/>
  <c r="DX25" i="19" a="1"/>
  <c r="DX25" i="19" s="1"/>
  <c r="DR25" i="19" a="1"/>
  <c r="DR25" i="19" s="1"/>
  <c r="AC25" i="19" a="1"/>
  <c r="AC25" i="19" s="1"/>
  <c r="AA25" i="19" a="1"/>
  <c r="AA25" i="19" s="1"/>
  <c r="Y25" i="19" a="1"/>
  <c r="Y25" i="19" s="1"/>
  <c r="W25" i="19" a="1"/>
  <c r="W25" i="19" s="1"/>
  <c r="U25" i="19" a="1"/>
  <c r="U25" i="19" s="1"/>
  <c r="S25" i="19" a="1"/>
  <c r="S25" i="19" s="1"/>
  <c r="Q25" i="19" a="1"/>
  <c r="Q25" i="19" s="1"/>
  <c r="O25" i="19" a="1"/>
  <c r="O25" i="19" s="1"/>
  <c r="M25" i="19" a="1"/>
  <c r="M25" i="19" s="1"/>
  <c r="K25" i="19" a="1"/>
  <c r="K25" i="19" s="1"/>
  <c r="I25" i="19" a="1"/>
  <c r="I25" i="19" s="1"/>
  <c r="G25" i="19" a="1"/>
  <c r="G25" i="19" s="1"/>
  <c r="E25" i="19" a="1"/>
  <c r="E25" i="19" s="1"/>
  <c r="AB25" i="19" a="1"/>
  <c r="AB25" i="19" s="1"/>
  <c r="Z25" i="19" a="1"/>
  <c r="Z25" i="19" s="1"/>
  <c r="X25" i="19" a="1"/>
  <c r="X25" i="19" s="1"/>
  <c r="V25" i="19" a="1"/>
  <c r="V25" i="19" s="1"/>
  <c r="T25" i="19" a="1"/>
  <c r="T25" i="19" s="1"/>
  <c r="R25" i="19" a="1"/>
  <c r="R25" i="19" s="1"/>
  <c r="P25" i="19" a="1"/>
  <c r="P25" i="19" s="1"/>
  <c r="L25" i="19" a="1"/>
  <c r="L25" i="19" s="1"/>
  <c r="J25" i="19" a="1"/>
  <c r="J25" i="19" s="1"/>
  <c r="H25" i="19" a="1"/>
  <c r="H25" i="19" s="1"/>
  <c r="D25" i="19" a="1"/>
  <c r="D25" i="19" s="1"/>
  <c r="FK24" i="19" a="1"/>
  <c r="FK24" i="19" s="1"/>
  <c r="FI24" i="19" a="1"/>
  <c r="FI24" i="19" s="1"/>
  <c r="FG24" i="19" a="1"/>
  <c r="FG24" i="19" s="1"/>
  <c r="FE24" i="19" a="1"/>
  <c r="FE24" i="19" s="1"/>
  <c r="FC24" i="19" a="1"/>
  <c r="FC24" i="19" s="1"/>
  <c r="FA24" i="19" a="1"/>
  <c r="FA24" i="19" s="1"/>
  <c r="EY24" i="19" a="1"/>
  <c r="EY24" i="19" s="1"/>
  <c r="EU24" i="19" a="1"/>
  <c r="EU24" i="19" s="1"/>
  <c r="EE24" i="19" a="1"/>
  <c r="EE24" i="19" s="1"/>
  <c r="EC24" i="19" a="1"/>
  <c r="EC24" i="19" s="1"/>
  <c r="DW24" i="19" a="1"/>
  <c r="DW24" i="19" s="1"/>
  <c r="DQ24" i="19" a="1"/>
  <c r="DQ24" i="19" s="1"/>
  <c r="DI24" i="19" a="1"/>
  <c r="DI24" i="19" s="1"/>
  <c r="FL24" i="19" a="1"/>
  <c r="FL24" i="19" s="1"/>
  <c r="FJ24" i="19" a="1"/>
  <c r="FJ24" i="19" s="1"/>
  <c r="FH24" i="19" a="1"/>
  <c r="FH24" i="19" s="1"/>
  <c r="FF24" i="19" a="1"/>
  <c r="FF24" i="19" s="1"/>
  <c r="FD24" i="19" a="1"/>
  <c r="FD24" i="19" s="1"/>
  <c r="FB24" i="19" a="1"/>
  <c r="FB24" i="19" s="1"/>
  <c r="EZ24" i="19" a="1"/>
  <c r="EZ24" i="19" s="1"/>
  <c r="EV24" i="19" a="1"/>
  <c r="EV24" i="19" s="1"/>
  <c r="ET24" i="19" a="1"/>
  <c r="ET24" i="19" s="1"/>
  <c r="EF24" i="19" a="1"/>
  <c r="EF24" i="19" s="1"/>
  <c r="ED24" i="19" a="1"/>
  <c r="ED24" i="19" s="1"/>
  <c r="DX24" i="19" a="1"/>
  <c r="DX24" i="19" s="1"/>
  <c r="DR24" i="19" a="1"/>
  <c r="DR24" i="19" s="1"/>
  <c r="AC24" i="19" a="1"/>
  <c r="AC24" i="19" s="1"/>
  <c r="AA24" i="19" a="1"/>
  <c r="AA24" i="19" s="1"/>
  <c r="Y24" i="19" a="1"/>
  <c r="Y24" i="19" s="1"/>
  <c r="W24" i="19" a="1"/>
  <c r="W24" i="19" s="1"/>
  <c r="U24" i="19" a="1"/>
  <c r="U24" i="19" s="1"/>
  <c r="S24" i="19" a="1"/>
  <c r="S24" i="19" s="1"/>
  <c r="Q24" i="19" a="1"/>
  <c r="Q24" i="19" s="1"/>
  <c r="O24" i="19" a="1"/>
  <c r="O24" i="19" s="1"/>
  <c r="M24" i="19" a="1"/>
  <c r="M24" i="19" s="1"/>
  <c r="K24" i="19" a="1"/>
  <c r="K24" i="19" s="1"/>
  <c r="I24" i="19" a="1"/>
  <c r="I24" i="19" s="1"/>
  <c r="G24" i="19" a="1"/>
  <c r="G24" i="19" s="1"/>
  <c r="E24" i="19" a="1"/>
  <c r="E24" i="19" s="1"/>
  <c r="AB24" i="19" a="1"/>
  <c r="AB24" i="19" s="1"/>
  <c r="Z24" i="19" a="1"/>
  <c r="Z24" i="19" s="1"/>
  <c r="X24" i="19" a="1"/>
  <c r="X24" i="19" s="1"/>
  <c r="V24" i="19" a="1"/>
  <c r="V24" i="19" s="1"/>
  <c r="T24" i="19" a="1"/>
  <c r="T24" i="19" s="1"/>
  <c r="R24" i="19" a="1"/>
  <c r="R24" i="19" s="1"/>
  <c r="P24" i="19" a="1"/>
  <c r="P24" i="19" s="1"/>
  <c r="L24" i="19" a="1"/>
  <c r="L24" i="19" s="1"/>
  <c r="J24" i="19" a="1"/>
  <c r="J24" i="19" s="1"/>
  <c r="H24" i="19" a="1"/>
  <c r="H24" i="19" s="1"/>
  <c r="D24" i="19" a="1"/>
  <c r="D24" i="19" s="1"/>
  <c r="FK23" i="19" a="1"/>
  <c r="FK23" i="19" s="1"/>
  <c r="FI23" i="19" a="1"/>
  <c r="FI23" i="19" s="1"/>
  <c r="FG23" i="19" a="1"/>
  <c r="FG23" i="19" s="1"/>
  <c r="FE23" i="19" a="1"/>
  <c r="FE23" i="19" s="1"/>
  <c r="FC23" i="19" a="1"/>
  <c r="FC23" i="19" s="1"/>
  <c r="FA23" i="19" a="1"/>
  <c r="FA23" i="19" s="1"/>
  <c r="EY23" i="19" a="1"/>
  <c r="EY23" i="19" s="1"/>
  <c r="EU23" i="19" a="1"/>
  <c r="EU23" i="19" s="1"/>
  <c r="EE23" i="19" a="1"/>
  <c r="EE23" i="19" s="1"/>
  <c r="EC23" i="19" a="1"/>
  <c r="EC23" i="19" s="1"/>
  <c r="DW23" i="19" a="1"/>
  <c r="DW23" i="19" s="1"/>
  <c r="DQ23" i="19" a="1"/>
  <c r="DQ23" i="19" s="1"/>
  <c r="DI23" i="19" a="1"/>
  <c r="DI23" i="19" s="1"/>
  <c r="FL23" i="19" a="1"/>
  <c r="FL23" i="19" s="1"/>
  <c r="FJ23" i="19" a="1"/>
  <c r="FJ23" i="19" s="1"/>
  <c r="FH23" i="19" a="1"/>
  <c r="FH23" i="19" s="1"/>
  <c r="FF23" i="19" a="1"/>
  <c r="FF23" i="19" s="1"/>
  <c r="FD23" i="19" a="1"/>
  <c r="FD23" i="19" s="1"/>
  <c r="FB23" i="19" a="1"/>
  <c r="FB23" i="19" s="1"/>
  <c r="EZ23" i="19" a="1"/>
  <c r="EZ23" i="19" s="1"/>
  <c r="EV23" i="19" a="1"/>
  <c r="EV23" i="19" s="1"/>
  <c r="ET23" i="19" a="1"/>
  <c r="ET23" i="19" s="1"/>
  <c r="EF23" i="19" a="1"/>
  <c r="EF23" i="19" s="1"/>
  <c r="ED23" i="19" a="1"/>
  <c r="ED23" i="19" s="1"/>
  <c r="DX23" i="19" a="1"/>
  <c r="DX23" i="19" s="1"/>
  <c r="DR23" i="19" a="1"/>
  <c r="DR23" i="19" s="1"/>
  <c r="AC23" i="19" a="1"/>
  <c r="AC23" i="19" s="1"/>
  <c r="AA23" i="19" a="1"/>
  <c r="AA23" i="19" s="1"/>
  <c r="Y23" i="19" a="1"/>
  <c r="Y23" i="19" s="1"/>
  <c r="W23" i="19" a="1"/>
  <c r="W23" i="19" s="1"/>
  <c r="U23" i="19" a="1"/>
  <c r="U23" i="19" s="1"/>
  <c r="S23" i="19" a="1"/>
  <c r="S23" i="19" s="1"/>
  <c r="Q23" i="19" a="1"/>
  <c r="Q23" i="19" s="1"/>
  <c r="O23" i="19" a="1"/>
  <c r="O23" i="19" s="1"/>
  <c r="M23" i="19" a="1"/>
  <c r="M23" i="19" s="1"/>
  <c r="K23" i="19" a="1"/>
  <c r="K23" i="19" s="1"/>
  <c r="I23" i="19" a="1"/>
  <c r="I23" i="19" s="1"/>
  <c r="G23" i="19" a="1"/>
  <c r="G23" i="19" s="1"/>
  <c r="E23" i="19" a="1"/>
  <c r="E23" i="19" s="1"/>
  <c r="AB23" i="19" a="1"/>
  <c r="AB23" i="19" s="1"/>
  <c r="Z23" i="19" a="1"/>
  <c r="Z23" i="19" s="1"/>
  <c r="X23" i="19" a="1"/>
  <c r="X23" i="19" s="1"/>
  <c r="V23" i="19" a="1"/>
  <c r="V23" i="19" s="1"/>
  <c r="T23" i="19" a="1"/>
  <c r="T23" i="19" s="1"/>
  <c r="R23" i="19" a="1"/>
  <c r="R23" i="19" s="1"/>
  <c r="P23" i="19" a="1"/>
  <c r="P23" i="19" s="1"/>
  <c r="L23" i="19" a="1"/>
  <c r="L23" i="19" s="1"/>
  <c r="J23" i="19" a="1"/>
  <c r="J23" i="19" s="1"/>
  <c r="H23" i="19" a="1"/>
  <c r="H23" i="19" s="1"/>
  <c r="D23" i="19" a="1"/>
  <c r="D23" i="19" s="1"/>
  <c r="FK22" i="19" a="1"/>
  <c r="FK22" i="19" s="1"/>
  <c r="FI22" i="19" a="1"/>
  <c r="FI22" i="19" s="1"/>
  <c r="FG22" i="19" a="1"/>
  <c r="FG22" i="19" s="1"/>
  <c r="FE22" i="19" a="1"/>
  <c r="FE22" i="19" s="1"/>
  <c r="FC22" i="19" a="1"/>
  <c r="FC22" i="19" s="1"/>
  <c r="FA22" i="19" a="1"/>
  <c r="FA22" i="19" s="1"/>
  <c r="EY22" i="19" a="1"/>
  <c r="EY22" i="19" s="1"/>
  <c r="EU22" i="19" a="1"/>
  <c r="EU22" i="19" s="1"/>
  <c r="EE22" i="19" a="1"/>
  <c r="EE22" i="19" s="1"/>
  <c r="EC22" i="19" a="1"/>
  <c r="EC22" i="19" s="1"/>
  <c r="DW22" i="19" a="1"/>
  <c r="DW22" i="19" s="1"/>
  <c r="DR22" i="19" a="1"/>
  <c r="DR22" i="19" s="1"/>
  <c r="FL22" i="19" a="1"/>
  <c r="FL22" i="19" s="1"/>
  <c r="FJ22" i="19" a="1"/>
  <c r="FJ22" i="19" s="1"/>
  <c r="FH22" i="19" a="1"/>
  <c r="FH22" i="19" s="1"/>
  <c r="FF22" i="19" a="1"/>
  <c r="FF22" i="19" s="1"/>
  <c r="FD22" i="19" a="1"/>
  <c r="FD22" i="19" s="1"/>
  <c r="FB22" i="19" a="1"/>
  <c r="FB22" i="19" s="1"/>
  <c r="EZ22" i="19" a="1"/>
  <c r="EZ22" i="19" s="1"/>
  <c r="EV22" i="19" a="1"/>
  <c r="EV22" i="19" s="1"/>
  <c r="ET22" i="19" a="1"/>
  <c r="ET22" i="19" s="1"/>
  <c r="EF22" i="19" a="1"/>
  <c r="EF22" i="19" s="1"/>
  <c r="ED22" i="19" a="1"/>
  <c r="ED22" i="19" s="1"/>
  <c r="DX22" i="19" a="1"/>
  <c r="DX22" i="19" s="1"/>
  <c r="DQ22" i="19" a="1"/>
  <c r="DQ22" i="19" s="1"/>
  <c r="DI22" i="19" a="1"/>
  <c r="DI22" i="19" s="1"/>
  <c r="AC22" i="19" a="1"/>
  <c r="AC22" i="19" s="1"/>
  <c r="AA22" i="19" a="1"/>
  <c r="AA22" i="19" s="1"/>
  <c r="Y22" i="19" a="1"/>
  <c r="Y22" i="19" s="1"/>
  <c r="W22" i="19" a="1"/>
  <c r="W22" i="19" s="1"/>
  <c r="U22" i="19" a="1"/>
  <c r="U22" i="19" s="1"/>
  <c r="S22" i="19" a="1"/>
  <c r="S22" i="19" s="1"/>
  <c r="Q22" i="19" a="1"/>
  <c r="Q22" i="19" s="1"/>
  <c r="O22" i="19" a="1"/>
  <c r="O22" i="19" s="1"/>
  <c r="M22" i="19" a="1"/>
  <c r="M22" i="19" s="1"/>
  <c r="K22" i="19" a="1"/>
  <c r="K22" i="19" s="1"/>
  <c r="I22" i="19" a="1"/>
  <c r="I22" i="19" s="1"/>
  <c r="G22" i="19" a="1"/>
  <c r="G22" i="19" s="1"/>
  <c r="E22" i="19" a="1"/>
  <c r="E22" i="19" s="1"/>
  <c r="AB22" i="19" a="1"/>
  <c r="AB22" i="19" s="1"/>
  <c r="Z22" i="19" a="1"/>
  <c r="Z22" i="19" s="1"/>
  <c r="X22" i="19" a="1"/>
  <c r="X22" i="19" s="1"/>
  <c r="V22" i="19" a="1"/>
  <c r="V22" i="19" s="1"/>
  <c r="T22" i="19" a="1"/>
  <c r="T22" i="19" s="1"/>
  <c r="R22" i="19" a="1"/>
  <c r="R22" i="19" s="1"/>
  <c r="P22" i="19" a="1"/>
  <c r="P22" i="19" s="1"/>
  <c r="L22" i="19" a="1"/>
  <c r="L22" i="19" s="1"/>
  <c r="J22" i="19" a="1"/>
  <c r="J22" i="19" s="1"/>
  <c r="H22" i="19" a="1"/>
  <c r="H22" i="19" s="1"/>
  <c r="D22" i="19" a="1"/>
  <c r="D22" i="19" s="1"/>
  <c r="FK21" i="19" a="1"/>
  <c r="FK21" i="19" s="1"/>
  <c r="FI21" i="19" a="1"/>
  <c r="FI21" i="19" s="1"/>
  <c r="FG21" i="19" a="1"/>
  <c r="FG21" i="19" s="1"/>
  <c r="FE21" i="19" a="1"/>
  <c r="FE21" i="19" s="1"/>
  <c r="FC21" i="19" a="1"/>
  <c r="FC21" i="19" s="1"/>
  <c r="FA21" i="19" a="1"/>
  <c r="FA21" i="19" s="1"/>
  <c r="EY21" i="19" a="1"/>
  <c r="EY21" i="19" s="1"/>
  <c r="EU21" i="19" a="1"/>
  <c r="EU21" i="19" s="1"/>
  <c r="EE21" i="19" a="1"/>
  <c r="EE21" i="19" s="1"/>
  <c r="EC21" i="19" a="1"/>
  <c r="EC21" i="19" s="1"/>
  <c r="DW21" i="19" a="1"/>
  <c r="DW21" i="19" s="1"/>
  <c r="DQ21" i="19" a="1"/>
  <c r="DQ21" i="19" s="1"/>
  <c r="DI21" i="19" a="1"/>
  <c r="DI21" i="19" s="1"/>
  <c r="FL21" i="19" a="1"/>
  <c r="FL21" i="19" s="1"/>
  <c r="FJ21" i="19" a="1"/>
  <c r="FJ21" i="19" s="1"/>
  <c r="FH21" i="19" a="1"/>
  <c r="FH21" i="19" s="1"/>
  <c r="FF21" i="19" a="1"/>
  <c r="FF21" i="19" s="1"/>
  <c r="FD21" i="19" a="1"/>
  <c r="FD21" i="19" s="1"/>
  <c r="FB21" i="19" a="1"/>
  <c r="FB21" i="19" s="1"/>
  <c r="EZ21" i="19" a="1"/>
  <c r="EZ21" i="19" s="1"/>
  <c r="EV21" i="19" a="1"/>
  <c r="EV21" i="19" s="1"/>
  <c r="ET21" i="19" a="1"/>
  <c r="ET21" i="19" s="1"/>
  <c r="EF21" i="19" a="1"/>
  <c r="EF21" i="19" s="1"/>
  <c r="ED21" i="19" a="1"/>
  <c r="ED21" i="19" s="1"/>
  <c r="DX21" i="19" a="1"/>
  <c r="DX21" i="19" s="1"/>
  <c r="DR21" i="19" a="1"/>
  <c r="DR21" i="19" s="1"/>
  <c r="AC21" i="19" a="1"/>
  <c r="AC21" i="19" s="1"/>
  <c r="AA21" i="19" a="1"/>
  <c r="AA21" i="19" s="1"/>
  <c r="Y21" i="19" a="1"/>
  <c r="Y21" i="19" s="1"/>
  <c r="W21" i="19" a="1"/>
  <c r="W21" i="19" s="1"/>
  <c r="U21" i="19" a="1"/>
  <c r="U21" i="19" s="1"/>
  <c r="S21" i="19" a="1"/>
  <c r="S21" i="19" s="1"/>
  <c r="Q21" i="19" a="1"/>
  <c r="Q21" i="19" s="1"/>
  <c r="O21" i="19" a="1"/>
  <c r="O21" i="19" s="1"/>
  <c r="M21" i="19" a="1"/>
  <c r="M21" i="19" s="1"/>
  <c r="K21" i="19" a="1"/>
  <c r="K21" i="19" s="1"/>
  <c r="I21" i="19" a="1"/>
  <c r="I21" i="19" s="1"/>
  <c r="G21" i="19" a="1"/>
  <c r="G21" i="19" s="1"/>
  <c r="E21" i="19" a="1"/>
  <c r="E21" i="19" s="1"/>
  <c r="AB21" i="19" a="1"/>
  <c r="AB21" i="19" s="1"/>
  <c r="Z21" i="19" a="1"/>
  <c r="Z21" i="19" s="1"/>
  <c r="X21" i="19" a="1"/>
  <c r="X21" i="19" s="1"/>
  <c r="V21" i="19" a="1"/>
  <c r="V21" i="19" s="1"/>
  <c r="T21" i="19" a="1"/>
  <c r="T21" i="19" s="1"/>
  <c r="R21" i="19" a="1"/>
  <c r="R21" i="19" s="1"/>
  <c r="P21" i="19" a="1"/>
  <c r="P21" i="19" s="1"/>
  <c r="L21" i="19" a="1"/>
  <c r="L21" i="19" s="1"/>
  <c r="J21" i="19" a="1"/>
  <c r="J21" i="19" s="1"/>
  <c r="H21" i="19" a="1"/>
  <c r="H21" i="19" s="1"/>
  <c r="D21" i="19" a="1"/>
  <c r="D21" i="19" s="1"/>
  <c r="FK20" i="19" a="1"/>
  <c r="FK20" i="19" s="1"/>
  <c r="FI20" i="19" a="1"/>
  <c r="FI20" i="19" s="1"/>
  <c r="FG20" i="19" a="1"/>
  <c r="FG20" i="19" s="1"/>
  <c r="FE20" i="19" a="1"/>
  <c r="FE20" i="19" s="1"/>
  <c r="FC20" i="19" a="1"/>
  <c r="FC20" i="19" s="1"/>
  <c r="FA20" i="19" a="1"/>
  <c r="FA20" i="19" s="1"/>
  <c r="EY20" i="19" a="1"/>
  <c r="EY20" i="19" s="1"/>
  <c r="EU20" i="19" a="1"/>
  <c r="EU20" i="19" s="1"/>
  <c r="EE20" i="19" a="1"/>
  <c r="EE20" i="19" s="1"/>
  <c r="EC20" i="19" a="1"/>
  <c r="EC20" i="19" s="1"/>
  <c r="DW20" i="19" a="1"/>
  <c r="DW20" i="19" s="1"/>
  <c r="DQ20" i="19" a="1"/>
  <c r="DQ20" i="19" s="1"/>
  <c r="DI20" i="19" a="1"/>
  <c r="DI20" i="19" s="1"/>
  <c r="FL20" i="19" a="1"/>
  <c r="FL20" i="19" s="1"/>
  <c r="FJ20" i="19" a="1"/>
  <c r="FJ20" i="19" s="1"/>
  <c r="FH20" i="19" a="1"/>
  <c r="FH20" i="19" s="1"/>
  <c r="FF20" i="19" a="1"/>
  <c r="FF20" i="19" s="1"/>
  <c r="FD20" i="19" a="1"/>
  <c r="FD20" i="19" s="1"/>
  <c r="FB20" i="19" a="1"/>
  <c r="FB20" i="19" s="1"/>
  <c r="EZ20" i="19" a="1"/>
  <c r="EZ20" i="19" s="1"/>
  <c r="EV20" i="19" a="1"/>
  <c r="EV20" i="19" s="1"/>
  <c r="ET20" i="19" a="1"/>
  <c r="ET20" i="19" s="1"/>
  <c r="EF20" i="19" a="1"/>
  <c r="EF20" i="19" s="1"/>
  <c r="ED20" i="19" a="1"/>
  <c r="ED20" i="19" s="1"/>
  <c r="DX20" i="19" a="1"/>
  <c r="DX20" i="19" s="1"/>
  <c r="DR20" i="19" a="1"/>
  <c r="DR20" i="19" s="1"/>
  <c r="AC20" i="19" a="1"/>
  <c r="AC20" i="19" s="1"/>
  <c r="AA20" i="19" a="1"/>
  <c r="AA20" i="19" s="1"/>
  <c r="Y20" i="19" a="1"/>
  <c r="Y20" i="19" s="1"/>
  <c r="W20" i="19" a="1"/>
  <c r="W20" i="19" s="1"/>
  <c r="U20" i="19" a="1"/>
  <c r="U20" i="19" s="1"/>
  <c r="S20" i="19" a="1"/>
  <c r="S20" i="19" s="1"/>
  <c r="Q20" i="19" a="1"/>
  <c r="Q20" i="19" s="1"/>
  <c r="O20" i="19" a="1"/>
  <c r="O20" i="19" s="1"/>
  <c r="M20" i="19" a="1"/>
  <c r="M20" i="19" s="1"/>
  <c r="K20" i="19" a="1"/>
  <c r="K20" i="19" s="1"/>
  <c r="I20" i="19" a="1"/>
  <c r="I20" i="19" s="1"/>
  <c r="G20" i="19" a="1"/>
  <c r="G20" i="19" s="1"/>
  <c r="E20" i="19" a="1"/>
  <c r="E20" i="19" s="1"/>
  <c r="AB20" i="19" a="1"/>
  <c r="AB20" i="19" s="1"/>
  <c r="Z20" i="19" a="1"/>
  <c r="Z20" i="19" s="1"/>
  <c r="X20" i="19" a="1"/>
  <c r="X20" i="19" s="1"/>
  <c r="V20" i="19" a="1"/>
  <c r="V20" i="19" s="1"/>
  <c r="T20" i="19" a="1"/>
  <c r="T20" i="19" s="1"/>
  <c r="R20" i="19" a="1"/>
  <c r="R20" i="19" s="1"/>
  <c r="P20" i="19" a="1"/>
  <c r="P20" i="19" s="1"/>
  <c r="L20" i="19" a="1"/>
  <c r="L20" i="19" s="1"/>
  <c r="J20" i="19" a="1"/>
  <c r="J20" i="19" s="1"/>
  <c r="H20" i="19" a="1"/>
  <c r="H20" i="19" s="1"/>
  <c r="D20" i="19" a="1"/>
  <c r="D20" i="19" s="1"/>
  <c r="HI24" i="19" a="1"/>
  <c r="HI24" i="19" s="1"/>
  <c r="HI23" i="19" a="1"/>
  <c r="HI23" i="19" s="1"/>
  <c r="HI22" i="19" a="1"/>
  <c r="HI22" i="19" s="1"/>
  <c r="HI21" i="19" a="1"/>
  <c r="HI21" i="19" s="1"/>
  <c r="HI20" i="19" a="1"/>
  <c r="HI20" i="19" s="1"/>
  <c r="HI19" i="19" a="1"/>
  <c r="HI19" i="19" s="1"/>
  <c r="HI18" i="19" a="1"/>
  <c r="HI18" i="19" s="1"/>
  <c r="FK19" i="19" a="1"/>
  <c r="FK19" i="19" s="1"/>
  <c r="FI19" i="19" a="1"/>
  <c r="FI19" i="19" s="1"/>
  <c r="FG19" i="19" a="1"/>
  <c r="FG19" i="19" s="1"/>
  <c r="FE19" i="19" a="1"/>
  <c r="FE19" i="19" s="1"/>
  <c r="FC19" i="19" a="1"/>
  <c r="FC19" i="19" s="1"/>
  <c r="FA19" i="19" a="1"/>
  <c r="FA19" i="19" s="1"/>
  <c r="EY19" i="19" a="1"/>
  <c r="EY19" i="19" s="1"/>
  <c r="EU19" i="19" a="1"/>
  <c r="EU19" i="19" s="1"/>
  <c r="EE19" i="19" a="1"/>
  <c r="EE19" i="19" s="1"/>
  <c r="EC19" i="19" a="1"/>
  <c r="EC19" i="19" s="1"/>
  <c r="DW19" i="19" a="1"/>
  <c r="DW19" i="19" s="1"/>
  <c r="DQ19" i="19" a="1"/>
  <c r="DQ19" i="19" s="1"/>
  <c r="DI19" i="19" a="1"/>
  <c r="DI19" i="19" s="1"/>
  <c r="HJ24" i="19" a="1"/>
  <c r="HJ24" i="19" s="1"/>
  <c r="HJ23" i="19" a="1"/>
  <c r="HJ23" i="19" s="1"/>
  <c r="HJ22" i="19" a="1"/>
  <c r="HJ22" i="19" s="1"/>
  <c r="HJ21" i="19" a="1"/>
  <c r="HJ21" i="19" s="1"/>
  <c r="HJ20" i="19" a="1"/>
  <c r="HJ20" i="19" s="1"/>
  <c r="HJ19" i="19" a="1"/>
  <c r="HJ19" i="19" s="1"/>
  <c r="HJ18" i="19" a="1"/>
  <c r="HJ18" i="19" s="1"/>
  <c r="FL19" i="19" a="1"/>
  <c r="FL19" i="19" s="1"/>
  <c r="FJ19" i="19" a="1"/>
  <c r="FJ19" i="19" s="1"/>
  <c r="FH19" i="19" a="1"/>
  <c r="FH19" i="19" s="1"/>
  <c r="FF19" i="19" a="1"/>
  <c r="FF19" i="19" s="1"/>
  <c r="FD19" i="19" a="1"/>
  <c r="FD19" i="19" s="1"/>
  <c r="FB19" i="19" a="1"/>
  <c r="FB19" i="19" s="1"/>
  <c r="EZ19" i="19" a="1"/>
  <c r="EZ19" i="19" s="1"/>
  <c r="EV19" i="19" a="1"/>
  <c r="EV19" i="19" s="1"/>
  <c r="ET19" i="19" a="1"/>
  <c r="ET19" i="19" s="1"/>
  <c r="EF19" i="19" a="1"/>
  <c r="EF19" i="19" s="1"/>
  <c r="ED19" i="19" a="1"/>
  <c r="ED19" i="19" s="1"/>
  <c r="DX19" i="19" a="1"/>
  <c r="DX19" i="19" s="1"/>
  <c r="DR19" i="19" a="1"/>
  <c r="DR19" i="19" s="1"/>
  <c r="AC19" i="19" a="1"/>
  <c r="AC19" i="19" s="1"/>
  <c r="AA19" i="19" a="1"/>
  <c r="AA19" i="19" s="1"/>
  <c r="Y19" i="19" a="1"/>
  <c r="Y19" i="19" s="1"/>
  <c r="W19" i="19" a="1"/>
  <c r="W19" i="19" s="1"/>
  <c r="U19" i="19" a="1"/>
  <c r="U19" i="19" s="1"/>
  <c r="S19" i="19" a="1"/>
  <c r="S19" i="19" s="1"/>
  <c r="Q19" i="19" a="1"/>
  <c r="Q19" i="19" s="1"/>
  <c r="O19" i="19" a="1"/>
  <c r="O19" i="19" s="1"/>
  <c r="M19" i="19" a="1"/>
  <c r="M19" i="19" s="1"/>
  <c r="K19" i="19" a="1"/>
  <c r="K19" i="19" s="1"/>
  <c r="I19" i="19" a="1"/>
  <c r="I19" i="19" s="1"/>
  <c r="G19" i="19" a="1"/>
  <c r="G19" i="19" s="1"/>
  <c r="E19" i="19" a="1"/>
  <c r="E19" i="19" s="1"/>
  <c r="AB19" i="19" a="1"/>
  <c r="AB19" i="19" s="1"/>
  <c r="Z19" i="19" a="1"/>
  <c r="Z19" i="19" s="1"/>
  <c r="X19" i="19" a="1"/>
  <c r="X19" i="19" s="1"/>
  <c r="V19" i="19" a="1"/>
  <c r="V19" i="19" s="1"/>
  <c r="T19" i="19" a="1"/>
  <c r="T19" i="19" s="1"/>
  <c r="R19" i="19" a="1"/>
  <c r="R19" i="19" s="1"/>
  <c r="P19" i="19" a="1"/>
  <c r="P19" i="19" s="1"/>
  <c r="L19" i="19" a="1"/>
  <c r="L19" i="19" s="1"/>
  <c r="J19" i="19" a="1"/>
  <c r="J19" i="19" s="1"/>
  <c r="H19" i="19" a="1"/>
  <c r="H19" i="19" s="1"/>
  <c r="D19" i="19" a="1"/>
  <c r="D19" i="19" s="1"/>
  <c r="FK18" i="19" a="1"/>
  <c r="FK18" i="19" s="1"/>
  <c r="FI18" i="19" a="1"/>
  <c r="FI18" i="19" s="1"/>
  <c r="FG18" i="19" a="1"/>
  <c r="FG18" i="19" s="1"/>
  <c r="FE18" i="19" a="1"/>
  <c r="FE18" i="19" s="1"/>
  <c r="FC18" i="19" a="1"/>
  <c r="FC18" i="19" s="1"/>
  <c r="FA18" i="19" a="1"/>
  <c r="FA18" i="19" s="1"/>
  <c r="EY18" i="19" a="1"/>
  <c r="EY18" i="19" s="1"/>
  <c r="EU18" i="19" a="1"/>
  <c r="EU18" i="19" s="1"/>
  <c r="EE18" i="19" a="1"/>
  <c r="EE18" i="19" s="1"/>
  <c r="EC18" i="19" a="1"/>
  <c r="EC18" i="19" s="1"/>
  <c r="DW18" i="19" a="1"/>
  <c r="DW18" i="19" s="1"/>
  <c r="DQ18" i="19" a="1"/>
  <c r="DQ18" i="19" s="1"/>
  <c r="DI18" i="19" a="1"/>
  <c r="DI18" i="19" s="1"/>
  <c r="FL18" i="19" a="1"/>
  <c r="FL18" i="19" s="1"/>
  <c r="FJ18" i="19" a="1"/>
  <c r="FJ18" i="19" s="1"/>
  <c r="FH18" i="19" a="1"/>
  <c r="FH18" i="19" s="1"/>
  <c r="FF18" i="19" a="1"/>
  <c r="FF18" i="19" s="1"/>
  <c r="FD18" i="19" a="1"/>
  <c r="FD18" i="19" s="1"/>
  <c r="FB18" i="19" a="1"/>
  <c r="FB18" i="19" s="1"/>
  <c r="EZ18" i="19" a="1"/>
  <c r="EZ18" i="19" s="1"/>
  <c r="EV18" i="19" a="1"/>
  <c r="EV18" i="19" s="1"/>
  <c r="ET18" i="19" a="1"/>
  <c r="ET18" i="19" s="1"/>
  <c r="EF18" i="19" a="1"/>
  <c r="EF18" i="19" s="1"/>
  <c r="ED18" i="19" a="1"/>
  <c r="ED18" i="19" s="1"/>
  <c r="DX18" i="19" a="1"/>
  <c r="DX18" i="19" s="1"/>
  <c r="DR18" i="19" a="1"/>
  <c r="DR18" i="19" s="1"/>
  <c r="AC18" i="19" a="1"/>
  <c r="AC18" i="19" s="1"/>
  <c r="AA18" i="19" a="1"/>
  <c r="AA18" i="19" s="1"/>
  <c r="Y18" i="19" a="1"/>
  <c r="Y18" i="19" s="1"/>
  <c r="W18" i="19" a="1"/>
  <c r="W18" i="19" s="1"/>
  <c r="U18" i="19" a="1"/>
  <c r="U18" i="19" s="1"/>
  <c r="S18" i="19" a="1"/>
  <c r="S18" i="19" s="1"/>
  <c r="Q18" i="19" a="1"/>
  <c r="Q18" i="19" s="1"/>
  <c r="O18" i="19" a="1"/>
  <c r="O18" i="19" s="1"/>
  <c r="M18" i="19" a="1"/>
  <c r="M18" i="19" s="1"/>
  <c r="K18" i="19" a="1"/>
  <c r="K18" i="19" s="1"/>
  <c r="I18" i="19" a="1"/>
  <c r="I18" i="19" s="1"/>
  <c r="G18" i="19" a="1"/>
  <c r="G18" i="19" s="1"/>
  <c r="E18" i="19" a="1"/>
  <c r="E18" i="19" s="1"/>
  <c r="AB18" i="19" a="1"/>
  <c r="AB18" i="19" s="1"/>
  <c r="Z18" i="19" a="1"/>
  <c r="Z18" i="19" s="1"/>
  <c r="X18" i="19" a="1"/>
  <c r="X18" i="19" s="1"/>
  <c r="V18" i="19" a="1"/>
  <c r="V18" i="19" s="1"/>
  <c r="T18" i="19" a="1"/>
  <c r="T18" i="19" s="1"/>
  <c r="R18" i="19" a="1"/>
  <c r="R18" i="19" s="1"/>
  <c r="P18" i="19" a="1"/>
  <c r="P18" i="19" s="1"/>
  <c r="L18" i="19" a="1"/>
  <c r="L18" i="19" s="1"/>
  <c r="J18" i="19" a="1"/>
  <c r="J18" i="19" s="1"/>
  <c r="H18" i="19" a="1"/>
  <c r="H18" i="19" s="1"/>
  <c r="D18" i="19" a="1"/>
  <c r="D18" i="19" s="1"/>
  <c r="HJ17" i="19" a="1"/>
  <c r="HJ17" i="19" s="1"/>
  <c r="FL17" i="19" a="1"/>
  <c r="FL17" i="19" s="1"/>
  <c r="FJ17" i="19" a="1"/>
  <c r="FJ17" i="19" s="1"/>
  <c r="FH17" i="19" a="1"/>
  <c r="FH17" i="19" s="1"/>
  <c r="FF17" i="19" a="1"/>
  <c r="FF17" i="19" s="1"/>
  <c r="FD17" i="19" a="1"/>
  <c r="FD17" i="19" s="1"/>
  <c r="FB17" i="19" a="1"/>
  <c r="FB17" i="19" s="1"/>
  <c r="EZ17" i="19" a="1"/>
  <c r="EZ17" i="19" s="1"/>
  <c r="EV17" i="19" a="1"/>
  <c r="EV17" i="19" s="1"/>
  <c r="ET17" i="19" a="1"/>
  <c r="ET17" i="19" s="1"/>
  <c r="EF17" i="19" a="1"/>
  <c r="EF17" i="19" s="1"/>
  <c r="ED17" i="19" a="1"/>
  <c r="ED17" i="19" s="1"/>
  <c r="DX17" i="19" a="1"/>
  <c r="DX17" i="19" s="1"/>
  <c r="DR17" i="19" a="1"/>
  <c r="DR17" i="19" s="1"/>
  <c r="HI17" i="19" a="1"/>
  <c r="HI17" i="19" s="1"/>
  <c r="FK17" i="19" a="1"/>
  <c r="FK17" i="19" s="1"/>
  <c r="FI17" i="19" a="1"/>
  <c r="FI17" i="19" s="1"/>
  <c r="FG17" i="19" a="1"/>
  <c r="FG17" i="19" s="1"/>
  <c r="FE17" i="19" a="1"/>
  <c r="FE17" i="19" s="1"/>
  <c r="FC17" i="19" a="1"/>
  <c r="FC17" i="19" s="1"/>
  <c r="FA17" i="19" a="1"/>
  <c r="FA17" i="19" s="1"/>
  <c r="EY17" i="19" a="1"/>
  <c r="EY17" i="19" s="1"/>
  <c r="EU17" i="19" a="1"/>
  <c r="EU17" i="19" s="1"/>
  <c r="EE17" i="19" a="1"/>
  <c r="EE17" i="19" s="1"/>
  <c r="EC17" i="19" a="1"/>
  <c r="EC17" i="19" s="1"/>
  <c r="DW17" i="19" a="1"/>
  <c r="DW17" i="19" s="1"/>
  <c r="DQ17" i="19" a="1"/>
  <c r="DQ17" i="19" s="1"/>
  <c r="DI17" i="19" a="1"/>
  <c r="DI17" i="19" s="1"/>
  <c r="AC17" i="19" a="1"/>
  <c r="AC17" i="19" s="1"/>
  <c r="AA17" i="19" a="1"/>
  <c r="AA17" i="19" s="1"/>
  <c r="Y17" i="19" a="1"/>
  <c r="Y17" i="19" s="1"/>
  <c r="W17" i="19" a="1"/>
  <c r="W17" i="19" s="1"/>
  <c r="U17" i="19" a="1"/>
  <c r="U17" i="19" s="1"/>
  <c r="S17" i="19" a="1"/>
  <c r="S17" i="19" s="1"/>
  <c r="Q17" i="19" a="1"/>
  <c r="Q17" i="19" s="1"/>
  <c r="O17" i="19" a="1"/>
  <c r="O17" i="19" s="1"/>
  <c r="M17" i="19" a="1"/>
  <c r="M17" i="19" s="1"/>
  <c r="K17" i="19" a="1"/>
  <c r="K17" i="19" s="1"/>
  <c r="I17" i="19" a="1"/>
  <c r="I17" i="19" s="1"/>
  <c r="G17" i="19" a="1"/>
  <c r="G17" i="19" s="1"/>
  <c r="E17" i="19" a="1"/>
  <c r="E17" i="19" s="1"/>
  <c r="AB17" i="19" a="1"/>
  <c r="AB17" i="19" s="1"/>
  <c r="Z17" i="19" a="1"/>
  <c r="Z17" i="19" s="1"/>
  <c r="X17" i="19" a="1"/>
  <c r="X17" i="19" s="1"/>
  <c r="V17" i="19" a="1"/>
  <c r="V17" i="19" s="1"/>
  <c r="T17" i="19" a="1"/>
  <c r="T17" i="19" s="1"/>
  <c r="R17" i="19" a="1"/>
  <c r="R17" i="19" s="1"/>
  <c r="P17" i="19" a="1"/>
  <c r="P17" i="19" s="1"/>
  <c r="L17" i="19" a="1"/>
  <c r="L17" i="19" s="1"/>
  <c r="J17" i="19" a="1"/>
  <c r="J17" i="19" s="1"/>
  <c r="H17" i="19" a="1"/>
  <c r="H17" i="19" s="1"/>
  <c r="D17" i="19" a="1"/>
  <c r="D17" i="19" s="1"/>
  <c r="HJ16" i="19" a="1"/>
  <c r="HJ16" i="19" s="1"/>
  <c r="FL16" i="19" a="1"/>
  <c r="FL16" i="19" s="1"/>
  <c r="FJ16" i="19" a="1"/>
  <c r="FJ16" i="19" s="1"/>
  <c r="FH16" i="19" a="1"/>
  <c r="FH16" i="19" s="1"/>
  <c r="FF16" i="19" a="1"/>
  <c r="FF16" i="19" s="1"/>
  <c r="FD16" i="19" a="1"/>
  <c r="FD16" i="19" s="1"/>
  <c r="FB16" i="19" a="1"/>
  <c r="FB16" i="19" s="1"/>
  <c r="EZ16" i="19" a="1"/>
  <c r="EZ16" i="19" s="1"/>
  <c r="EV16" i="19" a="1"/>
  <c r="EV16" i="19" s="1"/>
  <c r="ET16" i="19" a="1"/>
  <c r="ET16" i="19" s="1"/>
  <c r="EF16" i="19" a="1"/>
  <c r="EF16" i="19" s="1"/>
  <c r="ED16" i="19" a="1"/>
  <c r="ED16" i="19" s="1"/>
  <c r="DX16" i="19" a="1"/>
  <c r="DX16" i="19" s="1"/>
  <c r="DR16" i="19" a="1"/>
  <c r="DR16" i="19" s="1"/>
  <c r="HI16" i="19" a="1"/>
  <c r="HI16" i="19" s="1"/>
  <c r="FK16" i="19" a="1"/>
  <c r="FK16" i="19" s="1"/>
  <c r="FI16" i="19" a="1"/>
  <c r="FI16" i="19" s="1"/>
  <c r="FG16" i="19" a="1"/>
  <c r="FG16" i="19" s="1"/>
  <c r="FE16" i="19" a="1"/>
  <c r="FE16" i="19" s="1"/>
  <c r="FC16" i="19" a="1"/>
  <c r="FC16" i="19" s="1"/>
  <c r="FA16" i="19" a="1"/>
  <c r="FA16" i="19" s="1"/>
  <c r="EY16" i="19" a="1"/>
  <c r="EY16" i="19" s="1"/>
  <c r="EU16" i="19" a="1"/>
  <c r="EU16" i="19" s="1"/>
  <c r="EE16" i="19" a="1"/>
  <c r="EE16" i="19" s="1"/>
  <c r="EC16" i="19" a="1"/>
  <c r="EC16" i="19" s="1"/>
  <c r="DW16" i="19" a="1"/>
  <c r="DW16" i="19" s="1"/>
  <c r="DQ16" i="19" a="1"/>
  <c r="DQ16" i="19" s="1"/>
  <c r="DI16" i="19" a="1"/>
  <c r="DI16" i="19" s="1"/>
  <c r="AC16" i="19" a="1"/>
  <c r="AC16" i="19" s="1"/>
  <c r="AA16" i="19" a="1"/>
  <c r="AA16" i="19" s="1"/>
  <c r="Y16" i="19" a="1"/>
  <c r="Y16" i="19" s="1"/>
  <c r="W16" i="19" a="1"/>
  <c r="W16" i="19" s="1"/>
  <c r="U16" i="19" a="1"/>
  <c r="U16" i="19" s="1"/>
  <c r="S16" i="19" a="1"/>
  <c r="S16" i="19" s="1"/>
  <c r="Q16" i="19" a="1"/>
  <c r="Q16" i="19" s="1"/>
  <c r="O16" i="19" a="1"/>
  <c r="O16" i="19" s="1"/>
  <c r="M16" i="19" a="1"/>
  <c r="M16" i="19" s="1"/>
  <c r="K16" i="19" a="1"/>
  <c r="K16" i="19" s="1"/>
  <c r="I16" i="19" a="1"/>
  <c r="I16" i="19" s="1"/>
  <c r="G16" i="19" a="1"/>
  <c r="G16" i="19" s="1"/>
  <c r="E16" i="19" a="1"/>
  <c r="E16" i="19" s="1"/>
  <c r="AB16" i="19" a="1"/>
  <c r="AB16" i="19" s="1"/>
  <c r="Z16" i="19" a="1"/>
  <c r="Z16" i="19" s="1"/>
  <c r="X16" i="19" a="1"/>
  <c r="X16" i="19" s="1"/>
  <c r="V16" i="19" a="1"/>
  <c r="V16" i="19" s="1"/>
  <c r="T16" i="19" a="1"/>
  <c r="T16" i="19" s="1"/>
  <c r="R16" i="19" a="1"/>
  <c r="R16" i="19" s="1"/>
  <c r="P16" i="19" a="1"/>
  <c r="P16" i="19" s="1"/>
  <c r="L16" i="19" a="1"/>
  <c r="L16" i="19" s="1"/>
  <c r="J16" i="19" a="1"/>
  <c r="J16" i="19" s="1"/>
  <c r="H16" i="19" a="1"/>
  <c r="H16" i="19" s="1"/>
  <c r="D16" i="19" a="1"/>
  <c r="D16" i="19" s="1"/>
  <c r="HJ15" i="19" a="1"/>
  <c r="HJ15" i="19" s="1"/>
  <c r="FL15" i="19" a="1"/>
  <c r="FL15" i="19" s="1"/>
  <c r="FJ15" i="19" a="1"/>
  <c r="FJ15" i="19" s="1"/>
  <c r="FH15" i="19" a="1"/>
  <c r="FH15" i="19" s="1"/>
  <c r="FF15" i="19" a="1"/>
  <c r="FF15" i="19" s="1"/>
  <c r="FD15" i="19" a="1"/>
  <c r="FD15" i="19" s="1"/>
  <c r="FB15" i="19" a="1"/>
  <c r="FB15" i="19" s="1"/>
  <c r="EZ15" i="19" a="1"/>
  <c r="EZ15" i="19" s="1"/>
  <c r="EV15" i="19" a="1"/>
  <c r="EV15" i="19" s="1"/>
  <c r="ET15" i="19" a="1"/>
  <c r="ET15" i="19" s="1"/>
  <c r="EF15" i="19" a="1"/>
  <c r="EF15" i="19" s="1"/>
  <c r="ED15" i="19" a="1"/>
  <c r="ED15" i="19" s="1"/>
  <c r="DX15" i="19" a="1"/>
  <c r="DX15" i="19" s="1"/>
  <c r="DR15" i="19" a="1"/>
  <c r="DR15" i="19" s="1"/>
  <c r="HI15" i="19" a="1"/>
  <c r="HI15" i="19" s="1"/>
  <c r="FK15" i="19" a="1"/>
  <c r="FK15" i="19" s="1"/>
  <c r="FI15" i="19" a="1"/>
  <c r="FI15" i="19" s="1"/>
  <c r="FG15" i="19" a="1"/>
  <c r="FG15" i="19" s="1"/>
  <c r="FE15" i="19" a="1"/>
  <c r="FE15" i="19" s="1"/>
  <c r="FC15" i="19" a="1"/>
  <c r="FC15" i="19" s="1"/>
  <c r="FA15" i="19" a="1"/>
  <c r="FA15" i="19" s="1"/>
  <c r="EY15" i="19" a="1"/>
  <c r="EY15" i="19" s="1"/>
  <c r="EU15" i="19" a="1"/>
  <c r="EU15" i="19" s="1"/>
  <c r="EE15" i="19" a="1"/>
  <c r="EE15" i="19" s="1"/>
  <c r="EC15" i="19" a="1"/>
  <c r="EC15" i="19" s="1"/>
  <c r="DW15" i="19" a="1"/>
  <c r="DW15" i="19" s="1"/>
  <c r="DQ15" i="19" a="1"/>
  <c r="DQ15" i="19" s="1"/>
  <c r="DI15" i="19" a="1"/>
  <c r="DI15" i="19" s="1"/>
  <c r="AC15" i="19" a="1"/>
  <c r="AC15" i="19" s="1"/>
  <c r="AA15" i="19" a="1"/>
  <c r="AA15" i="19" s="1"/>
  <c r="Y15" i="19" a="1"/>
  <c r="Y15" i="19" s="1"/>
  <c r="W15" i="19" a="1"/>
  <c r="W15" i="19" s="1"/>
  <c r="U15" i="19" a="1"/>
  <c r="U15" i="19" s="1"/>
  <c r="S15" i="19" a="1"/>
  <c r="S15" i="19" s="1"/>
  <c r="Q15" i="19" a="1"/>
  <c r="Q15" i="19" s="1"/>
  <c r="O15" i="19" a="1"/>
  <c r="O15" i="19" s="1"/>
  <c r="M15" i="19" a="1"/>
  <c r="M15" i="19" s="1"/>
  <c r="K15" i="19" a="1"/>
  <c r="K15" i="19" s="1"/>
  <c r="I15" i="19" a="1"/>
  <c r="I15" i="19" s="1"/>
  <c r="G15" i="19" a="1"/>
  <c r="G15" i="19" s="1"/>
  <c r="E15" i="19" a="1"/>
  <c r="E15" i="19" s="1"/>
  <c r="AB15" i="19" a="1"/>
  <c r="AB15" i="19" s="1"/>
  <c r="Z15" i="19" a="1"/>
  <c r="Z15" i="19" s="1"/>
  <c r="X15" i="19" a="1"/>
  <c r="X15" i="19" s="1"/>
  <c r="V15" i="19" a="1"/>
  <c r="V15" i="19" s="1"/>
  <c r="T15" i="19" a="1"/>
  <c r="T15" i="19" s="1"/>
  <c r="R15" i="19" a="1"/>
  <c r="R15" i="19" s="1"/>
  <c r="P15" i="19" a="1"/>
  <c r="P15" i="19" s="1"/>
  <c r="L15" i="19" a="1"/>
  <c r="L15" i="19" s="1"/>
  <c r="J15" i="19" a="1"/>
  <c r="J15" i="19" s="1"/>
  <c r="H15" i="19" a="1"/>
  <c r="H15" i="19" s="1"/>
  <c r="D15" i="19" a="1"/>
  <c r="D15" i="19" s="1"/>
  <c r="HJ14" i="19" a="1"/>
  <c r="HJ14" i="19" s="1"/>
  <c r="FL14" i="19" a="1"/>
  <c r="FL14" i="19" s="1"/>
  <c r="FJ14" i="19" a="1"/>
  <c r="FJ14" i="19" s="1"/>
  <c r="FH14" i="19" a="1"/>
  <c r="FH14" i="19" s="1"/>
  <c r="FF14" i="19" a="1"/>
  <c r="FF14" i="19" s="1"/>
  <c r="FD14" i="19" a="1"/>
  <c r="FD14" i="19" s="1"/>
  <c r="FB14" i="19" a="1"/>
  <c r="FB14" i="19" s="1"/>
  <c r="EZ14" i="19" a="1"/>
  <c r="EZ14" i="19" s="1"/>
  <c r="EV14" i="19" a="1"/>
  <c r="EV14" i="19" s="1"/>
  <c r="ET14" i="19" a="1"/>
  <c r="ET14" i="19" s="1"/>
  <c r="EF14" i="19" a="1"/>
  <c r="EF14" i="19" s="1"/>
  <c r="ED14" i="19" a="1"/>
  <c r="ED14" i="19" s="1"/>
  <c r="DX14" i="19" a="1"/>
  <c r="DX14" i="19" s="1"/>
  <c r="DR14" i="19" a="1"/>
  <c r="DR14" i="19" s="1"/>
  <c r="HI14" i="19" a="1"/>
  <c r="HI14" i="19" s="1"/>
  <c r="FK14" i="19" a="1"/>
  <c r="FK14" i="19" s="1"/>
  <c r="FI14" i="19" a="1"/>
  <c r="FI14" i="19" s="1"/>
  <c r="FG14" i="19" a="1"/>
  <c r="FG14" i="19" s="1"/>
  <c r="FE14" i="19" a="1"/>
  <c r="FE14" i="19" s="1"/>
  <c r="FC14" i="19" a="1"/>
  <c r="FC14" i="19" s="1"/>
  <c r="FA14" i="19" a="1"/>
  <c r="FA14" i="19" s="1"/>
  <c r="EY14" i="19" a="1"/>
  <c r="EY14" i="19" s="1"/>
  <c r="EU14" i="19" a="1"/>
  <c r="EU14" i="19" s="1"/>
  <c r="EE14" i="19" a="1"/>
  <c r="EE14" i="19" s="1"/>
  <c r="EC14" i="19" a="1"/>
  <c r="EC14" i="19" s="1"/>
  <c r="DW14" i="19" a="1"/>
  <c r="DW14" i="19" s="1"/>
  <c r="DQ14" i="19" a="1"/>
  <c r="DQ14" i="19" s="1"/>
  <c r="DI14" i="19" a="1"/>
  <c r="DI14" i="19" s="1"/>
  <c r="AC14" i="19" a="1"/>
  <c r="AC14" i="19" s="1"/>
  <c r="AA14" i="19" a="1"/>
  <c r="AA14" i="19" s="1"/>
  <c r="Y14" i="19" a="1"/>
  <c r="Y14" i="19" s="1"/>
  <c r="W14" i="19" a="1"/>
  <c r="W14" i="19" s="1"/>
  <c r="U14" i="19" a="1"/>
  <c r="U14" i="19" s="1"/>
  <c r="S14" i="19" a="1"/>
  <c r="S14" i="19" s="1"/>
  <c r="Q14" i="19" a="1"/>
  <c r="Q14" i="19" s="1"/>
  <c r="O14" i="19" a="1"/>
  <c r="O14" i="19" s="1"/>
  <c r="M14" i="19" a="1"/>
  <c r="M14" i="19" s="1"/>
  <c r="K14" i="19" a="1"/>
  <c r="K14" i="19" s="1"/>
  <c r="I14" i="19" a="1"/>
  <c r="I14" i="19" s="1"/>
  <c r="G14" i="19" a="1"/>
  <c r="G14" i="19" s="1"/>
  <c r="E14" i="19" a="1"/>
  <c r="E14" i="19" s="1"/>
  <c r="AB14" i="19" a="1"/>
  <c r="AB14" i="19" s="1"/>
  <c r="Z14" i="19" a="1"/>
  <c r="Z14" i="19" s="1"/>
  <c r="X14" i="19" a="1"/>
  <c r="X14" i="19" s="1"/>
  <c r="V14" i="19" a="1"/>
  <c r="V14" i="19" s="1"/>
  <c r="T14" i="19" a="1"/>
  <c r="T14" i="19" s="1"/>
  <c r="R14" i="19" a="1"/>
  <c r="R14" i="19" s="1"/>
  <c r="P14" i="19" a="1"/>
  <c r="P14" i="19" s="1"/>
  <c r="L14" i="19" a="1"/>
  <c r="L14" i="19" s="1"/>
  <c r="J14" i="19" a="1"/>
  <c r="J14" i="19" s="1"/>
  <c r="H14" i="19" a="1"/>
  <c r="H14" i="19" s="1"/>
  <c r="D14" i="19" a="1"/>
  <c r="D14" i="19" s="1"/>
  <c r="HJ13" i="19" a="1"/>
  <c r="HJ13" i="19" s="1"/>
  <c r="FL13" i="19" a="1"/>
  <c r="FL13" i="19" s="1"/>
  <c r="FJ13" i="19" a="1"/>
  <c r="FJ13" i="19" s="1"/>
  <c r="FH13" i="19" a="1"/>
  <c r="FH13" i="19" s="1"/>
  <c r="FF13" i="19" a="1"/>
  <c r="FF13" i="19" s="1"/>
  <c r="FD13" i="19" a="1"/>
  <c r="FD13" i="19" s="1"/>
  <c r="FB13" i="19" a="1"/>
  <c r="FB13" i="19" s="1"/>
  <c r="EZ13" i="19" a="1"/>
  <c r="EZ13" i="19" s="1"/>
  <c r="EV13" i="19" a="1"/>
  <c r="EV13" i="19" s="1"/>
  <c r="ET13" i="19" a="1"/>
  <c r="ET13" i="19" s="1"/>
  <c r="EF13" i="19" a="1"/>
  <c r="EF13" i="19" s="1"/>
  <c r="ED13" i="19" a="1"/>
  <c r="ED13" i="19" s="1"/>
  <c r="DX13" i="19" a="1"/>
  <c r="DX13" i="19" s="1"/>
  <c r="DR13" i="19" a="1"/>
  <c r="DR13" i="19" s="1"/>
  <c r="HI13" i="19" a="1"/>
  <c r="HI13" i="19" s="1"/>
  <c r="FI13" i="19" a="1"/>
  <c r="FI13" i="19" s="1"/>
  <c r="FG13" i="19" a="1"/>
  <c r="FG13" i="19" s="1"/>
  <c r="FE13" i="19" a="1"/>
  <c r="FE13" i="19" s="1"/>
  <c r="FC13" i="19" a="1"/>
  <c r="FC13" i="19" s="1"/>
  <c r="FA13" i="19" a="1"/>
  <c r="FA13" i="19" s="1"/>
  <c r="EY13" i="19" a="1"/>
  <c r="EY13" i="19" s="1"/>
  <c r="EE13" i="19" a="1"/>
  <c r="EE13" i="19" s="1"/>
  <c r="DW13" i="19" a="1"/>
  <c r="DW13" i="19" s="1"/>
  <c r="DI13" i="19" a="1"/>
  <c r="DI13" i="19" s="1"/>
  <c r="FK13" i="19" a="1"/>
  <c r="FK13" i="19" s="1"/>
  <c r="EU13" i="19" a="1"/>
  <c r="EU13" i="19" s="1"/>
  <c r="EC13" i="19" a="1"/>
  <c r="EC13" i="19" s="1"/>
  <c r="DQ13" i="19" a="1"/>
  <c r="DQ13" i="19" s="1"/>
  <c r="AC13" i="19" a="1"/>
  <c r="AC13" i="19" s="1"/>
  <c r="AA13" i="19" a="1"/>
  <c r="AA13" i="19" s="1"/>
  <c r="Y13" i="19" a="1"/>
  <c r="Y13" i="19" s="1"/>
  <c r="W13" i="19" a="1"/>
  <c r="W13" i="19" s="1"/>
  <c r="U13" i="19" a="1"/>
  <c r="U13" i="19" s="1"/>
  <c r="S13" i="19" a="1"/>
  <c r="S13" i="19" s="1"/>
  <c r="Q13" i="19" a="1"/>
  <c r="Q13" i="19" s="1"/>
  <c r="O13" i="19" a="1"/>
  <c r="O13" i="19" s="1"/>
  <c r="M13" i="19" a="1"/>
  <c r="M13" i="19" s="1"/>
  <c r="K13" i="19" a="1"/>
  <c r="K13" i="19" s="1"/>
  <c r="I13" i="19" a="1"/>
  <c r="I13" i="19" s="1"/>
  <c r="G13" i="19" a="1"/>
  <c r="G13" i="19" s="1"/>
  <c r="AB13" i="19" a="1"/>
  <c r="AB13" i="19" s="1"/>
  <c r="Z13" i="19" a="1"/>
  <c r="Z13" i="19" s="1"/>
  <c r="X13" i="19" a="1"/>
  <c r="X13" i="19" s="1"/>
  <c r="V13" i="19" a="1"/>
  <c r="V13" i="19" s="1"/>
  <c r="T13" i="19" a="1"/>
  <c r="T13" i="19" s="1"/>
  <c r="R13" i="19" a="1"/>
  <c r="R13" i="19" s="1"/>
  <c r="P13" i="19" a="1"/>
  <c r="P13" i="19" s="1"/>
  <c r="L13" i="19" a="1"/>
  <c r="L13" i="19" s="1"/>
  <c r="J13" i="19" a="1"/>
  <c r="J13" i="19" s="1"/>
  <c r="H13" i="19" a="1"/>
  <c r="H13" i="19" s="1"/>
  <c r="D13" i="19" a="1"/>
  <c r="D13" i="19" s="1"/>
  <c r="E13" i="19" a="1"/>
  <c r="E13" i="19" s="1"/>
  <c r="HJ12" i="19" a="1"/>
  <c r="HJ12" i="19" s="1"/>
  <c r="FL12" i="19" a="1"/>
  <c r="FL12" i="19" s="1"/>
  <c r="FJ12" i="19" a="1"/>
  <c r="FJ12" i="19" s="1"/>
  <c r="FH12" i="19" a="1"/>
  <c r="FH12" i="19" s="1"/>
  <c r="FF12" i="19" a="1"/>
  <c r="FF12" i="19" s="1"/>
  <c r="FD12" i="19" a="1"/>
  <c r="FD12" i="19" s="1"/>
  <c r="FB12" i="19" a="1"/>
  <c r="FB12" i="19" s="1"/>
  <c r="EZ12" i="19" a="1"/>
  <c r="EZ12" i="19" s="1"/>
  <c r="EV12" i="19" a="1"/>
  <c r="EV12" i="19" s="1"/>
  <c r="ET12" i="19" a="1"/>
  <c r="ET12" i="19" s="1"/>
  <c r="EF12" i="19" a="1"/>
  <c r="EF12" i="19" s="1"/>
  <c r="ED12" i="19" a="1"/>
  <c r="ED12" i="19" s="1"/>
  <c r="DX12" i="19" a="1"/>
  <c r="DX12" i="19" s="1"/>
  <c r="DR12" i="19" a="1"/>
  <c r="DR12" i="19" s="1"/>
  <c r="HI12" i="19" a="1"/>
  <c r="HI12" i="19" s="1"/>
  <c r="FK12" i="19" a="1"/>
  <c r="FK12" i="19" s="1"/>
  <c r="FI12" i="19" a="1"/>
  <c r="FI12" i="19" s="1"/>
  <c r="FG12" i="19" a="1"/>
  <c r="FG12" i="19" s="1"/>
  <c r="FE12" i="19" a="1"/>
  <c r="FE12" i="19" s="1"/>
  <c r="FC12" i="19" a="1"/>
  <c r="FC12" i="19" s="1"/>
  <c r="FA12" i="19" a="1"/>
  <c r="FA12" i="19" s="1"/>
  <c r="EY12" i="19" a="1"/>
  <c r="EY12" i="19" s="1"/>
  <c r="EU12" i="19" a="1"/>
  <c r="EU12" i="19" s="1"/>
  <c r="EE12" i="19" a="1"/>
  <c r="EE12" i="19" s="1"/>
  <c r="EC12" i="19" a="1"/>
  <c r="EC12" i="19" s="1"/>
  <c r="DW12" i="19" a="1"/>
  <c r="DW12" i="19" s="1"/>
  <c r="DQ12" i="19" a="1"/>
  <c r="DQ12" i="19" s="1"/>
  <c r="DI12" i="19" a="1"/>
  <c r="DI12" i="19" s="1"/>
  <c r="AC12" i="19" a="1"/>
  <c r="AC12" i="19" s="1"/>
  <c r="AA12" i="19" a="1"/>
  <c r="AA12" i="19" s="1"/>
  <c r="Y12" i="19" a="1"/>
  <c r="Y12" i="19" s="1"/>
  <c r="W12" i="19" a="1"/>
  <c r="W12" i="19" s="1"/>
  <c r="U12" i="19" a="1"/>
  <c r="U12" i="19" s="1"/>
  <c r="S12" i="19" a="1"/>
  <c r="S12" i="19" s="1"/>
  <c r="Q12" i="19" a="1"/>
  <c r="Q12" i="19" s="1"/>
  <c r="O12" i="19" a="1"/>
  <c r="O12" i="19" s="1"/>
  <c r="M12" i="19" a="1"/>
  <c r="M12" i="19" s="1"/>
  <c r="K12" i="19" a="1"/>
  <c r="K12" i="19" s="1"/>
  <c r="I12" i="19" a="1"/>
  <c r="I12" i="19" s="1"/>
  <c r="G12" i="19" a="1"/>
  <c r="G12" i="19" s="1"/>
  <c r="AB12" i="19" a="1"/>
  <c r="AB12" i="19" s="1"/>
  <c r="Z12" i="19" a="1"/>
  <c r="Z12" i="19" s="1"/>
  <c r="X12" i="19" a="1"/>
  <c r="X12" i="19" s="1"/>
  <c r="V12" i="19" a="1"/>
  <c r="V12" i="19" s="1"/>
  <c r="T12" i="19" a="1"/>
  <c r="T12" i="19" s="1"/>
  <c r="R12" i="19" a="1"/>
  <c r="R12" i="19" s="1"/>
  <c r="P12" i="19" a="1"/>
  <c r="P12" i="19" s="1"/>
  <c r="L12" i="19" a="1"/>
  <c r="L12" i="19" s="1"/>
  <c r="J12" i="19" a="1"/>
  <c r="J12" i="19" s="1"/>
  <c r="H12" i="19" a="1"/>
  <c r="H12" i="19" s="1"/>
  <c r="D12" i="19" a="1"/>
  <c r="D12" i="19" s="1"/>
  <c r="E12" i="19" a="1"/>
  <c r="E12" i="19" s="1"/>
  <c r="HJ11" i="19" a="1"/>
  <c r="HJ11" i="19" s="1"/>
  <c r="FL11" i="19" a="1"/>
  <c r="FL11" i="19" s="1"/>
  <c r="FJ11" i="19" a="1"/>
  <c r="FJ11" i="19" s="1"/>
  <c r="FH11" i="19" a="1"/>
  <c r="FH11" i="19" s="1"/>
  <c r="FF11" i="19" a="1"/>
  <c r="FF11" i="19" s="1"/>
  <c r="FD11" i="19" a="1"/>
  <c r="FD11" i="19" s="1"/>
  <c r="FB11" i="19" a="1"/>
  <c r="FB11" i="19" s="1"/>
  <c r="EZ11" i="19" a="1"/>
  <c r="EZ11" i="19" s="1"/>
  <c r="EV11" i="19" a="1"/>
  <c r="EV11" i="19" s="1"/>
  <c r="ET11" i="19" a="1"/>
  <c r="ET11" i="19" s="1"/>
  <c r="EF11" i="19" a="1"/>
  <c r="EF11" i="19" s="1"/>
  <c r="ED11" i="19" a="1"/>
  <c r="ED11" i="19" s="1"/>
  <c r="DX11" i="19" a="1"/>
  <c r="DX11" i="19" s="1"/>
  <c r="DR11" i="19" a="1"/>
  <c r="DR11" i="19" s="1"/>
  <c r="HI11" i="19" a="1"/>
  <c r="HI11" i="19" s="1"/>
  <c r="FK11" i="19" a="1"/>
  <c r="FK11" i="19" s="1"/>
  <c r="FI11" i="19" a="1"/>
  <c r="FI11" i="19" s="1"/>
  <c r="FG11" i="19" a="1"/>
  <c r="FG11" i="19" s="1"/>
  <c r="FE11" i="19" a="1"/>
  <c r="FE11" i="19" s="1"/>
  <c r="FC11" i="19" a="1"/>
  <c r="FC11" i="19" s="1"/>
  <c r="FA11" i="19" a="1"/>
  <c r="FA11" i="19" s="1"/>
  <c r="EY11" i="19" a="1"/>
  <c r="EY11" i="19" s="1"/>
  <c r="EU11" i="19" a="1"/>
  <c r="EU11" i="19" s="1"/>
  <c r="EE11" i="19" a="1"/>
  <c r="EE11" i="19" s="1"/>
  <c r="EC11" i="19" a="1"/>
  <c r="EC11" i="19" s="1"/>
  <c r="DW11" i="19" a="1"/>
  <c r="DW11" i="19" s="1"/>
  <c r="DQ11" i="19" a="1"/>
  <c r="DQ11" i="19" s="1"/>
  <c r="DI11" i="19" a="1"/>
  <c r="DI11" i="19" s="1"/>
  <c r="AC11" i="19" a="1"/>
  <c r="AC11" i="19" s="1"/>
  <c r="AA11" i="19" a="1"/>
  <c r="AA11" i="19" s="1"/>
  <c r="Y11" i="19" a="1"/>
  <c r="Y11" i="19" s="1"/>
  <c r="W11" i="19" a="1"/>
  <c r="W11" i="19" s="1"/>
  <c r="U11" i="19" a="1"/>
  <c r="U11" i="19" s="1"/>
  <c r="S11" i="19" a="1"/>
  <c r="S11" i="19" s="1"/>
  <c r="Q11" i="19" a="1"/>
  <c r="Q11" i="19" s="1"/>
  <c r="O11" i="19" a="1"/>
  <c r="O11" i="19" s="1"/>
  <c r="M11" i="19" a="1"/>
  <c r="M11" i="19" s="1"/>
  <c r="K11" i="19" a="1"/>
  <c r="K11" i="19" s="1"/>
  <c r="I11" i="19" a="1"/>
  <c r="I11" i="19" s="1"/>
  <c r="G11" i="19" a="1"/>
  <c r="G11" i="19" s="1"/>
  <c r="AB11" i="19" a="1"/>
  <c r="AB11" i="19" s="1"/>
  <c r="Z11" i="19" a="1"/>
  <c r="Z11" i="19" s="1"/>
  <c r="X11" i="19" a="1"/>
  <c r="X11" i="19" s="1"/>
  <c r="V11" i="19" a="1"/>
  <c r="V11" i="19" s="1"/>
  <c r="T11" i="19" a="1"/>
  <c r="T11" i="19" s="1"/>
  <c r="R11" i="19" a="1"/>
  <c r="R11" i="19" s="1"/>
  <c r="P11" i="19" a="1"/>
  <c r="P11" i="19" s="1"/>
  <c r="L11" i="19" a="1"/>
  <c r="L11" i="19" s="1"/>
  <c r="J11" i="19" a="1"/>
  <c r="J11" i="19" s="1"/>
  <c r="H11" i="19" a="1"/>
  <c r="H11" i="19" s="1"/>
  <c r="D11" i="19" a="1"/>
  <c r="D11" i="19" s="1"/>
  <c r="E11" i="19" a="1"/>
  <c r="E11" i="19" s="1"/>
  <c r="HJ10" i="19" a="1"/>
  <c r="HJ10" i="19" s="1"/>
  <c r="FL10" i="19" a="1"/>
  <c r="FL10" i="19" s="1"/>
  <c r="FJ10" i="19" a="1"/>
  <c r="FJ10" i="19" s="1"/>
  <c r="FH10" i="19" a="1"/>
  <c r="FH10" i="19" s="1"/>
  <c r="FF10" i="19" a="1"/>
  <c r="FF10" i="19" s="1"/>
  <c r="FD10" i="19" a="1"/>
  <c r="FD10" i="19" s="1"/>
  <c r="FB10" i="19" a="1"/>
  <c r="FB10" i="19" s="1"/>
  <c r="EZ10" i="19" a="1"/>
  <c r="EZ10" i="19" s="1"/>
  <c r="EV10" i="19" a="1"/>
  <c r="EV10" i="19" s="1"/>
  <c r="ET10" i="19" a="1"/>
  <c r="ET10" i="19" s="1"/>
  <c r="EF10" i="19" a="1"/>
  <c r="EF10" i="19" s="1"/>
  <c r="ED10" i="19" a="1"/>
  <c r="ED10" i="19" s="1"/>
  <c r="DX10" i="19" a="1"/>
  <c r="DX10" i="19" s="1"/>
  <c r="DR10" i="19" a="1"/>
  <c r="DR10" i="19" s="1"/>
  <c r="HI10" i="19" a="1"/>
  <c r="HI10" i="19" s="1"/>
  <c r="FK10" i="19" a="1"/>
  <c r="FK10" i="19" s="1"/>
  <c r="FI10" i="19" a="1"/>
  <c r="FI10" i="19" s="1"/>
  <c r="FG10" i="19" a="1"/>
  <c r="FG10" i="19" s="1"/>
  <c r="FE10" i="19" a="1"/>
  <c r="FE10" i="19" s="1"/>
  <c r="FC10" i="19" a="1"/>
  <c r="FC10" i="19" s="1"/>
  <c r="FA10" i="19" a="1"/>
  <c r="FA10" i="19" s="1"/>
  <c r="EY10" i="19" a="1"/>
  <c r="EY10" i="19" s="1"/>
  <c r="EU10" i="19" a="1"/>
  <c r="EU10" i="19" s="1"/>
  <c r="EE10" i="19" a="1"/>
  <c r="EE10" i="19" s="1"/>
  <c r="EC10" i="19" a="1"/>
  <c r="EC10" i="19" s="1"/>
  <c r="DW10" i="19" a="1"/>
  <c r="DW10" i="19" s="1"/>
  <c r="DQ10" i="19" a="1"/>
  <c r="DQ10" i="19" s="1"/>
  <c r="DI10" i="19" a="1"/>
  <c r="DI10" i="19" s="1"/>
  <c r="AC10" i="19" a="1"/>
  <c r="AC10" i="19" s="1"/>
  <c r="AA10" i="19" a="1"/>
  <c r="AA10" i="19" s="1"/>
  <c r="Y10" i="19" a="1"/>
  <c r="Y10" i="19" s="1"/>
  <c r="W10" i="19" a="1"/>
  <c r="W10" i="19" s="1"/>
  <c r="U10" i="19" a="1"/>
  <c r="U10" i="19" s="1"/>
  <c r="S10" i="19" a="1"/>
  <c r="S10" i="19" s="1"/>
  <c r="Q10" i="19" a="1"/>
  <c r="Q10" i="19" s="1"/>
  <c r="O10" i="19" a="1"/>
  <c r="O10" i="19" s="1"/>
  <c r="M10" i="19" a="1"/>
  <c r="M10" i="19" s="1"/>
  <c r="K10" i="19" a="1"/>
  <c r="K10" i="19" s="1"/>
  <c r="I10" i="19" a="1"/>
  <c r="I10" i="19" s="1"/>
  <c r="G10" i="19" a="1"/>
  <c r="G10" i="19" s="1"/>
  <c r="E10" i="19" a="1"/>
  <c r="E10" i="19" s="1"/>
  <c r="AB10" i="19" a="1"/>
  <c r="AB10" i="19" s="1"/>
  <c r="Z10" i="19" a="1"/>
  <c r="Z10" i="19" s="1"/>
  <c r="X10" i="19" a="1"/>
  <c r="X10" i="19" s="1"/>
  <c r="V10" i="19" a="1"/>
  <c r="V10" i="19" s="1"/>
  <c r="T10" i="19" a="1"/>
  <c r="T10" i="19" s="1"/>
  <c r="R10" i="19" a="1"/>
  <c r="R10" i="19" s="1"/>
  <c r="P10" i="19" a="1"/>
  <c r="P10" i="19" s="1"/>
  <c r="L10" i="19" a="1"/>
  <c r="L10" i="19" s="1"/>
  <c r="J10" i="19" a="1"/>
  <c r="J10" i="19" s="1"/>
  <c r="H10" i="19" a="1"/>
  <c r="H10" i="19" s="1"/>
  <c r="D10" i="19" a="1"/>
  <c r="D10" i="19" s="1"/>
  <c r="HJ9" i="19" a="1"/>
  <c r="HJ9" i="19" s="1"/>
  <c r="FL9" i="19" a="1"/>
  <c r="FL9" i="19" s="1"/>
  <c r="FJ9" i="19" a="1"/>
  <c r="FJ9" i="19" s="1"/>
  <c r="FH9" i="19" a="1"/>
  <c r="FH9" i="19" s="1"/>
  <c r="FF9" i="19" a="1"/>
  <c r="FF9" i="19" s="1"/>
  <c r="FD9" i="19" a="1"/>
  <c r="FD9" i="19" s="1"/>
  <c r="FB9" i="19" a="1"/>
  <c r="FB9" i="19" s="1"/>
  <c r="EZ9" i="19" a="1"/>
  <c r="EZ9" i="19" s="1"/>
  <c r="EV9" i="19" a="1"/>
  <c r="EV9" i="19" s="1"/>
  <c r="ET9" i="19" a="1"/>
  <c r="ET9" i="19" s="1"/>
  <c r="EF9" i="19" a="1"/>
  <c r="EF9" i="19" s="1"/>
  <c r="ED9" i="19" a="1"/>
  <c r="ED9" i="19" s="1"/>
  <c r="DX9" i="19" a="1"/>
  <c r="DX9" i="19" s="1"/>
  <c r="DR9" i="19" a="1"/>
  <c r="DR9" i="19" s="1"/>
  <c r="HI9" i="19" a="1"/>
  <c r="HI9" i="19" s="1"/>
  <c r="FK9" i="19" a="1"/>
  <c r="FK9" i="19" s="1"/>
  <c r="FI9" i="19" a="1"/>
  <c r="FI9" i="19" s="1"/>
  <c r="FG9" i="19" a="1"/>
  <c r="FG9" i="19" s="1"/>
  <c r="FE9" i="19" a="1"/>
  <c r="FE9" i="19" s="1"/>
  <c r="FC9" i="19" a="1"/>
  <c r="FC9" i="19" s="1"/>
  <c r="FA9" i="19" a="1"/>
  <c r="FA9" i="19" s="1"/>
  <c r="EY9" i="19" a="1"/>
  <c r="EY9" i="19" s="1"/>
  <c r="EU9" i="19" a="1"/>
  <c r="EU9" i="19" s="1"/>
  <c r="EE9" i="19" a="1"/>
  <c r="EE9" i="19" s="1"/>
  <c r="EC9" i="19" a="1"/>
  <c r="EC9" i="19" s="1"/>
  <c r="DW9" i="19" a="1"/>
  <c r="DW9" i="19" s="1"/>
  <c r="DQ9" i="19" a="1"/>
  <c r="DQ9" i="19" s="1"/>
  <c r="DI9" i="19" a="1"/>
  <c r="DI9" i="19" s="1"/>
  <c r="AC9" i="19" a="1"/>
  <c r="AC9" i="19" s="1"/>
  <c r="AA9" i="19" a="1"/>
  <c r="AA9" i="19" s="1"/>
  <c r="Y9" i="19" a="1"/>
  <c r="Y9" i="19" s="1"/>
  <c r="W9" i="19" a="1"/>
  <c r="W9" i="19" s="1"/>
  <c r="U9" i="19" a="1"/>
  <c r="U9" i="19" s="1"/>
  <c r="S9" i="19" a="1"/>
  <c r="S9" i="19" s="1"/>
  <c r="Q9" i="19" a="1"/>
  <c r="Q9" i="19" s="1"/>
  <c r="O9" i="19" a="1"/>
  <c r="O9" i="19" s="1"/>
  <c r="M9" i="19" a="1"/>
  <c r="M9" i="19" s="1"/>
  <c r="K9" i="19" a="1"/>
  <c r="K9" i="19" s="1"/>
  <c r="I9" i="19" a="1"/>
  <c r="I9" i="19" s="1"/>
  <c r="G9" i="19" a="1"/>
  <c r="G9" i="19" s="1"/>
  <c r="E9" i="19" a="1"/>
  <c r="E9" i="19" s="1"/>
  <c r="AB9" i="19" a="1"/>
  <c r="AB9" i="19" s="1"/>
  <c r="Z9" i="19" a="1"/>
  <c r="Z9" i="19" s="1"/>
  <c r="X9" i="19" a="1"/>
  <c r="X9" i="19" s="1"/>
  <c r="V9" i="19" a="1"/>
  <c r="V9" i="19" s="1"/>
  <c r="T9" i="19" a="1"/>
  <c r="T9" i="19" s="1"/>
  <c r="R9" i="19" a="1"/>
  <c r="R9" i="19" s="1"/>
  <c r="P9" i="19" a="1"/>
  <c r="P9" i="19" s="1"/>
  <c r="L9" i="19" a="1"/>
  <c r="L9" i="19" s="1"/>
  <c r="J9" i="19" a="1"/>
  <c r="J9" i="19" s="1"/>
  <c r="H9" i="19" a="1"/>
  <c r="H9" i="19" s="1"/>
  <c r="D9" i="19" a="1"/>
  <c r="D9" i="19" s="1"/>
  <c r="HJ8" i="19" a="1"/>
  <c r="HJ8" i="19" s="1"/>
  <c r="FL8" i="19" a="1"/>
  <c r="FL8" i="19" s="1"/>
  <c r="FJ8" i="19" a="1"/>
  <c r="FJ8" i="19" s="1"/>
  <c r="FH8" i="19" a="1"/>
  <c r="FH8" i="19" s="1"/>
  <c r="FF8" i="19" a="1"/>
  <c r="FF8" i="19" s="1"/>
  <c r="FD8" i="19" a="1"/>
  <c r="FD8" i="19" s="1"/>
  <c r="FB8" i="19" a="1"/>
  <c r="FB8" i="19" s="1"/>
  <c r="EZ8" i="19" a="1"/>
  <c r="EZ8" i="19" s="1"/>
  <c r="EV8" i="19" a="1"/>
  <c r="EV8" i="19" s="1"/>
  <c r="ET8" i="19" a="1"/>
  <c r="ET8" i="19" s="1"/>
  <c r="EF8" i="19" a="1"/>
  <c r="EF8" i="19" s="1"/>
  <c r="ED8" i="19" a="1"/>
  <c r="ED8" i="19" s="1"/>
  <c r="DX8" i="19" a="1"/>
  <c r="DX8" i="19" s="1"/>
  <c r="DR8" i="19" a="1"/>
  <c r="DR8" i="19" s="1"/>
  <c r="HI8" i="19" a="1"/>
  <c r="HI8" i="19" s="1"/>
  <c r="FK8" i="19" a="1"/>
  <c r="FK8" i="19" s="1"/>
  <c r="FI8" i="19" a="1"/>
  <c r="FI8" i="19" s="1"/>
  <c r="FG8" i="19" a="1"/>
  <c r="FG8" i="19" s="1"/>
  <c r="FE8" i="19" a="1"/>
  <c r="FE8" i="19" s="1"/>
  <c r="FC8" i="19" a="1"/>
  <c r="FC8" i="19" s="1"/>
  <c r="FA8" i="19" a="1"/>
  <c r="FA8" i="19" s="1"/>
  <c r="EY8" i="19" a="1"/>
  <c r="EY8" i="19" s="1"/>
  <c r="EU8" i="19" a="1"/>
  <c r="EU8" i="19" s="1"/>
  <c r="EE8" i="19" a="1"/>
  <c r="EE8" i="19" s="1"/>
  <c r="EC8" i="19" a="1"/>
  <c r="EC8" i="19" s="1"/>
  <c r="DW8" i="19" a="1"/>
  <c r="DW8" i="19" s="1"/>
  <c r="DQ8" i="19" a="1"/>
  <c r="DQ8" i="19" s="1"/>
  <c r="DI8" i="19" a="1"/>
  <c r="DI8" i="19" s="1"/>
  <c r="AC8" i="19" a="1"/>
  <c r="AC8" i="19" s="1"/>
  <c r="AA8" i="19" a="1"/>
  <c r="AA8" i="19" s="1"/>
  <c r="Y8" i="19" a="1"/>
  <c r="Y8" i="19" s="1"/>
  <c r="W8" i="19" a="1"/>
  <c r="W8" i="19" s="1"/>
  <c r="U8" i="19" a="1"/>
  <c r="U8" i="19" s="1"/>
  <c r="S8" i="19" a="1"/>
  <c r="S8" i="19" s="1"/>
  <c r="Q8" i="19" a="1"/>
  <c r="Q8" i="19" s="1"/>
  <c r="O8" i="19" a="1"/>
  <c r="O8" i="19" s="1"/>
  <c r="M8" i="19" a="1"/>
  <c r="M8" i="19" s="1"/>
  <c r="K8" i="19" a="1"/>
  <c r="K8" i="19" s="1"/>
  <c r="I8" i="19" a="1"/>
  <c r="I8" i="19" s="1"/>
  <c r="G8" i="19" a="1"/>
  <c r="G8" i="19" s="1"/>
  <c r="E8" i="19" a="1"/>
  <c r="E8" i="19" s="1"/>
  <c r="AB8" i="19" a="1"/>
  <c r="AB8" i="19" s="1"/>
  <c r="Z8" i="19" a="1"/>
  <c r="Z8" i="19" s="1"/>
  <c r="X8" i="19" a="1"/>
  <c r="X8" i="19" s="1"/>
  <c r="V8" i="19" a="1"/>
  <c r="V8" i="19" s="1"/>
  <c r="T8" i="19" a="1"/>
  <c r="T8" i="19" s="1"/>
  <c r="R8" i="19" a="1"/>
  <c r="R8" i="19" s="1"/>
  <c r="P8" i="19" a="1"/>
  <c r="P8" i="19" s="1"/>
  <c r="L8" i="19" a="1"/>
  <c r="L8" i="19" s="1"/>
  <c r="J8" i="19" a="1"/>
  <c r="J8" i="19" s="1"/>
  <c r="H8" i="19" a="1"/>
  <c r="H8" i="19" s="1"/>
  <c r="D8" i="19" a="1"/>
  <c r="D8" i="19" s="1"/>
  <c r="HJ7" i="19" a="1"/>
  <c r="HJ7" i="19" s="1"/>
  <c r="FL7" i="19" a="1"/>
  <c r="FL7" i="19" s="1"/>
  <c r="FJ7" i="19" a="1"/>
  <c r="FJ7" i="19" s="1"/>
  <c r="FH7" i="19" a="1"/>
  <c r="FH7" i="19" s="1"/>
  <c r="FF7" i="19" a="1"/>
  <c r="FF7" i="19" s="1"/>
  <c r="FD7" i="19" a="1"/>
  <c r="FD7" i="19" s="1"/>
  <c r="FB7" i="19" a="1"/>
  <c r="FB7" i="19" s="1"/>
  <c r="EZ7" i="19" a="1"/>
  <c r="EZ7" i="19" s="1"/>
  <c r="EV7" i="19" a="1"/>
  <c r="EV7" i="19" s="1"/>
  <c r="ET7" i="19" a="1"/>
  <c r="ET7" i="19" s="1"/>
  <c r="EF7" i="19" a="1"/>
  <c r="EF7" i="19" s="1"/>
  <c r="ED7" i="19" a="1"/>
  <c r="ED7" i="19" s="1"/>
  <c r="DX7" i="19" a="1"/>
  <c r="DX7" i="19" s="1"/>
  <c r="DR7" i="19" a="1"/>
  <c r="DR7" i="19" s="1"/>
  <c r="HI7" i="19" a="1"/>
  <c r="HI7" i="19" s="1"/>
  <c r="FK7" i="19" a="1"/>
  <c r="FK7" i="19" s="1"/>
  <c r="FI7" i="19" a="1"/>
  <c r="FI7" i="19" s="1"/>
  <c r="FG7" i="19" a="1"/>
  <c r="FG7" i="19" s="1"/>
  <c r="FE7" i="19" a="1"/>
  <c r="FE7" i="19" s="1"/>
  <c r="FC7" i="19" a="1"/>
  <c r="FC7" i="19" s="1"/>
  <c r="FA7" i="19" a="1"/>
  <c r="FA7" i="19" s="1"/>
  <c r="EY7" i="19" a="1"/>
  <c r="EY7" i="19" s="1"/>
  <c r="EU7" i="19" a="1"/>
  <c r="EU7" i="19" s="1"/>
  <c r="EE7" i="19" a="1"/>
  <c r="EE7" i="19" s="1"/>
  <c r="EC7" i="19" a="1"/>
  <c r="EC7" i="19" s="1"/>
  <c r="DW7" i="19" a="1"/>
  <c r="DW7" i="19" s="1"/>
  <c r="DQ7" i="19" a="1"/>
  <c r="DQ7" i="19" s="1"/>
  <c r="DI7" i="19" a="1"/>
  <c r="DI7" i="19" s="1"/>
  <c r="AC7" i="19" a="1"/>
  <c r="AC7" i="19" s="1"/>
  <c r="AA7" i="19" a="1"/>
  <c r="AA7" i="19" s="1"/>
  <c r="Y7" i="19" a="1"/>
  <c r="Y7" i="19" s="1"/>
  <c r="W7" i="19" a="1"/>
  <c r="W7" i="19" s="1"/>
  <c r="U7" i="19" a="1"/>
  <c r="U7" i="19" s="1"/>
  <c r="S7" i="19" a="1"/>
  <c r="S7" i="19" s="1"/>
  <c r="Q7" i="19" a="1"/>
  <c r="Q7" i="19" s="1"/>
  <c r="O7" i="19" a="1"/>
  <c r="O7" i="19" s="1"/>
  <c r="M7" i="19" a="1"/>
  <c r="M7" i="19" s="1"/>
  <c r="K7" i="19" a="1"/>
  <c r="K7" i="19" s="1"/>
  <c r="I7" i="19" a="1"/>
  <c r="I7" i="19" s="1"/>
  <c r="G7" i="19" a="1"/>
  <c r="G7" i="19" s="1"/>
  <c r="E7" i="19" a="1"/>
  <c r="E7" i="19" s="1"/>
  <c r="AB7" i="19" a="1"/>
  <c r="AB7" i="19" s="1"/>
  <c r="Z7" i="19" a="1"/>
  <c r="Z7" i="19" s="1"/>
  <c r="X7" i="19" a="1"/>
  <c r="X7" i="19" s="1"/>
  <c r="V7" i="19" a="1"/>
  <c r="V7" i="19" s="1"/>
  <c r="T7" i="19" a="1"/>
  <c r="T7" i="19" s="1"/>
  <c r="R7" i="19" a="1"/>
  <c r="R7" i="19" s="1"/>
  <c r="P7" i="19" a="1"/>
  <c r="P7" i="19" s="1"/>
  <c r="L7" i="19" a="1"/>
  <c r="L7" i="19" s="1"/>
  <c r="J7" i="19" a="1"/>
  <c r="J7" i="19" s="1"/>
  <c r="H7" i="19" a="1"/>
  <c r="H7" i="19" s="1"/>
  <c r="D7" i="19" a="1"/>
  <c r="D7" i="19" s="1"/>
  <c r="HJ6" i="19" a="1"/>
  <c r="HJ6" i="19" s="1"/>
  <c r="FL6" i="19" a="1"/>
  <c r="FL6" i="19" s="1"/>
  <c r="FJ6" i="19" a="1"/>
  <c r="FJ6" i="19" s="1"/>
  <c r="FH6" i="19" a="1"/>
  <c r="FH6" i="19" s="1"/>
  <c r="FF6" i="19" a="1"/>
  <c r="FF6" i="19" s="1"/>
  <c r="FD6" i="19" a="1"/>
  <c r="FD6" i="19" s="1"/>
  <c r="FB6" i="19" a="1"/>
  <c r="FB6" i="19" s="1"/>
  <c r="EZ6" i="19" a="1"/>
  <c r="EZ6" i="19" s="1"/>
  <c r="EV6" i="19" a="1"/>
  <c r="EV6" i="19" s="1"/>
  <c r="ET6" i="19" a="1"/>
  <c r="ET6" i="19" s="1"/>
  <c r="EF6" i="19" a="1"/>
  <c r="EF6" i="19" s="1"/>
  <c r="ED6" i="19" a="1"/>
  <c r="ED6" i="19" s="1"/>
  <c r="DX6" i="19" a="1"/>
  <c r="DX6" i="19" s="1"/>
  <c r="DR6" i="19" a="1"/>
  <c r="DR6" i="19" s="1"/>
  <c r="HI6" i="19" a="1"/>
  <c r="HI6" i="19" s="1"/>
  <c r="FK6" i="19" a="1"/>
  <c r="FK6" i="19" s="1"/>
  <c r="FI6" i="19" a="1"/>
  <c r="FI6" i="19" s="1"/>
  <c r="FG6" i="19" a="1"/>
  <c r="FG6" i="19" s="1"/>
  <c r="FE6" i="19" a="1"/>
  <c r="FE6" i="19" s="1"/>
  <c r="FC6" i="19" a="1"/>
  <c r="FC6" i="19" s="1"/>
  <c r="FA6" i="19" a="1"/>
  <c r="FA6" i="19" s="1"/>
  <c r="EY6" i="19" a="1"/>
  <c r="EY6" i="19" s="1"/>
  <c r="EU6" i="19" a="1"/>
  <c r="EU6" i="19" s="1"/>
  <c r="EE6" i="19" a="1"/>
  <c r="EE6" i="19" s="1"/>
  <c r="EC6" i="19" a="1"/>
  <c r="EC6" i="19" s="1"/>
  <c r="DW6" i="19" a="1"/>
  <c r="DW6" i="19" s="1"/>
  <c r="DQ6" i="19" a="1"/>
  <c r="DQ6" i="19" s="1"/>
  <c r="DI6" i="19" a="1"/>
  <c r="DI6" i="19" s="1"/>
  <c r="AC6" i="19" a="1"/>
  <c r="AC6" i="19" s="1"/>
  <c r="AA6" i="19" a="1"/>
  <c r="AA6" i="19" s="1"/>
  <c r="Y6" i="19" a="1"/>
  <c r="Y6" i="19" s="1"/>
  <c r="W6" i="19" a="1"/>
  <c r="W6" i="19" s="1"/>
  <c r="U6" i="19" a="1"/>
  <c r="U6" i="19" s="1"/>
  <c r="S6" i="19" a="1"/>
  <c r="S6" i="19" s="1"/>
  <c r="Q6" i="19" a="1"/>
  <c r="Q6" i="19" s="1"/>
  <c r="O6" i="19" a="1"/>
  <c r="O6" i="19" s="1"/>
  <c r="M6" i="19" a="1"/>
  <c r="M6" i="19" s="1"/>
  <c r="K6" i="19" a="1"/>
  <c r="K6" i="19" s="1"/>
  <c r="I6" i="19" a="1"/>
  <c r="I6" i="19" s="1"/>
  <c r="G6" i="19" a="1"/>
  <c r="G6" i="19" s="1"/>
  <c r="AB6" i="19" a="1"/>
  <c r="AB6" i="19" s="1"/>
  <c r="Z6" i="19" a="1"/>
  <c r="Z6" i="19" s="1"/>
  <c r="X6" i="19" a="1"/>
  <c r="X6" i="19" s="1"/>
  <c r="V6" i="19" a="1"/>
  <c r="V6" i="19" s="1"/>
  <c r="T6" i="19" a="1"/>
  <c r="T6" i="19" s="1"/>
  <c r="R6" i="19" a="1"/>
  <c r="R6" i="19" s="1"/>
  <c r="P6" i="19" a="1"/>
  <c r="P6" i="19" s="1"/>
  <c r="L6" i="19" a="1"/>
  <c r="L6" i="19" s="1"/>
  <c r="J6" i="19" a="1"/>
  <c r="J6" i="19" s="1"/>
  <c r="H6" i="19" a="1"/>
  <c r="H6" i="19" s="1"/>
  <c r="D6" i="19" a="1"/>
  <c r="D6" i="19" s="1"/>
  <c r="E6" i="19" a="1"/>
  <c r="E6" i="19" s="1"/>
  <c r="HJ5" i="19" a="1"/>
  <c r="HJ5" i="19" s="1"/>
  <c r="FL5" i="19" a="1"/>
  <c r="FL5" i="19" s="1"/>
  <c r="FJ5" i="19" a="1"/>
  <c r="FJ5" i="19" s="1"/>
  <c r="FH5" i="19" a="1"/>
  <c r="FH5" i="19" s="1"/>
  <c r="FF5" i="19" a="1"/>
  <c r="FF5" i="19" s="1"/>
  <c r="FD5" i="19" a="1"/>
  <c r="FD5" i="19" s="1"/>
  <c r="FB5" i="19" a="1"/>
  <c r="FB5" i="19" s="1"/>
  <c r="EZ5" i="19" a="1"/>
  <c r="EZ5" i="19" s="1"/>
  <c r="EV5" i="19" a="1"/>
  <c r="EV5" i="19" s="1"/>
  <c r="ET5" i="19" a="1"/>
  <c r="ET5" i="19" s="1"/>
  <c r="EF5" i="19" a="1"/>
  <c r="EF5" i="19" s="1"/>
  <c r="ED5" i="19" a="1"/>
  <c r="ED5" i="19" s="1"/>
  <c r="DX5" i="19" a="1"/>
  <c r="DX5" i="19" s="1"/>
  <c r="DR5" i="19" a="1"/>
  <c r="DR5" i="19" s="1"/>
  <c r="HI5" i="19" a="1"/>
  <c r="HI5" i="19" s="1"/>
  <c r="FK5" i="19" a="1"/>
  <c r="FK5" i="19" s="1"/>
  <c r="FI5" i="19" a="1"/>
  <c r="FI5" i="19" s="1"/>
  <c r="FG5" i="19" a="1"/>
  <c r="FG5" i="19" s="1"/>
  <c r="FE5" i="19" a="1"/>
  <c r="FE5" i="19" s="1"/>
  <c r="FC5" i="19" a="1"/>
  <c r="FC5" i="19" s="1"/>
  <c r="FA5" i="19" a="1"/>
  <c r="FA5" i="19" s="1"/>
  <c r="EY5" i="19" a="1"/>
  <c r="EY5" i="19" s="1"/>
  <c r="EU5" i="19" a="1"/>
  <c r="EU5" i="19" s="1"/>
  <c r="EE5" i="19" a="1"/>
  <c r="EE5" i="19" s="1"/>
  <c r="EC5" i="19" a="1"/>
  <c r="EC5" i="19" s="1"/>
  <c r="DW5" i="19" a="1"/>
  <c r="DW5" i="19" s="1"/>
  <c r="DQ5" i="19" a="1"/>
  <c r="DQ5" i="19" s="1"/>
  <c r="DI5" i="19" a="1"/>
  <c r="DI5" i="19" s="1"/>
  <c r="AC5" i="19" a="1"/>
  <c r="AC5" i="19" s="1"/>
  <c r="AA5" i="19" a="1"/>
  <c r="AA5" i="19" s="1"/>
  <c r="Y5" i="19" a="1"/>
  <c r="Y5" i="19" s="1"/>
  <c r="W5" i="19" a="1"/>
  <c r="W5" i="19" s="1"/>
  <c r="U5" i="19" a="1"/>
  <c r="U5" i="19" s="1"/>
  <c r="S5" i="19" a="1"/>
  <c r="S5" i="19" s="1"/>
  <c r="Q5" i="19" a="1"/>
  <c r="Q5" i="19" s="1"/>
  <c r="O5" i="19" a="1"/>
  <c r="O5" i="19" s="1"/>
  <c r="M5" i="19" a="1"/>
  <c r="M5" i="19" s="1"/>
  <c r="K5" i="19" a="1"/>
  <c r="K5" i="19" s="1"/>
  <c r="G5" i="19" a="1"/>
  <c r="G5" i="19" s="1"/>
  <c r="AB5" i="19" a="1"/>
  <c r="AB5" i="19" s="1"/>
  <c r="Z5" i="19" a="1"/>
  <c r="Z5" i="19" s="1"/>
  <c r="X5" i="19" a="1"/>
  <c r="X5" i="19" s="1"/>
  <c r="V5" i="19" a="1"/>
  <c r="V5" i="19" s="1"/>
  <c r="T5" i="19" a="1"/>
  <c r="T5" i="19" s="1"/>
  <c r="R5" i="19" a="1"/>
  <c r="R5" i="19" s="1"/>
  <c r="P5" i="19" a="1"/>
  <c r="P5" i="19" s="1"/>
  <c r="L5" i="19" a="1"/>
  <c r="L5" i="19" s="1"/>
  <c r="J5" i="19" a="1"/>
  <c r="J5" i="19" s="1"/>
  <c r="H5" i="19" a="1"/>
  <c r="H5" i="19" s="1"/>
  <c r="D5" i="19" a="1"/>
  <c r="D5" i="19" s="1"/>
  <c r="I5" i="19" a="1"/>
  <c r="I5" i="19" s="1"/>
  <c r="E5" i="19" a="1"/>
  <c r="E5" i="19" s="1"/>
  <c r="HJ4" i="19" a="1"/>
  <c r="HJ4" i="19" s="1"/>
  <c r="FL4" i="19" a="1"/>
  <c r="FL4" i="19" s="1"/>
  <c r="FJ4" i="19" a="1"/>
  <c r="FJ4" i="19" s="1"/>
  <c r="FH4" i="19" a="1"/>
  <c r="FH4" i="19" s="1"/>
  <c r="FF4" i="19" a="1"/>
  <c r="FF4" i="19" s="1"/>
  <c r="FD4" i="19" a="1"/>
  <c r="FD4" i="19" s="1"/>
  <c r="FB4" i="19" a="1"/>
  <c r="FB4" i="19" s="1"/>
  <c r="EZ4" i="19" a="1"/>
  <c r="EZ4" i="19" s="1"/>
  <c r="EV4" i="19" a="1"/>
  <c r="EV4" i="19" s="1"/>
  <c r="ET4" i="19" a="1"/>
  <c r="ET4" i="19" s="1"/>
  <c r="EF4" i="19" a="1"/>
  <c r="EF4" i="19" s="1"/>
  <c r="ED4" i="19" a="1"/>
  <c r="ED4" i="19" s="1"/>
  <c r="DX4" i="19" a="1"/>
  <c r="DX4" i="19" s="1"/>
  <c r="DR4" i="19" a="1"/>
  <c r="DR4" i="19" s="1"/>
  <c r="HI4" i="19" a="1"/>
  <c r="HI4" i="19" s="1"/>
  <c r="FK4" i="19" a="1"/>
  <c r="FK4" i="19" s="1"/>
  <c r="FI4" i="19" a="1"/>
  <c r="FI4" i="19" s="1"/>
  <c r="FG4" i="19" a="1"/>
  <c r="FG4" i="19" s="1"/>
  <c r="FE4" i="19" a="1"/>
  <c r="FE4" i="19" s="1"/>
  <c r="FC4" i="19" a="1"/>
  <c r="FC4" i="19" s="1"/>
  <c r="FA4" i="19" a="1"/>
  <c r="FA4" i="19" s="1"/>
  <c r="EY4" i="19" a="1"/>
  <c r="EY4" i="19" s="1"/>
  <c r="EU4" i="19" a="1"/>
  <c r="EU4" i="19" s="1"/>
  <c r="EE4" i="19" a="1"/>
  <c r="EE4" i="19" s="1"/>
  <c r="EC4" i="19" a="1"/>
  <c r="EC4" i="19" s="1"/>
  <c r="DW4" i="19" a="1"/>
  <c r="DW4" i="19" s="1"/>
  <c r="DQ4" i="19" a="1"/>
  <c r="DQ4" i="19" s="1"/>
  <c r="DI4" i="19" a="1"/>
  <c r="DI4" i="19" s="1"/>
  <c r="AC4" i="19" a="1"/>
  <c r="AC4" i="19" s="1"/>
  <c r="AA4" i="19" a="1"/>
  <c r="AA4" i="19" s="1"/>
  <c r="Y4" i="19" a="1"/>
  <c r="Y4" i="19" s="1"/>
  <c r="W4" i="19" a="1"/>
  <c r="W4" i="19" s="1"/>
  <c r="U4" i="19" a="1"/>
  <c r="U4" i="19" s="1"/>
  <c r="S4" i="19" a="1"/>
  <c r="S4" i="19" s="1"/>
  <c r="Q4" i="19" a="1"/>
  <c r="Q4" i="19" s="1"/>
  <c r="O4" i="19" a="1"/>
  <c r="O4" i="19" s="1"/>
  <c r="M4" i="19" a="1"/>
  <c r="M4" i="19" s="1"/>
  <c r="K4" i="19" a="1"/>
  <c r="K4" i="19" s="1"/>
  <c r="I4" i="19" a="1"/>
  <c r="I4" i="19" s="1"/>
  <c r="G4" i="19" a="1"/>
  <c r="G4" i="19" s="1"/>
  <c r="AB4" i="19" a="1"/>
  <c r="AB4" i="19" s="1"/>
  <c r="Z4" i="19" a="1"/>
  <c r="Z4" i="19" s="1"/>
  <c r="X4" i="19" a="1"/>
  <c r="X4" i="19" s="1"/>
  <c r="V4" i="19" a="1"/>
  <c r="V4" i="19" s="1"/>
  <c r="T4" i="19" a="1"/>
  <c r="T4" i="19" s="1"/>
  <c r="R4" i="19" a="1"/>
  <c r="R4" i="19" s="1"/>
  <c r="P4" i="19" a="1"/>
  <c r="P4" i="19" s="1"/>
  <c r="L4" i="19" a="1"/>
  <c r="L4" i="19" s="1"/>
  <c r="J4" i="19" a="1"/>
  <c r="J4" i="19" s="1"/>
  <c r="H4" i="19" a="1"/>
  <c r="H4" i="19" s="1"/>
  <c r="D4" i="19" a="1"/>
  <c r="D4" i="19" s="1"/>
  <c r="E4" i="19" a="1"/>
  <c r="E4" i="19" s="1"/>
  <c r="HJ3" i="19" a="1"/>
  <c r="HJ3" i="19" s="1"/>
  <c r="FL3" i="19" a="1"/>
  <c r="FL3" i="19" s="1"/>
  <c r="FJ3" i="19" a="1"/>
  <c r="FJ3" i="19" s="1"/>
  <c r="FH3" i="19" a="1"/>
  <c r="FH3" i="19" s="1"/>
  <c r="FF3" i="19" a="1"/>
  <c r="FF3" i="19" s="1"/>
  <c r="FD3" i="19" a="1"/>
  <c r="FD3" i="19" s="1"/>
  <c r="FB3" i="19" a="1"/>
  <c r="FB3" i="19" s="1"/>
  <c r="EZ3" i="19" a="1"/>
  <c r="EZ3" i="19" s="1"/>
  <c r="EV3" i="19" a="1"/>
  <c r="EV3" i="19" s="1"/>
  <c r="ET3" i="19" a="1"/>
  <c r="ET3" i="19" s="1"/>
  <c r="EF3" i="19" a="1"/>
  <c r="EF3" i="19" s="1"/>
  <c r="ED3" i="19" a="1"/>
  <c r="ED3" i="19" s="1"/>
  <c r="DX3" i="19" a="1"/>
  <c r="DX3" i="19" s="1"/>
  <c r="DR3" i="19" a="1"/>
  <c r="DR3" i="19" s="1"/>
  <c r="HI3" i="19" a="1"/>
  <c r="HI3" i="19" s="1"/>
  <c r="FK3" i="19" a="1"/>
  <c r="FK3" i="19" s="1"/>
  <c r="FI3" i="19" a="1"/>
  <c r="FI3" i="19" s="1"/>
  <c r="FG3" i="19" a="1"/>
  <c r="FG3" i="19" s="1"/>
  <c r="FE3" i="19" a="1"/>
  <c r="FE3" i="19" s="1"/>
  <c r="FC3" i="19" a="1"/>
  <c r="FC3" i="19" s="1"/>
  <c r="FA3" i="19" a="1"/>
  <c r="FA3" i="19" s="1"/>
  <c r="EY3" i="19" a="1"/>
  <c r="EY3" i="19" s="1"/>
  <c r="EU3" i="19" a="1"/>
  <c r="EU3" i="19" s="1"/>
  <c r="EE3" i="19" a="1"/>
  <c r="EE3" i="19" s="1"/>
  <c r="EC3" i="19" a="1"/>
  <c r="EC3" i="19" s="1"/>
  <c r="DW3" i="19" a="1"/>
  <c r="DW3" i="19" s="1"/>
  <c r="DQ3" i="19" a="1"/>
  <c r="DQ3" i="19" s="1"/>
  <c r="DI3" i="19" a="1"/>
  <c r="DI3" i="19" s="1"/>
  <c r="AC3" i="19" a="1"/>
  <c r="AC3" i="19" s="1"/>
  <c r="AA3" i="19" a="1"/>
  <c r="AA3" i="19" s="1"/>
  <c r="Y3" i="19" a="1"/>
  <c r="Y3" i="19" s="1"/>
  <c r="W3" i="19" a="1"/>
  <c r="W3" i="19" s="1"/>
  <c r="U3" i="19" a="1"/>
  <c r="U3" i="19" s="1"/>
  <c r="S3" i="19" a="1"/>
  <c r="S3" i="19" s="1"/>
  <c r="Q3" i="19" a="1"/>
  <c r="Q3" i="19" s="1"/>
  <c r="O3" i="19" a="1"/>
  <c r="O3" i="19" s="1"/>
  <c r="M3" i="19" a="1"/>
  <c r="M3" i="19" s="1"/>
  <c r="K3" i="19" a="1"/>
  <c r="K3" i="19" s="1"/>
  <c r="I3" i="19" a="1"/>
  <c r="I3" i="19" s="1"/>
  <c r="G3" i="19" a="1"/>
  <c r="G3" i="19" s="1"/>
  <c r="E3" i="19" a="1"/>
  <c r="E3" i="19" s="1"/>
  <c r="AB3" i="19" a="1"/>
  <c r="AB3" i="19" s="1"/>
  <c r="Z3" i="19" a="1"/>
  <c r="Z3" i="19" s="1"/>
  <c r="X3" i="19" a="1"/>
  <c r="X3" i="19" s="1"/>
  <c r="V3" i="19" a="1"/>
  <c r="V3" i="19" s="1"/>
  <c r="T3" i="19" a="1"/>
  <c r="T3" i="19" s="1"/>
  <c r="R3" i="19" a="1"/>
  <c r="R3" i="19" s="1"/>
  <c r="P3" i="19" a="1"/>
  <c r="P3" i="19" s="1"/>
  <c r="L3" i="19" a="1"/>
  <c r="L3" i="19" s="1"/>
  <c r="J3" i="19" a="1"/>
  <c r="J3" i="19" s="1"/>
  <c r="H3" i="19" a="1"/>
  <c r="H3" i="19" s="1"/>
  <c r="D3" i="19" a="1"/>
  <c r="D3" i="19" s="1"/>
  <c r="HJ2" i="19" a="1"/>
  <c r="HJ2" i="19" s="1"/>
  <c r="FK2" i="19" a="1"/>
  <c r="FK2" i="19" s="1"/>
  <c r="FH2" i="19" a="1"/>
  <c r="FH2" i="19" s="1"/>
  <c r="FD2" i="19" a="1"/>
  <c r="FD2" i="19" s="1"/>
  <c r="EZ2" i="19" a="1"/>
  <c r="EZ2" i="19" s="1"/>
  <c r="EU2" i="19" a="1"/>
  <c r="EU2" i="19" s="1"/>
  <c r="EE2" i="19" a="1"/>
  <c r="EE2" i="19" s="1"/>
  <c r="FL2" i="19" a="1"/>
  <c r="FL2" i="19" s="1"/>
  <c r="FG2" i="19" a="1"/>
  <c r="FG2" i="19" s="1"/>
  <c r="FC2" i="19" a="1"/>
  <c r="FC2" i="19" s="1"/>
  <c r="EY2" i="19" a="1"/>
  <c r="EY2" i="19" s="1"/>
  <c r="EV2" i="19" a="1"/>
  <c r="EV2" i="19" s="1"/>
  <c r="EF2" i="19" a="1"/>
  <c r="EF2" i="19" s="1"/>
  <c r="DW2" i="19" a="1"/>
  <c r="DW2" i="19" s="1"/>
  <c r="DX2" i="19" a="1"/>
  <c r="DX2" i="19" s="1"/>
  <c r="AA2" i="19" a="1"/>
  <c r="AA2" i="19" s="1"/>
  <c r="X2" i="19" a="1"/>
  <c r="X2" i="19" s="1"/>
  <c r="T2" i="19" a="1"/>
  <c r="T2" i="19" s="1"/>
  <c r="O2" i="19" a="1"/>
  <c r="O2" i="19" s="1"/>
  <c r="L2" i="19" a="1"/>
  <c r="L2" i="19" s="1"/>
  <c r="J2" i="19" a="1"/>
  <c r="J2" i="19" s="1"/>
  <c r="E2" i="19" a="1"/>
  <c r="E2" i="19" s="1"/>
  <c r="AB2" i="19" a="1"/>
  <c r="AB2" i="19" s="1"/>
  <c r="W2" i="19" a="1"/>
  <c r="W2" i="19" s="1"/>
  <c r="S2" i="19" a="1"/>
  <c r="S2" i="19" s="1"/>
  <c r="P2" i="19" a="1"/>
  <c r="P2" i="19" s="1"/>
  <c r="I2" i="19" a="1"/>
  <c r="I2" i="19" s="1"/>
  <c r="HI2" i="19" a="1"/>
  <c r="HI2" i="19" s="1"/>
  <c r="FJ2" i="19" a="1"/>
  <c r="FJ2" i="19" s="1"/>
  <c r="FF2" i="19" a="1"/>
  <c r="FF2" i="19" s="1"/>
  <c r="FA2" i="19" a="1"/>
  <c r="FA2" i="19" s="1"/>
  <c r="EC2" i="19" a="1"/>
  <c r="EC2" i="19" s="1"/>
  <c r="FI2" i="19" a="1"/>
  <c r="FI2" i="19" s="1"/>
  <c r="FE2" i="19" a="1"/>
  <c r="FE2" i="19" s="1"/>
  <c r="FB2" i="19" a="1"/>
  <c r="FB2" i="19" s="1"/>
  <c r="ET2" i="19" a="1"/>
  <c r="ET2" i="19" s="1"/>
  <c r="ED2" i="19" a="1"/>
  <c r="ED2" i="19" s="1"/>
  <c r="DQ2" i="19" a="1"/>
  <c r="DQ2" i="19" s="1"/>
  <c r="DI2" i="19" a="1"/>
  <c r="DI2" i="19" s="1"/>
  <c r="DR2" i="19" a="1"/>
  <c r="DR2" i="19" s="1"/>
  <c r="AC2" i="19" a="1"/>
  <c r="AC2" i="19" s="1"/>
  <c r="Z2" i="19" a="1"/>
  <c r="Z2" i="19" s="1"/>
  <c r="V2" i="19" a="1"/>
  <c r="V2" i="19" s="1"/>
  <c r="Q2" i="19" a="1"/>
  <c r="Q2" i="19" s="1"/>
  <c r="M2" i="19" a="1"/>
  <c r="M2" i="19" s="1"/>
  <c r="K2" i="19" a="1"/>
  <c r="K2" i="19" s="1"/>
  <c r="H2" i="19" a="1"/>
  <c r="H2" i="19" s="1"/>
  <c r="D2" i="19" a="1"/>
  <c r="D2" i="19" s="1"/>
  <c r="Y2" i="19" a="1"/>
  <c r="Y2" i="19" s="1"/>
  <c r="U2" i="19" a="1"/>
  <c r="U2" i="19" s="1"/>
  <c r="R2" i="19" a="1"/>
  <c r="R2" i="19" s="1"/>
  <c r="G2" i="19" a="1"/>
  <c r="G2" i="19" s="1"/>
  <c r="F26" i="17" a="1"/>
  <c r="F26" i="17" s="1"/>
  <c r="F25" i="17" a="1"/>
  <c r="F25" i="17" s="1"/>
  <c r="F24" i="17" a="1"/>
  <c r="F24" i="17" s="1"/>
  <c r="F23" i="17" a="1"/>
  <c r="F23" i="17" s="1"/>
  <c r="F22" i="17" a="1"/>
  <c r="F22" i="17" s="1"/>
  <c r="F21" i="17" a="1"/>
  <c r="F21" i="17" s="1"/>
  <c r="F20" i="17" a="1"/>
  <c r="F20" i="17" s="1"/>
  <c r="F19" i="17" a="1"/>
  <c r="F19" i="17" s="1"/>
  <c r="F18" i="17" a="1"/>
  <c r="F18" i="17" s="1"/>
  <c r="F17" i="17" a="1"/>
  <c r="F17" i="17" s="1"/>
  <c r="F16" i="17" a="1"/>
  <c r="F16" i="17" s="1"/>
  <c r="F15" i="17" a="1"/>
  <c r="F15" i="17" s="1"/>
  <c r="F14" i="17" a="1"/>
  <c r="F14" i="17" s="1"/>
  <c r="F13" i="17" a="1"/>
  <c r="F13" i="17" s="1"/>
  <c r="F12" i="17" a="1"/>
  <c r="F12" i="17" s="1"/>
  <c r="F11" i="17" a="1"/>
  <c r="F11" i="17" s="1"/>
  <c r="F10" i="17" a="1"/>
  <c r="F10" i="17" s="1"/>
  <c r="F9" i="17" a="1"/>
  <c r="F9" i="17" s="1"/>
  <c r="F8" i="17" a="1"/>
  <c r="F8" i="17" s="1"/>
  <c r="F7" i="17" a="1"/>
  <c r="F7" i="17" s="1"/>
  <c r="F6" i="17" a="1"/>
  <c r="F6" i="17" s="1"/>
  <c r="F5" i="17" a="1"/>
  <c r="F5" i="17" s="1"/>
  <c r="F4" i="17" a="1"/>
  <c r="F4" i="17" s="1"/>
  <c r="F3" i="17" a="1"/>
  <c r="F3" i="17" s="1"/>
  <c r="F2" i="17" a="1"/>
  <c r="F2" i="17" s="1"/>
  <c r="DV59" i="19" a="1"/>
  <c r="DV59" i="19" s="1"/>
  <c r="EX59" i="19" a="1"/>
  <c r="EX59" i="19" s="1"/>
  <c r="ER59" i="19" a="1"/>
  <c r="ER59" i="19" s="1"/>
  <c r="EP59" i="19" a="1"/>
  <c r="EP59" i="19" s="1"/>
  <c r="EN59" i="19" a="1"/>
  <c r="EN59" i="19" s="1"/>
  <c r="EL59" i="19" a="1"/>
  <c r="EL59" i="19" s="1"/>
  <c r="EJ59" i="19" a="1"/>
  <c r="EJ59" i="19" s="1"/>
  <c r="EH59" i="19" a="1"/>
  <c r="EH59" i="19" s="1"/>
  <c r="EB59" i="19" a="1"/>
  <c r="EB59" i="19" s="1"/>
  <c r="DZ59" i="19" a="1"/>
  <c r="DZ59" i="19" s="1"/>
  <c r="DU59" i="19" a="1"/>
  <c r="DU59" i="19" s="1"/>
  <c r="DO59" i="19" a="1"/>
  <c r="DO59" i="19" s="1"/>
  <c r="DM59" i="19" a="1"/>
  <c r="DM59" i="19" s="1"/>
  <c r="DK59" i="19" a="1"/>
  <c r="DK59" i="19" s="1"/>
  <c r="BO59" i="19" a="1"/>
  <c r="BO59" i="19" s="1"/>
  <c r="AQ59" i="19" a="1"/>
  <c r="AQ59" i="19" s="1"/>
  <c r="AM59" i="19" a="1"/>
  <c r="AM59" i="19" s="1"/>
  <c r="AG59" i="19" a="1"/>
  <c r="AG59" i="19" s="1"/>
  <c r="BN59" i="19" a="1"/>
  <c r="BN59" i="19" s="1"/>
  <c r="AR59" i="19" a="1"/>
  <c r="AR59" i="19" s="1"/>
  <c r="AN59" i="19" a="1"/>
  <c r="AN59" i="19" s="1"/>
  <c r="AL59" i="19" a="1"/>
  <c r="AL59" i="19" s="1"/>
  <c r="AH59" i="19" a="1"/>
  <c r="AH59" i="19" s="1"/>
  <c r="AD59" i="19" a="1"/>
  <c r="AD59" i="19" s="1"/>
  <c r="DU58" i="19" a="1"/>
  <c r="DU58" i="19" s="1"/>
  <c r="DO58" i="19" a="1"/>
  <c r="DO58" i="19" s="1"/>
  <c r="DM58" i="19" a="1"/>
  <c r="DM58" i="19" s="1"/>
  <c r="DK58" i="19" a="1"/>
  <c r="DK58" i="19" s="1"/>
  <c r="EX58" i="19" a="1"/>
  <c r="EX58" i="19" s="1"/>
  <c r="ER58" i="19" a="1"/>
  <c r="ER58" i="19" s="1"/>
  <c r="EP58" i="19" a="1"/>
  <c r="EP58" i="19" s="1"/>
  <c r="EN58" i="19" a="1"/>
  <c r="EN58" i="19" s="1"/>
  <c r="EL58" i="19" a="1"/>
  <c r="EL58" i="19" s="1"/>
  <c r="EJ58" i="19" a="1"/>
  <c r="EJ58" i="19" s="1"/>
  <c r="EH58" i="19" a="1"/>
  <c r="EH58" i="19" s="1"/>
  <c r="EB58" i="19" a="1"/>
  <c r="EB58" i="19" s="1"/>
  <c r="DZ58" i="19" a="1"/>
  <c r="DZ58" i="19" s="1"/>
  <c r="DV58" i="19" a="1"/>
  <c r="DV58" i="19" s="1"/>
  <c r="BO58" i="19" a="1"/>
  <c r="BO58" i="19" s="1"/>
  <c r="AQ58" i="19" a="1"/>
  <c r="AQ58" i="19" s="1"/>
  <c r="AM58" i="19" a="1"/>
  <c r="AM58" i="19" s="1"/>
  <c r="AG58" i="19" a="1"/>
  <c r="AG58" i="19" s="1"/>
  <c r="BN58" i="19" a="1"/>
  <c r="BN58" i="19" s="1"/>
  <c r="AR58" i="19" a="1"/>
  <c r="AR58" i="19" s="1"/>
  <c r="AN58" i="19" a="1"/>
  <c r="AN58" i="19" s="1"/>
  <c r="AL58" i="19" a="1"/>
  <c r="AL58" i="19" s="1"/>
  <c r="AH58" i="19" a="1"/>
  <c r="AH58" i="19" s="1"/>
  <c r="AD58" i="19" a="1"/>
  <c r="AD58" i="19" s="1"/>
  <c r="DU57" i="19" a="1"/>
  <c r="DU57" i="19" s="1"/>
  <c r="DO57" i="19" a="1"/>
  <c r="DO57" i="19" s="1"/>
  <c r="DM57" i="19" a="1"/>
  <c r="DM57" i="19" s="1"/>
  <c r="DK57" i="19" a="1"/>
  <c r="DK57" i="19" s="1"/>
  <c r="EJ57" i="19" a="1"/>
  <c r="EJ57" i="19" s="1"/>
  <c r="EH57" i="19" a="1"/>
  <c r="EH57" i="19" s="1"/>
  <c r="EB57" i="19" a="1"/>
  <c r="EB57" i="19" s="1"/>
  <c r="EX57" i="19" a="1"/>
  <c r="EX57" i="19" s="1"/>
  <c r="ER57" i="19" a="1"/>
  <c r="ER57" i="19" s="1"/>
  <c r="EP57" i="19" a="1"/>
  <c r="EP57" i="19" s="1"/>
  <c r="EN57" i="19" a="1"/>
  <c r="EN57" i="19" s="1"/>
  <c r="EL57" i="19" a="1"/>
  <c r="EL57" i="19" s="1"/>
  <c r="DZ57" i="19" a="1"/>
  <c r="DZ57" i="19" s="1"/>
  <c r="DV57" i="19" a="1"/>
  <c r="DV57" i="19" s="1"/>
  <c r="BO57" i="19" a="1"/>
  <c r="BO57" i="19" s="1"/>
  <c r="AQ57" i="19" a="1"/>
  <c r="AQ57" i="19" s="1"/>
  <c r="AM57" i="19" a="1"/>
  <c r="AM57" i="19" s="1"/>
  <c r="AG57" i="19" a="1"/>
  <c r="AG57" i="19" s="1"/>
  <c r="BN57" i="19" a="1"/>
  <c r="BN57" i="19" s="1"/>
  <c r="AR57" i="19" a="1"/>
  <c r="AR57" i="19" s="1"/>
  <c r="AN57" i="19" a="1"/>
  <c r="AN57" i="19" s="1"/>
  <c r="AL57" i="19" a="1"/>
  <c r="AL57" i="19" s="1"/>
  <c r="AH57" i="19" a="1"/>
  <c r="AH57" i="19" s="1"/>
  <c r="AD57" i="19" a="1"/>
  <c r="AD57" i="19" s="1"/>
  <c r="DU56" i="19" a="1"/>
  <c r="DU56" i="19" s="1"/>
  <c r="DO56" i="19" a="1"/>
  <c r="DO56" i="19" s="1"/>
  <c r="DM56" i="19" a="1"/>
  <c r="DM56" i="19" s="1"/>
  <c r="DK56" i="19" a="1"/>
  <c r="DK56" i="19" s="1"/>
  <c r="ER56" i="19" a="1"/>
  <c r="ER56" i="19" s="1"/>
  <c r="EN56" i="19" a="1"/>
  <c r="EN56" i="19" s="1"/>
  <c r="EJ56" i="19" a="1"/>
  <c r="EJ56" i="19" s="1"/>
  <c r="EB56" i="19" a="1"/>
  <c r="EB56" i="19" s="1"/>
  <c r="DZ56" i="19" a="1"/>
  <c r="DZ56" i="19" s="1"/>
  <c r="DV56" i="19" a="1"/>
  <c r="DV56" i="19" s="1"/>
  <c r="EX56" i="19" a="1"/>
  <c r="EX56" i="19" s="1"/>
  <c r="EP56" i="19" a="1"/>
  <c r="EP56" i="19" s="1"/>
  <c r="EL56" i="19" a="1"/>
  <c r="EL56" i="19" s="1"/>
  <c r="EH56" i="19" a="1"/>
  <c r="EH56" i="19" s="1"/>
  <c r="BO56" i="19" a="1"/>
  <c r="BO56" i="19" s="1"/>
  <c r="AQ56" i="19" a="1"/>
  <c r="AQ56" i="19" s="1"/>
  <c r="AM56" i="19" a="1"/>
  <c r="AM56" i="19" s="1"/>
  <c r="AG56" i="19" a="1"/>
  <c r="AG56" i="19" s="1"/>
  <c r="BN56" i="19" a="1"/>
  <c r="BN56" i="19" s="1"/>
  <c r="AR56" i="19" a="1"/>
  <c r="AR56" i="19" s="1"/>
  <c r="AN56" i="19" a="1"/>
  <c r="AN56" i="19" s="1"/>
  <c r="AL56" i="19" a="1"/>
  <c r="AL56" i="19" s="1"/>
  <c r="AH56" i="19" a="1"/>
  <c r="AH56" i="19" s="1"/>
  <c r="AD56" i="19" a="1"/>
  <c r="AD56" i="19" s="1"/>
  <c r="DU55" i="19" a="1"/>
  <c r="DU55" i="19" s="1"/>
  <c r="DO55" i="19" a="1"/>
  <c r="DO55" i="19" s="1"/>
  <c r="DM55" i="19" a="1"/>
  <c r="DM55" i="19" s="1"/>
  <c r="DK55" i="19" a="1"/>
  <c r="DK55" i="19" s="1"/>
  <c r="EX55" i="19" a="1"/>
  <c r="EX55" i="19" s="1"/>
  <c r="EP55" i="19" a="1"/>
  <c r="EP55" i="19" s="1"/>
  <c r="EL55" i="19" a="1"/>
  <c r="EL55" i="19" s="1"/>
  <c r="EH55" i="19" a="1"/>
  <c r="EH55" i="19" s="1"/>
  <c r="DZ55" i="19" a="1"/>
  <c r="DZ55" i="19" s="1"/>
  <c r="DV55" i="19" a="1"/>
  <c r="DV55" i="19" s="1"/>
  <c r="ER55" i="19" a="1"/>
  <c r="ER55" i="19" s="1"/>
  <c r="EN55" i="19" a="1"/>
  <c r="EN55" i="19" s="1"/>
  <c r="EJ55" i="19" a="1"/>
  <c r="EJ55" i="19" s="1"/>
  <c r="EB55" i="19" a="1"/>
  <c r="EB55" i="19" s="1"/>
  <c r="BO55" i="19" a="1"/>
  <c r="BO55" i="19" s="1"/>
  <c r="AQ55" i="19" a="1"/>
  <c r="AQ55" i="19" s="1"/>
  <c r="AM55" i="19" a="1"/>
  <c r="AM55" i="19" s="1"/>
  <c r="AG55" i="19" a="1"/>
  <c r="AG55" i="19" s="1"/>
  <c r="AH55" i="19" a="1"/>
  <c r="AH55" i="19" s="1"/>
  <c r="AD55" i="19" a="1"/>
  <c r="AD55" i="19" s="1"/>
  <c r="BN55" i="19" a="1"/>
  <c r="BN55" i="19" s="1"/>
  <c r="AR55" i="19" a="1"/>
  <c r="AR55" i="19" s="1"/>
  <c r="AN55" i="19" a="1"/>
  <c r="AN55" i="19" s="1"/>
  <c r="AL55" i="19" a="1"/>
  <c r="AL55" i="19" s="1"/>
  <c r="DU54" i="19" a="1"/>
  <c r="DU54" i="19" s="1"/>
  <c r="DO54" i="19" a="1"/>
  <c r="DO54" i="19" s="1"/>
  <c r="DM54" i="19" a="1"/>
  <c r="DM54" i="19" s="1"/>
  <c r="DK54" i="19" a="1"/>
  <c r="DK54" i="19" s="1"/>
  <c r="ER54" i="19" a="1"/>
  <c r="ER54" i="19" s="1"/>
  <c r="EP54" i="19" a="1"/>
  <c r="EP54" i="19" s="1"/>
  <c r="EN54" i="19" a="1"/>
  <c r="EN54" i="19" s="1"/>
  <c r="EJ54" i="19" a="1"/>
  <c r="EJ54" i="19" s="1"/>
  <c r="EB54" i="19" a="1"/>
  <c r="EB54" i="19" s="1"/>
  <c r="EX54" i="19" a="1"/>
  <c r="EX54" i="19" s="1"/>
  <c r="EL54" i="19" a="1"/>
  <c r="EL54" i="19" s="1"/>
  <c r="EH54" i="19" a="1"/>
  <c r="EH54" i="19" s="1"/>
  <c r="DZ54" i="19" a="1"/>
  <c r="DZ54" i="19" s="1"/>
  <c r="DV54" i="19" a="1"/>
  <c r="DV54" i="19" s="1"/>
  <c r="BO54" i="19" a="1"/>
  <c r="BO54" i="19" s="1"/>
  <c r="AQ54" i="19" a="1"/>
  <c r="AQ54" i="19" s="1"/>
  <c r="AM54" i="19" a="1"/>
  <c r="AM54" i="19" s="1"/>
  <c r="AG54" i="19" a="1"/>
  <c r="AG54" i="19" s="1"/>
  <c r="BN54" i="19" a="1"/>
  <c r="BN54" i="19" s="1"/>
  <c r="AR54" i="19" a="1"/>
  <c r="AR54" i="19" s="1"/>
  <c r="AN54" i="19" a="1"/>
  <c r="AN54" i="19" s="1"/>
  <c r="AL54" i="19" a="1"/>
  <c r="AL54" i="19" s="1"/>
  <c r="AH54" i="19" a="1"/>
  <c r="AH54" i="19" s="1"/>
  <c r="AD54" i="19" a="1"/>
  <c r="AD54" i="19" s="1"/>
  <c r="DU53" i="19" a="1"/>
  <c r="DU53" i="19" s="1"/>
  <c r="DO53" i="19" a="1"/>
  <c r="DO53" i="19" s="1"/>
  <c r="DM53" i="19" a="1"/>
  <c r="DM53" i="19" s="1"/>
  <c r="DK53" i="19" a="1"/>
  <c r="DK53" i="19" s="1"/>
  <c r="EX53" i="19" a="1"/>
  <c r="EX53" i="19" s="1"/>
  <c r="ER53" i="19" a="1"/>
  <c r="ER53" i="19" s="1"/>
  <c r="EP53" i="19" a="1"/>
  <c r="EP53" i="19" s="1"/>
  <c r="EN53" i="19" a="1"/>
  <c r="EN53" i="19" s="1"/>
  <c r="EL53" i="19" a="1"/>
  <c r="EL53" i="19" s="1"/>
  <c r="EJ53" i="19" a="1"/>
  <c r="EJ53" i="19" s="1"/>
  <c r="EH53" i="19" a="1"/>
  <c r="EH53" i="19" s="1"/>
  <c r="EB53" i="19" a="1"/>
  <c r="EB53" i="19" s="1"/>
  <c r="DZ53" i="19" a="1"/>
  <c r="DZ53" i="19" s="1"/>
  <c r="DV53" i="19" a="1"/>
  <c r="DV53" i="19" s="1"/>
  <c r="BO53" i="19" a="1"/>
  <c r="BO53" i="19" s="1"/>
  <c r="AQ53" i="19" a="1"/>
  <c r="AQ53" i="19" s="1"/>
  <c r="AM53" i="19" a="1"/>
  <c r="AM53" i="19" s="1"/>
  <c r="AG53" i="19" a="1"/>
  <c r="AG53" i="19" s="1"/>
  <c r="BN53" i="19" a="1"/>
  <c r="BN53" i="19" s="1"/>
  <c r="AR53" i="19" a="1"/>
  <c r="AR53" i="19" s="1"/>
  <c r="AN53" i="19" a="1"/>
  <c r="AN53" i="19" s="1"/>
  <c r="AL53" i="19" a="1"/>
  <c r="AL53" i="19" s="1"/>
  <c r="AH53" i="19" a="1"/>
  <c r="AH53" i="19" s="1"/>
  <c r="AD53" i="19" a="1"/>
  <c r="AD53" i="19" s="1"/>
  <c r="DU52" i="19" a="1"/>
  <c r="DU52" i="19" s="1"/>
  <c r="DO52" i="19" a="1"/>
  <c r="DO52" i="19" s="1"/>
  <c r="DM52" i="19" a="1"/>
  <c r="DM52" i="19" s="1"/>
  <c r="DK52" i="19" a="1"/>
  <c r="DK52" i="19" s="1"/>
  <c r="EX52" i="19" a="1"/>
  <c r="EX52" i="19" s="1"/>
  <c r="ER52" i="19" a="1"/>
  <c r="ER52" i="19" s="1"/>
  <c r="EP52" i="19" a="1"/>
  <c r="EP52" i="19" s="1"/>
  <c r="EN52" i="19" a="1"/>
  <c r="EN52" i="19" s="1"/>
  <c r="EJ52" i="19" a="1"/>
  <c r="EJ52" i="19" s="1"/>
  <c r="EH52" i="19" a="1"/>
  <c r="EH52" i="19" s="1"/>
  <c r="DZ52" i="19" a="1"/>
  <c r="DZ52" i="19" s="1"/>
  <c r="DV52" i="19" a="1"/>
  <c r="DV52" i="19" s="1"/>
  <c r="EL52" i="19" a="1"/>
  <c r="EL52" i="19" s="1"/>
  <c r="EB52" i="19" a="1"/>
  <c r="EB52" i="19" s="1"/>
  <c r="BO52" i="19" a="1"/>
  <c r="BO52" i="19" s="1"/>
  <c r="AQ52" i="19" a="1"/>
  <c r="AQ52" i="19" s="1"/>
  <c r="AM52" i="19" a="1"/>
  <c r="AM52" i="19" s="1"/>
  <c r="AG52" i="19" a="1"/>
  <c r="AG52" i="19" s="1"/>
  <c r="BN52" i="19" a="1"/>
  <c r="BN52" i="19" s="1"/>
  <c r="AH52" i="19" a="1"/>
  <c r="AH52" i="19" s="1"/>
  <c r="AD52" i="19" a="1"/>
  <c r="AD52" i="19" s="1"/>
  <c r="AR52" i="19" a="1"/>
  <c r="AR52" i="19" s="1"/>
  <c r="AN52" i="19" a="1"/>
  <c r="AN52" i="19" s="1"/>
  <c r="AL52" i="19" a="1"/>
  <c r="AL52" i="19" s="1"/>
  <c r="DU51" i="19" a="1"/>
  <c r="DU51" i="19" s="1"/>
  <c r="DO51" i="19" a="1"/>
  <c r="DO51" i="19" s="1"/>
  <c r="DM51" i="19" a="1"/>
  <c r="DM51" i="19" s="1"/>
  <c r="DK51" i="19" a="1"/>
  <c r="DK51" i="19" s="1"/>
  <c r="EX51" i="19" a="1"/>
  <c r="EX51" i="19" s="1"/>
  <c r="ER51" i="19" a="1"/>
  <c r="ER51" i="19" s="1"/>
  <c r="EP51" i="19" a="1"/>
  <c r="EP51" i="19" s="1"/>
  <c r="EN51" i="19" a="1"/>
  <c r="EN51" i="19" s="1"/>
  <c r="EL51" i="19" a="1"/>
  <c r="EL51" i="19" s="1"/>
  <c r="EJ51" i="19" a="1"/>
  <c r="EJ51" i="19" s="1"/>
  <c r="EH51" i="19" a="1"/>
  <c r="EH51" i="19" s="1"/>
  <c r="EB51" i="19" a="1"/>
  <c r="EB51" i="19" s="1"/>
  <c r="DZ51" i="19" a="1"/>
  <c r="DZ51" i="19" s="1"/>
  <c r="DV51" i="19" a="1"/>
  <c r="DV51" i="19" s="1"/>
  <c r="BO51" i="19" a="1"/>
  <c r="BO51" i="19" s="1"/>
  <c r="AQ51" i="19" a="1"/>
  <c r="AQ51" i="19" s="1"/>
  <c r="AM51" i="19" a="1"/>
  <c r="AM51" i="19" s="1"/>
  <c r="AG51" i="19" a="1"/>
  <c r="AG51" i="19" s="1"/>
  <c r="BN51" i="19" a="1"/>
  <c r="BN51" i="19" s="1"/>
  <c r="AR51" i="19" a="1"/>
  <c r="AR51" i="19" s="1"/>
  <c r="AN51" i="19" a="1"/>
  <c r="AN51" i="19" s="1"/>
  <c r="AL51" i="19" a="1"/>
  <c r="AL51" i="19" s="1"/>
  <c r="AH51" i="19" a="1"/>
  <c r="AH51" i="19" s="1"/>
  <c r="AD51" i="19" a="1"/>
  <c r="AD51" i="19" s="1"/>
  <c r="DU50" i="19" a="1"/>
  <c r="DU50" i="19" s="1"/>
  <c r="DO50" i="19" a="1"/>
  <c r="DO50" i="19" s="1"/>
  <c r="DM50" i="19" a="1"/>
  <c r="DM50" i="19" s="1"/>
  <c r="DK50" i="19" a="1"/>
  <c r="DK50" i="19" s="1"/>
  <c r="ER50" i="19" a="1"/>
  <c r="ER50" i="19" s="1"/>
  <c r="EP50" i="19" a="1"/>
  <c r="EP50" i="19" s="1"/>
  <c r="EN50" i="19" a="1"/>
  <c r="EN50" i="19" s="1"/>
  <c r="EL50" i="19" a="1"/>
  <c r="EL50" i="19" s="1"/>
  <c r="EJ50" i="19" a="1"/>
  <c r="EJ50" i="19" s="1"/>
  <c r="DZ50" i="19" a="1"/>
  <c r="DZ50" i="19" s="1"/>
  <c r="DV50" i="19" a="1"/>
  <c r="DV50" i="19" s="1"/>
  <c r="EX50" i="19" a="1"/>
  <c r="EX50" i="19" s="1"/>
  <c r="EH50" i="19" a="1"/>
  <c r="EH50" i="19" s="1"/>
  <c r="EB50" i="19" a="1"/>
  <c r="EB50" i="19" s="1"/>
  <c r="BO50" i="19" a="1"/>
  <c r="BO50" i="19" s="1"/>
  <c r="AQ50" i="19" a="1"/>
  <c r="AQ50" i="19" s="1"/>
  <c r="AM50" i="19" a="1"/>
  <c r="AM50" i="19" s="1"/>
  <c r="AG50" i="19" a="1"/>
  <c r="AG50" i="19" s="1"/>
  <c r="BN50" i="19" a="1"/>
  <c r="BN50" i="19" s="1"/>
  <c r="AR50" i="19" a="1"/>
  <c r="AR50" i="19" s="1"/>
  <c r="AN50" i="19" a="1"/>
  <c r="AN50" i="19" s="1"/>
  <c r="AL50" i="19" a="1"/>
  <c r="AL50" i="19" s="1"/>
  <c r="AH50" i="19" a="1"/>
  <c r="AH50" i="19" s="1"/>
  <c r="AD50" i="19" a="1"/>
  <c r="AD50" i="19" s="1"/>
  <c r="DU49" i="19" a="1"/>
  <c r="DU49" i="19" s="1"/>
  <c r="DO49" i="19" a="1"/>
  <c r="DO49" i="19" s="1"/>
  <c r="DM49" i="19" a="1"/>
  <c r="DM49" i="19" s="1"/>
  <c r="DK49" i="19" a="1"/>
  <c r="DK49" i="19" s="1"/>
  <c r="EX49" i="19" a="1"/>
  <c r="EX49" i="19" s="1"/>
  <c r="ER49" i="19" a="1"/>
  <c r="ER49" i="19" s="1"/>
  <c r="EP49" i="19" a="1"/>
  <c r="EP49" i="19" s="1"/>
  <c r="EN49" i="19" a="1"/>
  <c r="EN49" i="19" s="1"/>
  <c r="EL49" i="19" a="1"/>
  <c r="EL49" i="19" s="1"/>
  <c r="EJ49" i="19" a="1"/>
  <c r="EJ49" i="19" s="1"/>
  <c r="EH49" i="19" a="1"/>
  <c r="EH49" i="19" s="1"/>
  <c r="EB49" i="19" a="1"/>
  <c r="EB49" i="19" s="1"/>
  <c r="DZ49" i="19" a="1"/>
  <c r="DZ49" i="19" s="1"/>
  <c r="DV49" i="19" a="1"/>
  <c r="DV49" i="19" s="1"/>
  <c r="BO49" i="19" a="1"/>
  <c r="BO49" i="19" s="1"/>
  <c r="AQ49" i="19" a="1"/>
  <c r="AQ49" i="19" s="1"/>
  <c r="AM49" i="19" a="1"/>
  <c r="AM49" i="19" s="1"/>
  <c r="AG49" i="19" a="1"/>
  <c r="AG49" i="19" s="1"/>
  <c r="BN49" i="19" a="1"/>
  <c r="BN49" i="19" s="1"/>
  <c r="AR49" i="19" a="1"/>
  <c r="AR49" i="19" s="1"/>
  <c r="AN49" i="19" a="1"/>
  <c r="AN49" i="19" s="1"/>
  <c r="AL49" i="19" a="1"/>
  <c r="AL49" i="19" s="1"/>
  <c r="AH49" i="19" a="1"/>
  <c r="AH49" i="19" s="1"/>
  <c r="AD49" i="19" a="1"/>
  <c r="AD49" i="19" s="1"/>
  <c r="DU48" i="19" a="1"/>
  <c r="DU48" i="19" s="1"/>
  <c r="DO48" i="19" a="1"/>
  <c r="DO48" i="19" s="1"/>
  <c r="DM48" i="19" a="1"/>
  <c r="DM48" i="19" s="1"/>
  <c r="DK48" i="19" a="1"/>
  <c r="DK48" i="19" s="1"/>
  <c r="EX48" i="19" a="1"/>
  <c r="EX48" i="19" s="1"/>
  <c r="ER48" i="19" a="1"/>
  <c r="ER48" i="19" s="1"/>
  <c r="EP48" i="19" a="1"/>
  <c r="EP48" i="19" s="1"/>
  <c r="EN48" i="19" a="1"/>
  <c r="EN48" i="19" s="1"/>
  <c r="EL48" i="19" a="1"/>
  <c r="EL48" i="19" s="1"/>
  <c r="EJ48" i="19" a="1"/>
  <c r="EJ48" i="19" s="1"/>
  <c r="EH48" i="19" a="1"/>
  <c r="EH48" i="19" s="1"/>
  <c r="EB48" i="19" a="1"/>
  <c r="EB48" i="19" s="1"/>
  <c r="DZ48" i="19" a="1"/>
  <c r="DZ48" i="19" s="1"/>
  <c r="DV48" i="19" a="1"/>
  <c r="DV48" i="19" s="1"/>
  <c r="BO48" i="19" a="1"/>
  <c r="BO48" i="19" s="1"/>
  <c r="AQ48" i="19" a="1"/>
  <c r="AQ48" i="19" s="1"/>
  <c r="AM48" i="19" a="1"/>
  <c r="AM48" i="19" s="1"/>
  <c r="AG48" i="19" a="1"/>
  <c r="AG48" i="19" s="1"/>
  <c r="BN48" i="19" a="1"/>
  <c r="BN48" i="19" s="1"/>
  <c r="AR48" i="19" a="1"/>
  <c r="AR48" i="19" s="1"/>
  <c r="AN48" i="19" a="1"/>
  <c r="AN48" i="19" s="1"/>
  <c r="AL48" i="19" a="1"/>
  <c r="AL48" i="19" s="1"/>
  <c r="AH48" i="19" a="1"/>
  <c r="AH48" i="19" s="1"/>
  <c r="AD48" i="19" a="1"/>
  <c r="AD48" i="19" s="1"/>
  <c r="DU47" i="19" a="1"/>
  <c r="DU47" i="19" s="1"/>
  <c r="DO47" i="19" a="1"/>
  <c r="DO47" i="19" s="1"/>
  <c r="DM47" i="19" a="1"/>
  <c r="DM47" i="19" s="1"/>
  <c r="DK47" i="19" a="1"/>
  <c r="DK47" i="19" s="1"/>
  <c r="EX47" i="19" a="1"/>
  <c r="EX47" i="19" s="1"/>
  <c r="ER47" i="19" a="1"/>
  <c r="ER47" i="19" s="1"/>
  <c r="EP47" i="19" a="1"/>
  <c r="EP47" i="19" s="1"/>
  <c r="EN47" i="19" a="1"/>
  <c r="EN47" i="19" s="1"/>
  <c r="EL47" i="19" a="1"/>
  <c r="EL47" i="19" s="1"/>
  <c r="EJ47" i="19" a="1"/>
  <c r="EJ47" i="19" s="1"/>
  <c r="EH47" i="19" a="1"/>
  <c r="EH47" i="19" s="1"/>
  <c r="EB47" i="19" a="1"/>
  <c r="EB47" i="19" s="1"/>
  <c r="DZ47" i="19" a="1"/>
  <c r="DZ47" i="19" s="1"/>
  <c r="DV47" i="19" a="1"/>
  <c r="DV47" i="19" s="1"/>
  <c r="BO47" i="19" a="1"/>
  <c r="BO47" i="19" s="1"/>
  <c r="AQ47" i="19" a="1"/>
  <c r="AQ47" i="19" s="1"/>
  <c r="AM47" i="19" a="1"/>
  <c r="AM47" i="19" s="1"/>
  <c r="AG47" i="19" a="1"/>
  <c r="AG47" i="19" s="1"/>
  <c r="BN47" i="19" a="1"/>
  <c r="BN47" i="19" s="1"/>
  <c r="AR47" i="19" a="1"/>
  <c r="AR47" i="19" s="1"/>
  <c r="AN47" i="19" a="1"/>
  <c r="AN47" i="19" s="1"/>
  <c r="AL47" i="19" a="1"/>
  <c r="AL47" i="19" s="1"/>
  <c r="AH47" i="19" a="1"/>
  <c r="AH47" i="19" s="1"/>
  <c r="AD47" i="19" a="1"/>
  <c r="AD47" i="19" s="1"/>
  <c r="DU46" i="19" a="1"/>
  <c r="DU46" i="19" s="1"/>
  <c r="DO46" i="19" a="1"/>
  <c r="DO46" i="19" s="1"/>
  <c r="DM46" i="19" a="1"/>
  <c r="DM46" i="19" s="1"/>
  <c r="DK46" i="19" a="1"/>
  <c r="DK46" i="19" s="1"/>
  <c r="ER46" i="19" a="1"/>
  <c r="ER46" i="19" s="1"/>
  <c r="EP46" i="19" a="1"/>
  <c r="EP46" i="19" s="1"/>
  <c r="EL46" i="19" a="1"/>
  <c r="EL46" i="19" s="1"/>
  <c r="EH46" i="19" a="1"/>
  <c r="EH46" i="19" s="1"/>
  <c r="EX46" i="19" a="1"/>
  <c r="EX46" i="19" s="1"/>
  <c r="EN46" i="19" a="1"/>
  <c r="EN46" i="19" s="1"/>
  <c r="EJ46" i="19" a="1"/>
  <c r="EJ46" i="19" s="1"/>
  <c r="EB46" i="19" a="1"/>
  <c r="EB46" i="19" s="1"/>
  <c r="DZ46" i="19" a="1"/>
  <c r="DZ46" i="19" s="1"/>
  <c r="DV46" i="19" a="1"/>
  <c r="DV46" i="19" s="1"/>
  <c r="BO46" i="19" a="1"/>
  <c r="BO46" i="19" s="1"/>
  <c r="AQ46" i="19" a="1"/>
  <c r="AQ46" i="19" s="1"/>
  <c r="AM46" i="19" a="1"/>
  <c r="AM46" i="19" s="1"/>
  <c r="AG46" i="19" a="1"/>
  <c r="AG46" i="19" s="1"/>
  <c r="BN46" i="19" a="1"/>
  <c r="BN46" i="19" s="1"/>
  <c r="AR46" i="19" a="1"/>
  <c r="AR46" i="19" s="1"/>
  <c r="AN46" i="19" a="1"/>
  <c r="AN46" i="19" s="1"/>
  <c r="AL46" i="19" a="1"/>
  <c r="AL46" i="19" s="1"/>
  <c r="AH46" i="19" a="1"/>
  <c r="AH46" i="19" s="1"/>
  <c r="AD46" i="19" a="1"/>
  <c r="AD46" i="19" s="1"/>
  <c r="DU45" i="19" a="1"/>
  <c r="DU45" i="19" s="1"/>
  <c r="DO45" i="19" a="1"/>
  <c r="DO45" i="19" s="1"/>
  <c r="DM45" i="19" a="1"/>
  <c r="DM45" i="19" s="1"/>
  <c r="DK45" i="19" a="1"/>
  <c r="DK45" i="19" s="1"/>
  <c r="EX45" i="19" a="1"/>
  <c r="EX45" i="19" s="1"/>
  <c r="ER45" i="19" a="1"/>
  <c r="ER45" i="19" s="1"/>
  <c r="EP45" i="19" a="1"/>
  <c r="EP45" i="19" s="1"/>
  <c r="EN45" i="19" a="1"/>
  <c r="EN45" i="19" s="1"/>
  <c r="EL45" i="19" a="1"/>
  <c r="EL45" i="19" s="1"/>
  <c r="EJ45" i="19" a="1"/>
  <c r="EJ45" i="19" s="1"/>
  <c r="EH45" i="19" a="1"/>
  <c r="EH45" i="19" s="1"/>
  <c r="EB45" i="19" a="1"/>
  <c r="EB45" i="19" s="1"/>
  <c r="DZ45" i="19" a="1"/>
  <c r="DZ45" i="19" s="1"/>
  <c r="DV45" i="19" a="1"/>
  <c r="DV45" i="19" s="1"/>
  <c r="BO45" i="19" a="1"/>
  <c r="BO45" i="19" s="1"/>
  <c r="AQ45" i="19" a="1"/>
  <c r="AQ45" i="19" s="1"/>
  <c r="AM45" i="19" a="1"/>
  <c r="AM45" i="19" s="1"/>
  <c r="AG45" i="19" a="1"/>
  <c r="AG45" i="19" s="1"/>
  <c r="BN45" i="19" a="1"/>
  <c r="BN45" i="19" s="1"/>
  <c r="AR45" i="19" a="1"/>
  <c r="AR45" i="19" s="1"/>
  <c r="AN45" i="19" a="1"/>
  <c r="AN45" i="19" s="1"/>
  <c r="AL45" i="19" a="1"/>
  <c r="AL45" i="19" s="1"/>
  <c r="AH45" i="19" a="1"/>
  <c r="AH45" i="19" s="1"/>
  <c r="AD45" i="19" a="1"/>
  <c r="AD45" i="19" s="1"/>
  <c r="DU44" i="19" a="1"/>
  <c r="DU44" i="19" s="1"/>
  <c r="DO44" i="19" a="1"/>
  <c r="DO44" i="19" s="1"/>
  <c r="DM44" i="19" a="1"/>
  <c r="DM44" i="19" s="1"/>
  <c r="DK44" i="19" a="1"/>
  <c r="DK44" i="19" s="1"/>
  <c r="EX44" i="19" a="1"/>
  <c r="EX44" i="19" s="1"/>
  <c r="ER44" i="19" a="1"/>
  <c r="ER44" i="19" s="1"/>
  <c r="EP44" i="19" a="1"/>
  <c r="EP44" i="19" s="1"/>
  <c r="EN44" i="19" a="1"/>
  <c r="EN44" i="19" s="1"/>
  <c r="EL44" i="19" a="1"/>
  <c r="EL44" i="19" s="1"/>
  <c r="EJ44" i="19" a="1"/>
  <c r="EJ44" i="19" s="1"/>
  <c r="EH44" i="19" a="1"/>
  <c r="EH44" i="19" s="1"/>
  <c r="EB44" i="19" a="1"/>
  <c r="EB44" i="19" s="1"/>
  <c r="DZ44" i="19" a="1"/>
  <c r="DZ44" i="19" s="1"/>
  <c r="DV44" i="19" a="1"/>
  <c r="DV44" i="19" s="1"/>
  <c r="BO44" i="19" a="1"/>
  <c r="BO44" i="19" s="1"/>
  <c r="AQ44" i="19" a="1"/>
  <c r="AQ44" i="19" s="1"/>
  <c r="AM44" i="19" a="1"/>
  <c r="AM44" i="19" s="1"/>
  <c r="AG44" i="19" a="1"/>
  <c r="AG44" i="19" s="1"/>
  <c r="BN44" i="19" a="1"/>
  <c r="BN44" i="19" s="1"/>
  <c r="AR44" i="19" a="1"/>
  <c r="AR44" i="19" s="1"/>
  <c r="AN44" i="19" a="1"/>
  <c r="AN44" i="19" s="1"/>
  <c r="AL44" i="19" a="1"/>
  <c r="AL44" i="19" s="1"/>
  <c r="AH44" i="19" a="1"/>
  <c r="AH44" i="19" s="1"/>
  <c r="AD44" i="19" a="1"/>
  <c r="AD44" i="19" s="1"/>
  <c r="DU43" i="19" a="1"/>
  <c r="DU43" i="19" s="1"/>
  <c r="DO43" i="19" a="1"/>
  <c r="DO43" i="19" s="1"/>
  <c r="DM43" i="19" a="1"/>
  <c r="DM43" i="19" s="1"/>
  <c r="DK43" i="19" a="1"/>
  <c r="DK43" i="19" s="1"/>
  <c r="EX43" i="19" a="1"/>
  <c r="EX43" i="19" s="1"/>
  <c r="ER43" i="19" a="1"/>
  <c r="ER43" i="19" s="1"/>
  <c r="EP43" i="19" a="1"/>
  <c r="EP43" i="19" s="1"/>
  <c r="EN43" i="19" a="1"/>
  <c r="EN43" i="19" s="1"/>
  <c r="EL43" i="19" a="1"/>
  <c r="EL43" i="19" s="1"/>
  <c r="EJ43" i="19" a="1"/>
  <c r="EJ43" i="19" s="1"/>
  <c r="EH43" i="19" a="1"/>
  <c r="EH43" i="19" s="1"/>
  <c r="EB43" i="19" a="1"/>
  <c r="EB43" i="19" s="1"/>
  <c r="DZ43" i="19" a="1"/>
  <c r="DZ43" i="19" s="1"/>
  <c r="DV43" i="19" a="1"/>
  <c r="DV43" i="19" s="1"/>
  <c r="BO43" i="19" a="1"/>
  <c r="BO43" i="19" s="1"/>
  <c r="AQ43" i="19" a="1"/>
  <c r="AQ43" i="19" s="1"/>
  <c r="AM43" i="19" a="1"/>
  <c r="AM43" i="19" s="1"/>
  <c r="AG43" i="19" a="1"/>
  <c r="AG43" i="19" s="1"/>
  <c r="BN43" i="19" a="1"/>
  <c r="BN43" i="19" s="1"/>
  <c r="AR43" i="19" a="1"/>
  <c r="AR43" i="19" s="1"/>
  <c r="AN43" i="19" a="1"/>
  <c r="AN43" i="19" s="1"/>
  <c r="AL43" i="19" a="1"/>
  <c r="AL43" i="19" s="1"/>
  <c r="AH43" i="19" a="1"/>
  <c r="AH43" i="19" s="1"/>
  <c r="AD43" i="19" a="1"/>
  <c r="AD43" i="19" s="1"/>
  <c r="DU42" i="19" a="1"/>
  <c r="DU42" i="19" s="1"/>
  <c r="DO42" i="19" a="1"/>
  <c r="DO42" i="19" s="1"/>
  <c r="DM42" i="19" a="1"/>
  <c r="DM42" i="19" s="1"/>
  <c r="DK42" i="19" a="1"/>
  <c r="DK42" i="19" s="1"/>
  <c r="EX42" i="19" a="1"/>
  <c r="EX42" i="19" s="1"/>
  <c r="ER42" i="19" a="1"/>
  <c r="ER42" i="19" s="1"/>
  <c r="EP42" i="19" a="1"/>
  <c r="EP42" i="19" s="1"/>
  <c r="EN42" i="19" a="1"/>
  <c r="EN42" i="19" s="1"/>
  <c r="EL42" i="19" a="1"/>
  <c r="EL42" i="19" s="1"/>
  <c r="EJ42" i="19" a="1"/>
  <c r="EJ42" i="19" s="1"/>
  <c r="EH42" i="19" a="1"/>
  <c r="EH42" i="19" s="1"/>
  <c r="EB42" i="19" a="1"/>
  <c r="EB42" i="19" s="1"/>
  <c r="DZ42" i="19" a="1"/>
  <c r="DZ42" i="19" s="1"/>
  <c r="DV42" i="19" a="1"/>
  <c r="DV42" i="19" s="1"/>
  <c r="BO42" i="19" a="1"/>
  <c r="BO42" i="19" s="1"/>
  <c r="AQ42" i="19" a="1"/>
  <c r="AQ42" i="19" s="1"/>
  <c r="AM42" i="19" a="1"/>
  <c r="AM42" i="19" s="1"/>
  <c r="AG42" i="19" a="1"/>
  <c r="AG42" i="19" s="1"/>
  <c r="BN42" i="19" a="1"/>
  <c r="BN42" i="19" s="1"/>
  <c r="AR42" i="19" a="1"/>
  <c r="AR42" i="19" s="1"/>
  <c r="AN42" i="19" a="1"/>
  <c r="AN42" i="19" s="1"/>
  <c r="AL42" i="19" a="1"/>
  <c r="AL42" i="19" s="1"/>
  <c r="AH42" i="19" a="1"/>
  <c r="AH42" i="19" s="1"/>
  <c r="AD42" i="19" a="1"/>
  <c r="AD42" i="19" s="1"/>
  <c r="DU41" i="19" a="1"/>
  <c r="DU41" i="19" s="1"/>
  <c r="DO41" i="19" a="1"/>
  <c r="DO41" i="19" s="1"/>
  <c r="DM41" i="19" a="1"/>
  <c r="DM41" i="19" s="1"/>
  <c r="DK41" i="19" a="1"/>
  <c r="DK41" i="19" s="1"/>
  <c r="EX41" i="19" a="1"/>
  <c r="EX41" i="19" s="1"/>
  <c r="ER41" i="19" a="1"/>
  <c r="ER41" i="19" s="1"/>
  <c r="EP41" i="19" a="1"/>
  <c r="EP41" i="19" s="1"/>
  <c r="EN41" i="19" a="1"/>
  <c r="EN41" i="19" s="1"/>
  <c r="EL41" i="19" a="1"/>
  <c r="EL41" i="19" s="1"/>
  <c r="EJ41" i="19" a="1"/>
  <c r="EJ41" i="19" s="1"/>
  <c r="EH41" i="19" a="1"/>
  <c r="EH41" i="19" s="1"/>
  <c r="EB41" i="19" a="1"/>
  <c r="EB41" i="19" s="1"/>
  <c r="DZ41" i="19" a="1"/>
  <c r="DZ41" i="19" s="1"/>
  <c r="DV41" i="19" a="1"/>
  <c r="DV41" i="19" s="1"/>
  <c r="BO41" i="19" a="1"/>
  <c r="BO41" i="19" s="1"/>
  <c r="AQ41" i="19" a="1"/>
  <c r="AQ41" i="19" s="1"/>
  <c r="AM41" i="19" a="1"/>
  <c r="AM41" i="19" s="1"/>
  <c r="AG41" i="19" a="1"/>
  <c r="AG41" i="19" s="1"/>
  <c r="BN41" i="19" a="1"/>
  <c r="BN41" i="19" s="1"/>
  <c r="AR41" i="19" a="1"/>
  <c r="AR41" i="19" s="1"/>
  <c r="AN41" i="19" a="1"/>
  <c r="AN41" i="19" s="1"/>
  <c r="AL41" i="19" a="1"/>
  <c r="AL41" i="19" s="1"/>
  <c r="AH41" i="19" a="1"/>
  <c r="AH41" i="19" s="1"/>
  <c r="AD41" i="19" a="1"/>
  <c r="AD41" i="19" s="1"/>
  <c r="DU40" i="19" a="1"/>
  <c r="DU40" i="19" s="1"/>
  <c r="DO40" i="19" a="1"/>
  <c r="DO40" i="19" s="1"/>
  <c r="DM40" i="19" a="1"/>
  <c r="DM40" i="19" s="1"/>
  <c r="DK40" i="19" a="1"/>
  <c r="DK40" i="19" s="1"/>
  <c r="EX40" i="19" a="1"/>
  <c r="EX40" i="19" s="1"/>
  <c r="ER40" i="19" a="1"/>
  <c r="ER40" i="19" s="1"/>
  <c r="EP40" i="19" a="1"/>
  <c r="EP40" i="19" s="1"/>
  <c r="EN40" i="19" a="1"/>
  <c r="EN40" i="19" s="1"/>
  <c r="EL40" i="19" a="1"/>
  <c r="EL40" i="19" s="1"/>
  <c r="EJ40" i="19" a="1"/>
  <c r="EJ40" i="19" s="1"/>
  <c r="EH40" i="19" a="1"/>
  <c r="EH40" i="19" s="1"/>
  <c r="EB40" i="19" a="1"/>
  <c r="EB40" i="19" s="1"/>
  <c r="DZ40" i="19" a="1"/>
  <c r="DZ40" i="19" s="1"/>
  <c r="DV40" i="19" a="1"/>
  <c r="DV40" i="19" s="1"/>
  <c r="BO40" i="19" a="1"/>
  <c r="BO40" i="19" s="1"/>
  <c r="AQ40" i="19" a="1"/>
  <c r="AQ40" i="19" s="1"/>
  <c r="AM40" i="19" a="1"/>
  <c r="AM40" i="19" s="1"/>
  <c r="AG40" i="19" a="1"/>
  <c r="AG40" i="19" s="1"/>
  <c r="BN40" i="19" a="1"/>
  <c r="BN40" i="19" s="1"/>
  <c r="AR40" i="19" a="1"/>
  <c r="AR40" i="19" s="1"/>
  <c r="AN40" i="19" a="1"/>
  <c r="AN40" i="19" s="1"/>
  <c r="AL40" i="19" a="1"/>
  <c r="AL40" i="19" s="1"/>
  <c r="AH40" i="19" a="1"/>
  <c r="AH40" i="19" s="1"/>
  <c r="AD40" i="19" a="1"/>
  <c r="AD40" i="19" s="1"/>
  <c r="DU39" i="19" a="1"/>
  <c r="DU39" i="19" s="1"/>
  <c r="DO39" i="19" a="1"/>
  <c r="DO39" i="19" s="1"/>
  <c r="DM39" i="19" a="1"/>
  <c r="DM39" i="19" s="1"/>
  <c r="DK39" i="19" a="1"/>
  <c r="DK39" i="19" s="1"/>
  <c r="EX39" i="19" a="1"/>
  <c r="EX39" i="19" s="1"/>
  <c r="ER39" i="19" a="1"/>
  <c r="ER39" i="19" s="1"/>
  <c r="EP39" i="19" a="1"/>
  <c r="EP39" i="19" s="1"/>
  <c r="EN39" i="19" a="1"/>
  <c r="EN39" i="19" s="1"/>
  <c r="EL39" i="19" a="1"/>
  <c r="EL39" i="19" s="1"/>
  <c r="EJ39" i="19" a="1"/>
  <c r="EJ39" i="19" s="1"/>
  <c r="EH39" i="19" a="1"/>
  <c r="EH39" i="19" s="1"/>
  <c r="EB39" i="19" a="1"/>
  <c r="EB39" i="19" s="1"/>
  <c r="DZ39" i="19" a="1"/>
  <c r="DZ39" i="19" s="1"/>
  <c r="DV39" i="19" a="1"/>
  <c r="DV39" i="19" s="1"/>
  <c r="BO39" i="19" a="1"/>
  <c r="BO39" i="19" s="1"/>
  <c r="AQ39" i="19" a="1"/>
  <c r="AQ39" i="19" s="1"/>
  <c r="AM39" i="19" a="1"/>
  <c r="AM39" i="19" s="1"/>
  <c r="AG39" i="19" a="1"/>
  <c r="AG39" i="19" s="1"/>
  <c r="BN39" i="19" a="1"/>
  <c r="BN39" i="19" s="1"/>
  <c r="AR39" i="19" a="1"/>
  <c r="AR39" i="19" s="1"/>
  <c r="AN39" i="19" a="1"/>
  <c r="AN39" i="19" s="1"/>
  <c r="AL39" i="19" a="1"/>
  <c r="AL39" i="19" s="1"/>
  <c r="AH39" i="19" a="1"/>
  <c r="AH39" i="19" s="1"/>
  <c r="AD39" i="19" a="1"/>
  <c r="AD39" i="19" s="1"/>
  <c r="DU38" i="19" a="1"/>
  <c r="DU38" i="19" s="1"/>
  <c r="DO38" i="19" a="1"/>
  <c r="DO38" i="19" s="1"/>
  <c r="DM38" i="19" a="1"/>
  <c r="DM38" i="19" s="1"/>
  <c r="DK38" i="19" a="1"/>
  <c r="DK38" i="19" s="1"/>
  <c r="EX38" i="19" a="1"/>
  <c r="EX38" i="19" s="1"/>
  <c r="ER38" i="19" a="1"/>
  <c r="ER38" i="19" s="1"/>
  <c r="EP38" i="19" a="1"/>
  <c r="EP38" i="19" s="1"/>
  <c r="EN38" i="19" a="1"/>
  <c r="EN38" i="19" s="1"/>
  <c r="EL38" i="19" a="1"/>
  <c r="EL38" i="19" s="1"/>
  <c r="EJ38" i="19" a="1"/>
  <c r="EJ38" i="19" s="1"/>
  <c r="EH38" i="19" a="1"/>
  <c r="EH38" i="19" s="1"/>
  <c r="EB38" i="19" a="1"/>
  <c r="EB38" i="19" s="1"/>
  <c r="DZ38" i="19" a="1"/>
  <c r="DZ38" i="19" s="1"/>
  <c r="DV38" i="19" a="1"/>
  <c r="DV38" i="19" s="1"/>
  <c r="BO38" i="19" a="1"/>
  <c r="BO38" i="19" s="1"/>
  <c r="AQ38" i="19" a="1"/>
  <c r="AQ38" i="19" s="1"/>
  <c r="AM38" i="19" a="1"/>
  <c r="AM38" i="19" s="1"/>
  <c r="AG38" i="19" a="1"/>
  <c r="AG38" i="19" s="1"/>
  <c r="BN38" i="19" a="1"/>
  <c r="BN38" i="19" s="1"/>
  <c r="AR38" i="19" a="1"/>
  <c r="AR38" i="19" s="1"/>
  <c r="AN38" i="19" a="1"/>
  <c r="AN38" i="19" s="1"/>
  <c r="AL38" i="19" a="1"/>
  <c r="AL38" i="19" s="1"/>
  <c r="AH38" i="19" a="1"/>
  <c r="AH38" i="19" s="1"/>
  <c r="AD38" i="19" a="1"/>
  <c r="AD38" i="19" s="1"/>
  <c r="DU37" i="19" a="1"/>
  <c r="DU37" i="19" s="1"/>
  <c r="DO37" i="19" a="1"/>
  <c r="DO37" i="19" s="1"/>
  <c r="DM37" i="19" a="1"/>
  <c r="DM37" i="19" s="1"/>
  <c r="DK37" i="19" a="1"/>
  <c r="DK37" i="19" s="1"/>
  <c r="EX37" i="19" a="1"/>
  <c r="EX37" i="19" s="1"/>
  <c r="ER37" i="19" a="1"/>
  <c r="ER37" i="19" s="1"/>
  <c r="EP37" i="19" a="1"/>
  <c r="EP37" i="19" s="1"/>
  <c r="EN37" i="19" a="1"/>
  <c r="EN37" i="19" s="1"/>
  <c r="EL37" i="19" a="1"/>
  <c r="EL37" i="19" s="1"/>
  <c r="EJ37" i="19" a="1"/>
  <c r="EJ37" i="19" s="1"/>
  <c r="EH37" i="19" a="1"/>
  <c r="EH37" i="19" s="1"/>
  <c r="EB37" i="19" a="1"/>
  <c r="EB37" i="19" s="1"/>
  <c r="DZ37" i="19" a="1"/>
  <c r="DZ37" i="19" s="1"/>
  <c r="DV37" i="19" a="1"/>
  <c r="DV37" i="19" s="1"/>
  <c r="BO37" i="19" a="1"/>
  <c r="BO37" i="19" s="1"/>
  <c r="AQ37" i="19" a="1"/>
  <c r="AQ37" i="19" s="1"/>
  <c r="AM37" i="19" a="1"/>
  <c r="AM37" i="19" s="1"/>
  <c r="AG37" i="19" a="1"/>
  <c r="AG37" i="19" s="1"/>
  <c r="BN37" i="19" a="1"/>
  <c r="BN37" i="19" s="1"/>
  <c r="AR37" i="19" a="1"/>
  <c r="AR37" i="19" s="1"/>
  <c r="AN37" i="19" a="1"/>
  <c r="AN37" i="19" s="1"/>
  <c r="AL37" i="19" a="1"/>
  <c r="AL37" i="19" s="1"/>
  <c r="AH37" i="19" a="1"/>
  <c r="AH37" i="19" s="1"/>
  <c r="AD37" i="19" a="1"/>
  <c r="AD37" i="19" s="1"/>
  <c r="DU36" i="19" a="1"/>
  <c r="DU36" i="19" s="1"/>
  <c r="DO36" i="19" a="1"/>
  <c r="DO36" i="19" s="1"/>
  <c r="DM36" i="19" a="1"/>
  <c r="DM36" i="19" s="1"/>
  <c r="DK36" i="19" a="1"/>
  <c r="DK36" i="19" s="1"/>
  <c r="EX36" i="19" a="1"/>
  <c r="EX36" i="19" s="1"/>
  <c r="ER36" i="19" a="1"/>
  <c r="ER36" i="19" s="1"/>
  <c r="EP36" i="19" a="1"/>
  <c r="EP36" i="19" s="1"/>
  <c r="EN36" i="19" a="1"/>
  <c r="EN36" i="19" s="1"/>
  <c r="EL36" i="19" a="1"/>
  <c r="EL36" i="19" s="1"/>
  <c r="EJ36" i="19" a="1"/>
  <c r="EJ36" i="19" s="1"/>
  <c r="EH36" i="19" a="1"/>
  <c r="EH36" i="19" s="1"/>
  <c r="EB36" i="19" a="1"/>
  <c r="EB36" i="19" s="1"/>
  <c r="DZ36" i="19" a="1"/>
  <c r="DZ36" i="19" s="1"/>
  <c r="DV36" i="19" a="1"/>
  <c r="DV36" i="19" s="1"/>
  <c r="BO36" i="19" a="1"/>
  <c r="BO36" i="19" s="1"/>
  <c r="AQ36" i="19" a="1"/>
  <c r="AQ36" i="19" s="1"/>
  <c r="AM36" i="19" a="1"/>
  <c r="AM36" i="19" s="1"/>
  <c r="AG36" i="19" a="1"/>
  <c r="AG36" i="19" s="1"/>
  <c r="BN36" i="19" a="1"/>
  <c r="BN36" i="19" s="1"/>
  <c r="AR36" i="19" a="1"/>
  <c r="AR36" i="19" s="1"/>
  <c r="AN36" i="19" a="1"/>
  <c r="AN36" i="19" s="1"/>
  <c r="AL36" i="19" a="1"/>
  <c r="AL36" i="19" s="1"/>
  <c r="AH36" i="19" a="1"/>
  <c r="AH36" i="19" s="1"/>
  <c r="AD36" i="19" a="1"/>
  <c r="AD36" i="19" s="1"/>
  <c r="DU35" i="19" a="1"/>
  <c r="DU35" i="19" s="1"/>
  <c r="DO35" i="19" a="1"/>
  <c r="DO35" i="19" s="1"/>
  <c r="DM35" i="19" a="1"/>
  <c r="DM35" i="19" s="1"/>
  <c r="DK35" i="19" a="1"/>
  <c r="DK35" i="19" s="1"/>
  <c r="EX35" i="19" a="1"/>
  <c r="EX35" i="19" s="1"/>
  <c r="ER35" i="19" a="1"/>
  <c r="ER35" i="19" s="1"/>
  <c r="EP35" i="19" a="1"/>
  <c r="EP35" i="19" s="1"/>
  <c r="EN35" i="19" a="1"/>
  <c r="EN35" i="19" s="1"/>
  <c r="EL35" i="19" a="1"/>
  <c r="EL35" i="19" s="1"/>
  <c r="EJ35" i="19" a="1"/>
  <c r="EJ35" i="19" s="1"/>
  <c r="EH35" i="19" a="1"/>
  <c r="EH35" i="19" s="1"/>
  <c r="EB35" i="19" a="1"/>
  <c r="EB35" i="19" s="1"/>
  <c r="DZ35" i="19" a="1"/>
  <c r="DZ35" i="19" s="1"/>
  <c r="DV35" i="19" a="1"/>
  <c r="DV35" i="19" s="1"/>
  <c r="BO35" i="19" a="1"/>
  <c r="BO35" i="19" s="1"/>
  <c r="AQ35" i="19" a="1"/>
  <c r="AQ35" i="19" s="1"/>
  <c r="AM35" i="19" a="1"/>
  <c r="AM35" i="19" s="1"/>
  <c r="AG35" i="19" a="1"/>
  <c r="AG35" i="19" s="1"/>
  <c r="BN35" i="19" a="1"/>
  <c r="BN35" i="19" s="1"/>
  <c r="AR35" i="19" a="1"/>
  <c r="AR35" i="19" s="1"/>
  <c r="AN35" i="19" a="1"/>
  <c r="AN35" i="19" s="1"/>
  <c r="AL35" i="19" a="1"/>
  <c r="AL35" i="19" s="1"/>
  <c r="AH35" i="19" a="1"/>
  <c r="AH35" i="19" s="1"/>
  <c r="AD35" i="19" a="1"/>
  <c r="AD35" i="19" s="1"/>
  <c r="DU34" i="19" a="1"/>
  <c r="DU34" i="19" s="1"/>
  <c r="DO34" i="19" a="1"/>
  <c r="DO34" i="19" s="1"/>
  <c r="DM34" i="19" a="1"/>
  <c r="DM34" i="19" s="1"/>
  <c r="DK34" i="19" a="1"/>
  <c r="DK34" i="19" s="1"/>
  <c r="EX34" i="19" a="1"/>
  <c r="EX34" i="19" s="1"/>
  <c r="ER34" i="19" a="1"/>
  <c r="ER34" i="19" s="1"/>
  <c r="EP34" i="19" a="1"/>
  <c r="EP34" i="19" s="1"/>
  <c r="EN34" i="19" a="1"/>
  <c r="EN34" i="19" s="1"/>
  <c r="EL34" i="19" a="1"/>
  <c r="EL34" i="19" s="1"/>
  <c r="EJ34" i="19" a="1"/>
  <c r="EJ34" i="19" s="1"/>
  <c r="EH34" i="19" a="1"/>
  <c r="EH34" i="19" s="1"/>
  <c r="EB34" i="19" a="1"/>
  <c r="EB34" i="19" s="1"/>
  <c r="DZ34" i="19" a="1"/>
  <c r="DZ34" i="19" s="1"/>
  <c r="DV34" i="19" a="1"/>
  <c r="DV34" i="19" s="1"/>
  <c r="BO34" i="19" a="1"/>
  <c r="BO34" i="19" s="1"/>
  <c r="AQ34" i="19" a="1"/>
  <c r="AQ34" i="19" s="1"/>
  <c r="AM34" i="19" a="1"/>
  <c r="AM34" i="19" s="1"/>
  <c r="AG34" i="19" a="1"/>
  <c r="AG34" i="19" s="1"/>
  <c r="BN34" i="19" a="1"/>
  <c r="BN34" i="19" s="1"/>
  <c r="AR34" i="19" a="1"/>
  <c r="AR34" i="19" s="1"/>
  <c r="AN34" i="19" a="1"/>
  <c r="AN34" i="19" s="1"/>
  <c r="AL34" i="19" a="1"/>
  <c r="AL34" i="19" s="1"/>
  <c r="AH34" i="19" a="1"/>
  <c r="AH34" i="19" s="1"/>
  <c r="AD34" i="19" a="1"/>
  <c r="AD34" i="19" s="1"/>
  <c r="DU33" i="19" a="1"/>
  <c r="DU33" i="19" s="1"/>
  <c r="DO33" i="19" a="1"/>
  <c r="DO33" i="19" s="1"/>
  <c r="DM33" i="19" a="1"/>
  <c r="DM33" i="19" s="1"/>
  <c r="DK33" i="19" a="1"/>
  <c r="DK33" i="19" s="1"/>
  <c r="EX33" i="19" a="1"/>
  <c r="EX33" i="19" s="1"/>
  <c r="ER33" i="19" a="1"/>
  <c r="ER33" i="19" s="1"/>
  <c r="EP33" i="19" a="1"/>
  <c r="EP33" i="19" s="1"/>
  <c r="EN33" i="19" a="1"/>
  <c r="EN33" i="19" s="1"/>
  <c r="EL33" i="19" a="1"/>
  <c r="EL33" i="19" s="1"/>
  <c r="EJ33" i="19" a="1"/>
  <c r="EJ33" i="19" s="1"/>
  <c r="EH33" i="19" a="1"/>
  <c r="EH33" i="19" s="1"/>
  <c r="EB33" i="19" a="1"/>
  <c r="EB33" i="19" s="1"/>
  <c r="DZ33" i="19" a="1"/>
  <c r="DZ33" i="19" s="1"/>
  <c r="DV33" i="19" a="1"/>
  <c r="DV33" i="19" s="1"/>
  <c r="BO33" i="19" a="1"/>
  <c r="BO33" i="19" s="1"/>
  <c r="AQ33" i="19" a="1"/>
  <c r="AQ33" i="19" s="1"/>
  <c r="AM33" i="19" a="1"/>
  <c r="AM33" i="19" s="1"/>
  <c r="AG33" i="19" a="1"/>
  <c r="AG33" i="19" s="1"/>
  <c r="BN33" i="19" a="1"/>
  <c r="BN33" i="19" s="1"/>
  <c r="AR33" i="19" a="1"/>
  <c r="AR33" i="19" s="1"/>
  <c r="AN33" i="19" a="1"/>
  <c r="AN33" i="19" s="1"/>
  <c r="AL33" i="19" a="1"/>
  <c r="AL33" i="19" s="1"/>
  <c r="AH33" i="19" a="1"/>
  <c r="AH33" i="19" s="1"/>
  <c r="AD33" i="19" a="1"/>
  <c r="AD33" i="19" s="1"/>
  <c r="DU32" i="19" a="1"/>
  <c r="DU32" i="19" s="1"/>
  <c r="DO32" i="19" a="1"/>
  <c r="DO32" i="19" s="1"/>
  <c r="DM32" i="19" a="1"/>
  <c r="DM32" i="19" s="1"/>
  <c r="DK32" i="19" a="1"/>
  <c r="DK32" i="19" s="1"/>
  <c r="EX32" i="19" a="1"/>
  <c r="EX32" i="19" s="1"/>
  <c r="ER32" i="19" a="1"/>
  <c r="ER32" i="19" s="1"/>
  <c r="EP32" i="19" a="1"/>
  <c r="EP32" i="19" s="1"/>
  <c r="EN32" i="19" a="1"/>
  <c r="EN32" i="19" s="1"/>
  <c r="EL32" i="19" a="1"/>
  <c r="EL32" i="19" s="1"/>
  <c r="EJ32" i="19" a="1"/>
  <c r="EJ32" i="19" s="1"/>
  <c r="EH32" i="19" a="1"/>
  <c r="EH32" i="19" s="1"/>
  <c r="EB32" i="19" a="1"/>
  <c r="EB32" i="19" s="1"/>
  <c r="DZ32" i="19" a="1"/>
  <c r="DZ32" i="19" s="1"/>
  <c r="DV32" i="19" a="1"/>
  <c r="DV32" i="19" s="1"/>
  <c r="BO32" i="19" a="1"/>
  <c r="BO32" i="19" s="1"/>
  <c r="AQ32" i="19" a="1"/>
  <c r="AQ32" i="19" s="1"/>
  <c r="AM32" i="19" a="1"/>
  <c r="AM32" i="19" s="1"/>
  <c r="AG32" i="19" a="1"/>
  <c r="AG32" i="19" s="1"/>
  <c r="BN32" i="19" a="1"/>
  <c r="BN32" i="19" s="1"/>
  <c r="AR32" i="19" a="1"/>
  <c r="AR32" i="19" s="1"/>
  <c r="AN32" i="19" a="1"/>
  <c r="AN32" i="19" s="1"/>
  <c r="AL32" i="19" a="1"/>
  <c r="AL32" i="19" s="1"/>
  <c r="AH32" i="19" a="1"/>
  <c r="AH32" i="19" s="1"/>
  <c r="AD32" i="19" a="1"/>
  <c r="AD32" i="19" s="1"/>
  <c r="DU31" i="19" a="1"/>
  <c r="DU31" i="19" s="1"/>
  <c r="DO31" i="19" a="1"/>
  <c r="DO31" i="19" s="1"/>
  <c r="DM31" i="19" a="1"/>
  <c r="DM31" i="19" s="1"/>
  <c r="DK31" i="19" a="1"/>
  <c r="DK31" i="19" s="1"/>
  <c r="EX31" i="19" a="1"/>
  <c r="EX31" i="19" s="1"/>
  <c r="ER31" i="19" a="1"/>
  <c r="ER31" i="19" s="1"/>
  <c r="EP31" i="19" a="1"/>
  <c r="EP31" i="19" s="1"/>
  <c r="EN31" i="19" a="1"/>
  <c r="EN31" i="19" s="1"/>
  <c r="EL31" i="19" a="1"/>
  <c r="EL31" i="19" s="1"/>
  <c r="EJ31" i="19" a="1"/>
  <c r="EJ31" i="19" s="1"/>
  <c r="EH31" i="19" a="1"/>
  <c r="EH31" i="19" s="1"/>
  <c r="EB31" i="19" a="1"/>
  <c r="EB31" i="19" s="1"/>
  <c r="DZ31" i="19" a="1"/>
  <c r="DZ31" i="19" s="1"/>
  <c r="DV31" i="19" a="1"/>
  <c r="DV31" i="19" s="1"/>
  <c r="BO31" i="19" a="1"/>
  <c r="BO31" i="19" s="1"/>
  <c r="AQ31" i="19" a="1"/>
  <c r="AQ31" i="19" s="1"/>
  <c r="AM31" i="19" a="1"/>
  <c r="AM31" i="19" s="1"/>
  <c r="AG31" i="19" a="1"/>
  <c r="AG31" i="19" s="1"/>
  <c r="BN31" i="19" a="1"/>
  <c r="BN31" i="19" s="1"/>
  <c r="AR31" i="19" a="1"/>
  <c r="AR31" i="19" s="1"/>
  <c r="AN31" i="19" a="1"/>
  <c r="AN31" i="19" s="1"/>
  <c r="AL31" i="19" a="1"/>
  <c r="AL31" i="19" s="1"/>
  <c r="AH31" i="19" a="1"/>
  <c r="AH31" i="19" s="1"/>
  <c r="AD31" i="19" a="1"/>
  <c r="AD31" i="19" s="1"/>
  <c r="DU30" i="19" a="1"/>
  <c r="DU30" i="19" s="1"/>
  <c r="DO30" i="19" a="1"/>
  <c r="DO30" i="19" s="1"/>
  <c r="DM30" i="19" a="1"/>
  <c r="DM30" i="19" s="1"/>
  <c r="DK30" i="19" a="1"/>
  <c r="DK30" i="19" s="1"/>
  <c r="EX30" i="19" a="1"/>
  <c r="EX30" i="19" s="1"/>
  <c r="ER30" i="19" a="1"/>
  <c r="ER30" i="19" s="1"/>
  <c r="EP30" i="19" a="1"/>
  <c r="EP30" i="19" s="1"/>
  <c r="EN30" i="19" a="1"/>
  <c r="EN30" i="19" s="1"/>
  <c r="EL30" i="19" a="1"/>
  <c r="EL30" i="19" s="1"/>
  <c r="EJ30" i="19" a="1"/>
  <c r="EJ30" i="19" s="1"/>
  <c r="EH30" i="19" a="1"/>
  <c r="EH30" i="19" s="1"/>
  <c r="EB30" i="19" a="1"/>
  <c r="EB30" i="19" s="1"/>
  <c r="DZ30" i="19" a="1"/>
  <c r="DZ30" i="19" s="1"/>
  <c r="DV30" i="19" a="1"/>
  <c r="DV30" i="19" s="1"/>
  <c r="BO30" i="19" a="1"/>
  <c r="BO30" i="19" s="1"/>
  <c r="AQ30" i="19" a="1"/>
  <c r="AQ30" i="19" s="1"/>
  <c r="AM30" i="19" a="1"/>
  <c r="AM30" i="19" s="1"/>
  <c r="AG30" i="19" a="1"/>
  <c r="AG30" i="19" s="1"/>
  <c r="BN30" i="19" a="1"/>
  <c r="BN30" i="19" s="1"/>
  <c r="AR30" i="19" a="1"/>
  <c r="AR30" i="19" s="1"/>
  <c r="AN30" i="19" a="1"/>
  <c r="AN30" i="19" s="1"/>
  <c r="AL30" i="19" a="1"/>
  <c r="AL30" i="19" s="1"/>
  <c r="AH30" i="19" a="1"/>
  <c r="AH30" i="19" s="1"/>
  <c r="AD30" i="19" a="1"/>
  <c r="AD30" i="19" s="1"/>
  <c r="DU29" i="19" a="1"/>
  <c r="DU29" i="19" s="1"/>
  <c r="DO29" i="19" a="1"/>
  <c r="DO29" i="19" s="1"/>
  <c r="DM29" i="19" a="1"/>
  <c r="DM29" i="19" s="1"/>
  <c r="DK29" i="19" a="1"/>
  <c r="DK29" i="19" s="1"/>
  <c r="EX29" i="19" a="1"/>
  <c r="EX29" i="19" s="1"/>
  <c r="ER29" i="19" a="1"/>
  <c r="ER29" i="19" s="1"/>
  <c r="EP29" i="19" a="1"/>
  <c r="EP29" i="19" s="1"/>
  <c r="EN29" i="19" a="1"/>
  <c r="EN29" i="19" s="1"/>
  <c r="EL29" i="19" a="1"/>
  <c r="EL29" i="19" s="1"/>
  <c r="EJ29" i="19" a="1"/>
  <c r="EJ29" i="19" s="1"/>
  <c r="EH29" i="19" a="1"/>
  <c r="EH29" i="19" s="1"/>
  <c r="EB29" i="19" a="1"/>
  <c r="EB29" i="19" s="1"/>
  <c r="DZ29" i="19" a="1"/>
  <c r="DZ29" i="19" s="1"/>
  <c r="DV29" i="19" a="1"/>
  <c r="DV29" i="19" s="1"/>
  <c r="BO29" i="19" a="1"/>
  <c r="BO29" i="19" s="1"/>
  <c r="AQ29" i="19" a="1"/>
  <c r="AQ29" i="19" s="1"/>
  <c r="AM29" i="19" a="1"/>
  <c r="AM29" i="19" s="1"/>
  <c r="AG29" i="19" a="1"/>
  <c r="AG29" i="19" s="1"/>
  <c r="BN29" i="19" a="1"/>
  <c r="BN29" i="19" s="1"/>
  <c r="AR29" i="19" a="1"/>
  <c r="AR29" i="19" s="1"/>
  <c r="AN29" i="19" a="1"/>
  <c r="AN29" i="19" s="1"/>
  <c r="AL29" i="19" a="1"/>
  <c r="AL29" i="19" s="1"/>
  <c r="AH29" i="19" a="1"/>
  <c r="AH29" i="19" s="1"/>
  <c r="AD29" i="19" a="1"/>
  <c r="AD29" i="19" s="1"/>
  <c r="DU28" i="19" a="1"/>
  <c r="DU28" i="19" s="1"/>
  <c r="DO28" i="19" a="1"/>
  <c r="DO28" i="19" s="1"/>
  <c r="DM28" i="19" a="1"/>
  <c r="DM28" i="19" s="1"/>
  <c r="DK28" i="19" a="1"/>
  <c r="DK28" i="19" s="1"/>
  <c r="EX28" i="19" a="1"/>
  <c r="EX28" i="19" s="1"/>
  <c r="ER28" i="19" a="1"/>
  <c r="ER28" i="19" s="1"/>
  <c r="EP28" i="19" a="1"/>
  <c r="EP28" i="19" s="1"/>
  <c r="EN28" i="19" a="1"/>
  <c r="EN28" i="19" s="1"/>
  <c r="EL28" i="19" a="1"/>
  <c r="EL28" i="19" s="1"/>
  <c r="EJ28" i="19" a="1"/>
  <c r="EJ28" i="19" s="1"/>
  <c r="EH28" i="19" a="1"/>
  <c r="EH28" i="19" s="1"/>
  <c r="EB28" i="19" a="1"/>
  <c r="EB28" i="19" s="1"/>
  <c r="DZ28" i="19" a="1"/>
  <c r="DZ28" i="19" s="1"/>
  <c r="DV28" i="19" a="1"/>
  <c r="DV28" i="19" s="1"/>
  <c r="BO28" i="19" a="1"/>
  <c r="BO28" i="19" s="1"/>
  <c r="AQ28" i="19" a="1"/>
  <c r="AQ28" i="19" s="1"/>
  <c r="AM28" i="19" a="1"/>
  <c r="AM28" i="19" s="1"/>
  <c r="AG28" i="19" a="1"/>
  <c r="AG28" i="19" s="1"/>
  <c r="BN28" i="19" a="1"/>
  <c r="BN28" i="19" s="1"/>
  <c r="AR28" i="19" a="1"/>
  <c r="AR28" i="19" s="1"/>
  <c r="AN28" i="19" a="1"/>
  <c r="AN28" i="19" s="1"/>
  <c r="AL28" i="19" a="1"/>
  <c r="AL28" i="19" s="1"/>
  <c r="AH28" i="19" a="1"/>
  <c r="AH28" i="19" s="1"/>
  <c r="AD28" i="19" a="1"/>
  <c r="AD28" i="19" s="1"/>
  <c r="DU27" i="19" a="1"/>
  <c r="DU27" i="19" s="1"/>
  <c r="DO27" i="19" a="1"/>
  <c r="DO27" i="19" s="1"/>
  <c r="DM27" i="19" a="1"/>
  <c r="DM27" i="19" s="1"/>
  <c r="DK27" i="19" a="1"/>
  <c r="DK27" i="19" s="1"/>
  <c r="EX27" i="19" a="1"/>
  <c r="EX27" i="19" s="1"/>
  <c r="ER27" i="19" a="1"/>
  <c r="ER27" i="19" s="1"/>
  <c r="EP27" i="19" a="1"/>
  <c r="EP27" i="19" s="1"/>
  <c r="EN27" i="19" a="1"/>
  <c r="EN27" i="19" s="1"/>
  <c r="EL27" i="19" a="1"/>
  <c r="EL27" i="19" s="1"/>
  <c r="EJ27" i="19" a="1"/>
  <c r="EJ27" i="19" s="1"/>
  <c r="EH27" i="19" a="1"/>
  <c r="EH27" i="19" s="1"/>
  <c r="EB27" i="19" a="1"/>
  <c r="EB27" i="19" s="1"/>
  <c r="DZ27" i="19" a="1"/>
  <c r="DZ27" i="19" s="1"/>
  <c r="DV27" i="19" a="1"/>
  <c r="DV27" i="19" s="1"/>
  <c r="BO27" i="19" a="1"/>
  <c r="BO27" i="19" s="1"/>
  <c r="AQ27" i="19" a="1"/>
  <c r="AQ27" i="19" s="1"/>
  <c r="AM27" i="19" a="1"/>
  <c r="AM27" i="19" s="1"/>
  <c r="AG27" i="19" a="1"/>
  <c r="AG27" i="19" s="1"/>
  <c r="BN27" i="19" a="1"/>
  <c r="BN27" i="19" s="1"/>
  <c r="AR27" i="19" a="1"/>
  <c r="AR27" i="19" s="1"/>
  <c r="AN27" i="19" a="1"/>
  <c r="AN27" i="19" s="1"/>
  <c r="AL27" i="19" a="1"/>
  <c r="AL27" i="19" s="1"/>
  <c r="AH27" i="19" a="1"/>
  <c r="AH27" i="19" s="1"/>
  <c r="AD27" i="19" a="1"/>
  <c r="AD27" i="19" s="1"/>
  <c r="DU26" i="19" a="1"/>
  <c r="DU26" i="19" s="1"/>
  <c r="DO26" i="19" a="1"/>
  <c r="DO26" i="19" s="1"/>
  <c r="DM26" i="19" a="1"/>
  <c r="DM26" i="19" s="1"/>
  <c r="DK26" i="19" a="1"/>
  <c r="DK26" i="19" s="1"/>
  <c r="EX26" i="19" a="1"/>
  <c r="EX26" i="19" s="1"/>
  <c r="ER26" i="19" a="1"/>
  <c r="ER26" i="19" s="1"/>
  <c r="EP26" i="19" a="1"/>
  <c r="EP26" i="19" s="1"/>
  <c r="EN26" i="19" a="1"/>
  <c r="EN26" i="19" s="1"/>
  <c r="EL26" i="19" a="1"/>
  <c r="EL26" i="19" s="1"/>
  <c r="EJ26" i="19" a="1"/>
  <c r="EJ26" i="19" s="1"/>
  <c r="EH26" i="19" a="1"/>
  <c r="EH26" i="19" s="1"/>
  <c r="EB26" i="19" a="1"/>
  <c r="EB26" i="19" s="1"/>
  <c r="DZ26" i="19" a="1"/>
  <c r="DZ26" i="19" s="1"/>
  <c r="DV26" i="19" a="1"/>
  <c r="DV26" i="19" s="1"/>
  <c r="BO26" i="19" a="1"/>
  <c r="BO26" i="19" s="1"/>
  <c r="AQ26" i="19" a="1"/>
  <c r="AQ26" i="19" s="1"/>
  <c r="AM26" i="19" a="1"/>
  <c r="AM26" i="19" s="1"/>
  <c r="AG26" i="19" a="1"/>
  <c r="AG26" i="19" s="1"/>
  <c r="BN26" i="19" a="1"/>
  <c r="BN26" i="19" s="1"/>
  <c r="AR26" i="19" a="1"/>
  <c r="AR26" i="19" s="1"/>
  <c r="AN26" i="19" a="1"/>
  <c r="AN26" i="19" s="1"/>
  <c r="AL26" i="19" a="1"/>
  <c r="AL26" i="19" s="1"/>
  <c r="AH26" i="19" a="1"/>
  <c r="AH26" i="19" s="1"/>
  <c r="AD26" i="19" a="1"/>
  <c r="AD26" i="19" s="1"/>
  <c r="DU25" i="19" a="1"/>
  <c r="DU25" i="19" s="1"/>
  <c r="DO25" i="19" a="1"/>
  <c r="DO25" i="19" s="1"/>
  <c r="DM25" i="19" a="1"/>
  <c r="DM25" i="19" s="1"/>
  <c r="DK25" i="19" a="1"/>
  <c r="DK25" i="19" s="1"/>
  <c r="EX25" i="19" a="1"/>
  <c r="EX25" i="19" s="1"/>
  <c r="ER25" i="19" a="1"/>
  <c r="ER25" i="19" s="1"/>
  <c r="EP25" i="19" a="1"/>
  <c r="EP25" i="19" s="1"/>
  <c r="EN25" i="19" a="1"/>
  <c r="EN25" i="19" s="1"/>
  <c r="EL25" i="19" a="1"/>
  <c r="EL25" i="19" s="1"/>
  <c r="EJ25" i="19" a="1"/>
  <c r="EJ25" i="19" s="1"/>
  <c r="EH25" i="19" a="1"/>
  <c r="EH25" i="19" s="1"/>
  <c r="EB25" i="19" a="1"/>
  <c r="EB25" i="19" s="1"/>
  <c r="DZ25" i="19" a="1"/>
  <c r="DZ25" i="19" s="1"/>
  <c r="DV25" i="19" a="1"/>
  <c r="DV25" i="19" s="1"/>
  <c r="BO25" i="19" a="1"/>
  <c r="BO25" i="19" s="1"/>
  <c r="AQ25" i="19" a="1"/>
  <c r="AQ25" i="19" s="1"/>
  <c r="AM25" i="19" a="1"/>
  <c r="AM25" i="19" s="1"/>
  <c r="AG25" i="19" a="1"/>
  <c r="AG25" i="19" s="1"/>
  <c r="BN25" i="19" a="1"/>
  <c r="BN25" i="19" s="1"/>
  <c r="AR25" i="19" a="1"/>
  <c r="AR25" i="19" s="1"/>
  <c r="AN25" i="19" a="1"/>
  <c r="AN25" i="19" s="1"/>
  <c r="AL25" i="19" a="1"/>
  <c r="AL25" i="19" s="1"/>
  <c r="AH25" i="19" a="1"/>
  <c r="AH25" i="19" s="1"/>
  <c r="AD25" i="19" a="1"/>
  <c r="AD25" i="19" s="1"/>
  <c r="DU24" i="19" a="1"/>
  <c r="DU24" i="19" s="1"/>
  <c r="DO24" i="19" a="1"/>
  <c r="DO24" i="19" s="1"/>
  <c r="DM24" i="19" a="1"/>
  <c r="DM24" i="19" s="1"/>
  <c r="DK24" i="19" a="1"/>
  <c r="DK24" i="19" s="1"/>
  <c r="EX24" i="19" a="1"/>
  <c r="EX24" i="19" s="1"/>
  <c r="ER24" i="19" a="1"/>
  <c r="ER24" i="19" s="1"/>
  <c r="EP24" i="19" a="1"/>
  <c r="EP24" i="19" s="1"/>
  <c r="EN24" i="19" a="1"/>
  <c r="EN24" i="19" s="1"/>
  <c r="EL24" i="19" a="1"/>
  <c r="EL24" i="19" s="1"/>
  <c r="EJ24" i="19" a="1"/>
  <c r="EJ24" i="19" s="1"/>
  <c r="EH24" i="19" a="1"/>
  <c r="EH24" i="19" s="1"/>
  <c r="EB24" i="19" a="1"/>
  <c r="EB24" i="19" s="1"/>
  <c r="DZ24" i="19" a="1"/>
  <c r="DZ24" i="19" s="1"/>
  <c r="DV24" i="19" a="1"/>
  <c r="DV24" i="19" s="1"/>
  <c r="BO24" i="19" a="1"/>
  <c r="BO24" i="19" s="1"/>
  <c r="AQ24" i="19" a="1"/>
  <c r="AQ24" i="19" s="1"/>
  <c r="AM24" i="19" a="1"/>
  <c r="AM24" i="19" s="1"/>
  <c r="AG24" i="19" a="1"/>
  <c r="AG24" i="19" s="1"/>
  <c r="BN24" i="19" a="1"/>
  <c r="BN24" i="19" s="1"/>
  <c r="AR24" i="19" a="1"/>
  <c r="AR24" i="19" s="1"/>
  <c r="AN24" i="19" a="1"/>
  <c r="AN24" i="19" s="1"/>
  <c r="AL24" i="19" a="1"/>
  <c r="AL24" i="19" s="1"/>
  <c r="AH24" i="19" a="1"/>
  <c r="AH24" i="19" s="1"/>
  <c r="AD24" i="19" a="1"/>
  <c r="AD24" i="19" s="1"/>
  <c r="DU23" i="19" a="1"/>
  <c r="DU23" i="19" s="1"/>
  <c r="DO23" i="19" a="1"/>
  <c r="DO23" i="19" s="1"/>
  <c r="DM23" i="19" a="1"/>
  <c r="DM23" i="19" s="1"/>
  <c r="DK23" i="19" a="1"/>
  <c r="DK23" i="19" s="1"/>
  <c r="EX23" i="19" a="1"/>
  <c r="EX23" i="19" s="1"/>
  <c r="ER23" i="19" a="1"/>
  <c r="ER23" i="19" s="1"/>
  <c r="EP23" i="19" a="1"/>
  <c r="EP23" i="19" s="1"/>
  <c r="EN23" i="19" a="1"/>
  <c r="EN23" i="19" s="1"/>
  <c r="EL23" i="19" a="1"/>
  <c r="EL23" i="19" s="1"/>
  <c r="EJ23" i="19" a="1"/>
  <c r="EJ23" i="19" s="1"/>
  <c r="EH23" i="19" a="1"/>
  <c r="EH23" i="19" s="1"/>
  <c r="EB23" i="19" a="1"/>
  <c r="EB23" i="19" s="1"/>
  <c r="DZ23" i="19" a="1"/>
  <c r="DZ23" i="19" s="1"/>
  <c r="DV23" i="19" a="1"/>
  <c r="DV23" i="19" s="1"/>
  <c r="BO23" i="19" a="1"/>
  <c r="BO23" i="19" s="1"/>
  <c r="AQ23" i="19" a="1"/>
  <c r="AQ23" i="19" s="1"/>
  <c r="AM23" i="19" a="1"/>
  <c r="AM23" i="19" s="1"/>
  <c r="AG23" i="19" a="1"/>
  <c r="AG23" i="19" s="1"/>
  <c r="BN23" i="19" a="1"/>
  <c r="BN23" i="19" s="1"/>
  <c r="AR23" i="19" a="1"/>
  <c r="AR23" i="19" s="1"/>
  <c r="AN23" i="19" a="1"/>
  <c r="AN23" i="19" s="1"/>
  <c r="AL23" i="19" a="1"/>
  <c r="AL23" i="19" s="1"/>
  <c r="AH23" i="19" a="1"/>
  <c r="AH23" i="19" s="1"/>
  <c r="AD23" i="19" a="1"/>
  <c r="AD23" i="19" s="1"/>
  <c r="DU22" i="19" a="1"/>
  <c r="DU22" i="19" s="1"/>
  <c r="EX22" i="19" a="1"/>
  <c r="EX22" i="19" s="1"/>
  <c r="ER22" i="19" a="1"/>
  <c r="ER22" i="19" s="1"/>
  <c r="EP22" i="19" a="1"/>
  <c r="EP22" i="19" s="1"/>
  <c r="EN22" i="19" a="1"/>
  <c r="EN22" i="19" s="1"/>
  <c r="EL22" i="19" a="1"/>
  <c r="EL22" i="19" s="1"/>
  <c r="EJ22" i="19" a="1"/>
  <c r="EJ22" i="19" s="1"/>
  <c r="EH22" i="19" a="1"/>
  <c r="EH22" i="19" s="1"/>
  <c r="EB22" i="19" a="1"/>
  <c r="EB22" i="19" s="1"/>
  <c r="DZ22" i="19" a="1"/>
  <c r="DZ22" i="19" s="1"/>
  <c r="DV22" i="19" a="1"/>
  <c r="DV22" i="19" s="1"/>
  <c r="DO22" i="19" a="1"/>
  <c r="DO22" i="19" s="1"/>
  <c r="DM22" i="19" a="1"/>
  <c r="DM22" i="19" s="1"/>
  <c r="DK22" i="19" a="1"/>
  <c r="DK22" i="19" s="1"/>
  <c r="BO22" i="19" a="1"/>
  <c r="BO22" i="19" s="1"/>
  <c r="AQ22" i="19" a="1"/>
  <c r="AQ22" i="19" s="1"/>
  <c r="AM22" i="19" a="1"/>
  <c r="AM22" i="19" s="1"/>
  <c r="AG22" i="19" a="1"/>
  <c r="AG22" i="19" s="1"/>
  <c r="BN22" i="19" a="1"/>
  <c r="BN22" i="19" s="1"/>
  <c r="AR22" i="19" a="1"/>
  <c r="AR22" i="19" s="1"/>
  <c r="AN22" i="19" a="1"/>
  <c r="AN22" i="19" s="1"/>
  <c r="AL22" i="19" a="1"/>
  <c r="AL22" i="19" s="1"/>
  <c r="AH22" i="19" a="1"/>
  <c r="AH22" i="19" s="1"/>
  <c r="AD22" i="19" a="1"/>
  <c r="AD22" i="19" s="1"/>
  <c r="DU21" i="19" a="1"/>
  <c r="DU21" i="19" s="1"/>
  <c r="DO21" i="19" a="1"/>
  <c r="DO21" i="19" s="1"/>
  <c r="DM21" i="19" a="1"/>
  <c r="DM21" i="19" s="1"/>
  <c r="DK21" i="19" a="1"/>
  <c r="DK21" i="19" s="1"/>
  <c r="EX21" i="19" a="1"/>
  <c r="EX21" i="19" s="1"/>
  <c r="ER21" i="19" a="1"/>
  <c r="ER21" i="19" s="1"/>
  <c r="EP21" i="19" a="1"/>
  <c r="EP21" i="19" s="1"/>
  <c r="EN21" i="19" a="1"/>
  <c r="EN21" i="19" s="1"/>
  <c r="EL21" i="19" a="1"/>
  <c r="EL21" i="19" s="1"/>
  <c r="EJ21" i="19" a="1"/>
  <c r="EJ21" i="19" s="1"/>
  <c r="EH21" i="19" a="1"/>
  <c r="EH21" i="19" s="1"/>
  <c r="EB21" i="19" a="1"/>
  <c r="EB21" i="19" s="1"/>
  <c r="DZ21" i="19" a="1"/>
  <c r="DZ21" i="19" s="1"/>
  <c r="DV21" i="19" a="1"/>
  <c r="DV21" i="19" s="1"/>
  <c r="BO21" i="19" a="1"/>
  <c r="BO21" i="19" s="1"/>
  <c r="AQ21" i="19" a="1"/>
  <c r="AQ21" i="19" s="1"/>
  <c r="AM21" i="19" a="1"/>
  <c r="AM21" i="19" s="1"/>
  <c r="AG21" i="19" a="1"/>
  <c r="AG21" i="19" s="1"/>
  <c r="BN21" i="19" a="1"/>
  <c r="BN21" i="19" s="1"/>
  <c r="AR21" i="19" a="1"/>
  <c r="AR21" i="19" s="1"/>
  <c r="AN21" i="19" a="1"/>
  <c r="AN21" i="19" s="1"/>
  <c r="AL21" i="19" a="1"/>
  <c r="AL21" i="19" s="1"/>
  <c r="AH21" i="19" a="1"/>
  <c r="AH21" i="19" s="1"/>
  <c r="AD21" i="19" a="1"/>
  <c r="AD21" i="19" s="1"/>
  <c r="DU20" i="19" a="1"/>
  <c r="DU20" i="19" s="1"/>
  <c r="DO20" i="19" a="1"/>
  <c r="DO20" i="19" s="1"/>
  <c r="DM20" i="19" a="1"/>
  <c r="DM20" i="19" s="1"/>
  <c r="DK20" i="19" a="1"/>
  <c r="DK20" i="19" s="1"/>
  <c r="EX20" i="19" a="1"/>
  <c r="EX20" i="19" s="1"/>
  <c r="ER20" i="19" a="1"/>
  <c r="ER20" i="19" s="1"/>
  <c r="EP20" i="19" a="1"/>
  <c r="EP20" i="19" s="1"/>
  <c r="EN20" i="19" a="1"/>
  <c r="EN20" i="19" s="1"/>
  <c r="EL20" i="19" a="1"/>
  <c r="EL20" i="19" s="1"/>
  <c r="EJ20" i="19" a="1"/>
  <c r="EJ20" i="19" s="1"/>
  <c r="EH20" i="19" a="1"/>
  <c r="EH20" i="19" s="1"/>
  <c r="EB20" i="19" a="1"/>
  <c r="EB20" i="19" s="1"/>
  <c r="DZ20" i="19" a="1"/>
  <c r="DZ20" i="19" s="1"/>
  <c r="DV20" i="19" a="1"/>
  <c r="DV20" i="19" s="1"/>
  <c r="BO20" i="19" a="1"/>
  <c r="BO20" i="19" s="1"/>
  <c r="AQ20" i="19" a="1"/>
  <c r="AQ20" i="19" s="1"/>
  <c r="AM20" i="19" a="1"/>
  <c r="AM20" i="19" s="1"/>
  <c r="AG20" i="19" a="1"/>
  <c r="AG20" i="19" s="1"/>
  <c r="BN20" i="19" a="1"/>
  <c r="BN20" i="19" s="1"/>
  <c r="AR20" i="19" a="1"/>
  <c r="AR20" i="19" s="1"/>
  <c r="AN20" i="19" a="1"/>
  <c r="AN20" i="19" s="1"/>
  <c r="AL20" i="19" a="1"/>
  <c r="AL20" i="19" s="1"/>
  <c r="AH20" i="19" a="1"/>
  <c r="AH20" i="19" s="1"/>
  <c r="AD20" i="19" a="1"/>
  <c r="AD20" i="19" s="1"/>
  <c r="DU19" i="19" a="1"/>
  <c r="DU19" i="19" s="1"/>
  <c r="DO19" i="19" a="1"/>
  <c r="DO19" i="19" s="1"/>
  <c r="DM19" i="19" a="1"/>
  <c r="DM19" i="19" s="1"/>
  <c r="DK19" i="19" a="1"/>
  <c r="DK19" i="19" s="1"/>
  <c r="EX19" i="19" a="1"/>
  <c r="EX19" i="19" s="1"/>
  <c r="ER19" i="19" a="1"/>
  <c r="ER19" i="19" s="1"/>
  <c r="EP19" i="19" a="1"/>
  <c r="EP19" i="19" s="1"/>
  <c r="EN19" i="19" a="1"/>
  <c r="EN19" i="19" s="1"/>
  <c r="EL19" i="19" a="1"/>
  <c r="EL19" i="19" s="1"/>
  <c r="EJ19" i="19" a="1"/>
  <c r="EJ19" i="19" s="1"/>
  <c r="EH19" i="19" a="1"/>
  <c r="EH19" i="19" s="1"/>
  <c r="EB19" i="19" a="1"/>
  <c r="EB19" i="19" s="1"/>
  <c r="DZ19" i="19" a="1"/>
  <c r="DZ19" i="19" s="1"/>
  <c r="DV19" i="19" a="1"/>
  <c r="DV19" i="19" s="1"/>
  <c r="BO19" i="19" a="1"/>
  <c r="BO19" i="19" s="1"/>
  <c r="AQ19" i="19" a="1"/>
  <c r="AQ19" i="19" s="1"/>
  <c r="AM19" i="19" a="1"/>
  <c r="AM19" i="19" s="1"/>
  <c r="AG19" i="19" a="1"/>
  <c r="AG19" i="19" s="1"/>
  <c r="BN19" i="19" a="1"/>
  <c r="BN19" i="19" s="1"/>
  <c r="AR19" i="19" a="1"/>
  <c r="AR19" i="19" s="1"/>
  <c r="AN19" i="19" a="1"/>
  <c r="AN19" i="19" s="1"/>
  <c r="AL19" i="19" a="1"/>
  <c r="AL19" i="19" s="1"/>
  <c r="AH19" i="19" a="1"/>
  <c r="AH19" i="19" s="1"/>
  <c r="AD19" i="19" a="1"/>
  <c r="AD19" i="19" s="1"/>
  <c r="DU18" i="19" a="1"/>
  <c r="DU18" i="19" s="1"/>
  <c r="DO18" i="19" a="1"/>
  <c r="DO18" i="19" s="1"/>
  <c r="DM18" i="19" a="1"/>
  <c r="DM18" i="19" s="1"/>
  <c r="DK18" i="19" a="1"/>
  <c r="DK18" i="19" s="1"/>
  <c r="EX18" i="19" a="1"/>
  <c r="EX18" i="19" s="1"/>
  <c r="ER18" i="19" a="1"/>
  <c r="ER18" i="19" s="1"/>
  <c r="EP18" i="19" a="1"/>
  <c r="EP18" i="19" s="1"/>
  <c r="EN18" i="19" a="1"/>
  <c r="EN18" i="19" s="1"/>
  <c r="EL18" i="19" a="1"/>
  <c r="EL18" i="19" s="1"/>
  <c r="EJ18" i="19" a="1"/>
  <c r="EJ18" i="19" s="1"/>
  <c r="EH18" i="19" a="1"/>
  <c r="EH18" i="19" s="1"/>
  <c r="EB18" i="19" a="1"/>
  <c r="EB18" i="19" s="1"/>
  <c r="DZ18" i="19" a="1"/>
  <c r="DZ18" i="19" s="1"/>
  <c r="DV18" i="19" a="1"/>
  <c r="DV18" i="19" s="1"/>
  <c r="BO18" i="19" a="1"/>
  <c r="BO18" i="19" s="1"/>
  <c r="AQ18" i="19" a="1"/>
  <c r="AQ18" i="19" s="1"/>
  <c r="AM18" i="19" a="1"/>
  <c r="AM18" i="19" s="1"/>
  <c r="AG18" i="19" a="1"/>
  <c r="AG18" i="19" s="1"/>
  <c r="BN18" i="19" a="1"/>
  <c r="BN18" i="19" s="1"/>
  <c r="AR18" i="19" a="1"/>
  <c r="AR18" i="19" s="1"/>
  <c r="AN18" i="19" a="1"/>
  <c r="AN18" i="19" s="1"/>
  <c r="AL18" i="19" a="1"/>
  <c r="AL18" i="19" s="1"/>
  <c r="AH18" i="19" a="1"/>
  <c r="AH18" i="19" s="1"/>
  <c r="AD18" i="19" a="1"/>
  <c r="AD18" i="19" s="1"/>
  <c r="EX17" i="19" a="1"/>
  <c r="EX17" i="19" s="1"/>
  <c r="ER17" i="19" a="1"/>
  <c r="ER17" i="19" s="1"/>
  <c r="EP17" i="19" a="1"/>
  <c r="EP17" i="19" s="1"/>
  <c r="EN17" i="19" a="1"/>
  <c r="EN17" i="19" s="1"/>
  <c r="EL17" i="19" a="1"/>
  <c r="EL17" i="19" s="1"/>
  <c r="EJ17" i="19" a="1"/>
  <c r="EJ17" i="19" s="1"/>
  <c r="EH17" i="19" a="1"/>
  <c r="EH17" i="19" s="1"/>
  <c r="EB17" i="19" a="1"/>
  <c r="EB17" i="19" s="1"/>
  <c r="DZ17" i="19" a="1"/>
  <c r="DZ17" i="19" s="1"/>
  <c r="DV17" i="19" a="1"/>
  <c r="DV17" i="19" s="1"/>
  <c r="DU17" i="19" a="1"/>
  <c r="DU17" i="19" s="1"/>
  <c r="DO17" i="19" a="1"/>
  <c r="DO17" i="19" s="1"/>
  <c r="DM17" i="19" a="1"/>
  <c r="DM17" i="19" s="1"/>
  <c r="DK17" i="19" a="1"/>
  <c r="DK17" i="19" s="1"/>
  <c r="BO17" i="19" a="1"/>
  <c r="BO17" i="19" s="1"/>
  <c r="AQ17" i="19" a="1"/>
  <c r="AQ17" i="19" s="1"/>
  <c r="AM17" i="19" a="1"/>
  <c r="AM17" i="19" s="1"/>
  <c r="AG17" i="19" a="1"/>
  <c r="AG17" i="19" s="1"/>
  <c r="BN17" i="19" a="1"/>
  <c r="BN17" i="19" s="1"/>
  <c r="AR17" i="19" a="1"/>
  <c r="AR17" i="19" s="1"/>
  <c r="AN17" i="19" a="1"/>
  <c r="AN17" i="19" s="1"/>
  <c r="AL17" i="19" a="1"/>
  <c r="AL17" i="19" s="1"/>
  <c r="AH17" i="19" a="1"/>
  <c r="AH17" i="19" s="1"/>
  <c r="AD17" i="19" a="1"/>
  <c r="AD17" i="19" s="1"/>
  <c r="EX16" i="19" a="1"/>
  <c r="EX16" i="19" s="1"/>
  <c r="ER16" i="19" a="1"/>
  <c r="ER16" i="19" s="1"/>
  <c r="EP16" i="19" a="1"/>
  <c r="EP16" i="19" s="1"/>
  <c r="EN16" i="19" a="1"/>
  <c r="EN16" i="19" s="1"/>
  <c r="EL16" i="19" a="1"/>
  <c r="EL16" i="19" s="1"/>
  <c r="EJ16" i="19" a="1"/>
  <c r="EJ16" i="19" s="1"/>
  <c r="EH16" i="19" a="1"/>
  <c r="EH16" i="19" s="1"/>
  <c r="EB16" i="19" a="1"/>
  <c r="EB16" i="19" s="1"/>
  <c r="DZ16" i="19" a="1"/>
  <c r="DZ16" i="19" s="1"/>
  <c r="DV16" i="19" a="1"/>
  <c r="DV16" i="19" s="1"/>
  <c r="DU16" i="19" a="1"/>
  <c r="DU16" i="19" s="1"/>
  <c r="DO16" i="19" a="1"/>
  <c r="DO16" i="19" s="1"/>
  <c r="DM16" i="19" a="1"/>
  <c r="DM16" i="19" s="1"/>
  <c r="DK16" i="19" a="1"/>
  <c r="DK16" i="19" s="1"/>
  <c r="BO16" i="19" a="1"/>
  <c r="BO16" i="19" s="1"/>
  <c r="AQ16" i="19" a="1"/>
  <c r="AQ16" i="19" s="1"/>
  <c r="AM16" i="19" a="1"/>
  <c r="AM16" i="19" s="1"/>
  <c r="AG16" i="19" a="1"/>
  <c r="AG16" i="19" s="1"/>
  <c r="BN16" i="19" a="1"/>
  <c r="BN16" i="19" s="1"/>
  <c r="AR16" i="19" a="1"/>
  <c r="AR16" i="19" s="1"/>
  <c r="AN16" i="19" a="1"/>
  <c r="AN16" i="19" s="1"/>
  <c r="AL16" i="19" a="1"/>
  <c r="AL16" i="19" s="1"/>
  <c r="AH16" i="19" a="1"/>
  <c r="AH16" i="19" s="1"/>
  <c r="AD16" i="19" a="1"/>
  <c r="AD16" i="19" s="1"/>
  <c r="EX15" i="19" a="1"/>
  <c r="EX15" i="19" s="1"/>
  <c r="ER15" i="19" a="1"/>
  <c r="ER15" i="19" s="1"/>
  <c r="EP15" i="19" a="1"/>
  <c r="EP15" i="19" s="1"/>
  <c r="EN15" i="19" a="1"/>
  <c r="EN15" i="19" s="1"/>
  <c r="EL15" i="19" a="1"/>
  <c r="EL15" i="19" s="1"/>
  <c r="EJ15" i="19" a="1"/>
  <c r="EJ15" i="19" s="1"/>
  <c r="EH15" i="19" a="1"/>
  <c r="EH15" i="19" s="1"/>
  <c r="EB15" i="19" a="1"/>
  <c r="EB15" i="19" s="1"/>
  <c r="DZ15" i="19" a="1"/>
  <c r="DZ15" i="19" s="1"/>
  <c r="DV15" i="19" a="1"/>
  <c r="DV15" i="19" s="1"/>
  <c r="DU15" i="19" a="1"/>
  <c r="DU15" i="19" s="1"/>
  <c r="DO15" i="19" a="1"/>
  <c r="DO15" i="19" s="1"/>
  <c r="DM15" i="19" a="1"/>
  <c r="DM15" i="19" s="1"/>
  <c r="DK15" i="19" a="1"/>
  <c r="DK15" i="19" s="1"/>
  <c r="BO15" i="19" a="1"/>
  <c r="BO15" i="19" s="1"/>
  <c r="AQ15" i="19" a="1"/>
  <c r="AQ15" i="19" s="1"/>
  <c r="AM15" i="19" a="1"/>
  <c r="AM15" i="19" s="1"/>
  <c r="AG15" i="19" a="1"/>
  <c r="AG15" i="19" s="1"/>
  <c r="BN15" i="19" a="1"/>
  <c r="BN15" i="19" s="1"/>
  <c r="AR15" i="19" a="1"/>
  <c r="AR15" i="19" s="1"/>
  <c r="AN15" i="19" a="1"/>
  <c r="AN15" i="19" s="1"/>
  <c r="AL15" i="19" a="1"/>
  <c r="AL15" i="19" s="1"/>
  <c r="AH15" i="19" a="1"/>
  <c r="AH15" i="19" s="1"/>
  <c r="AD15" i="19" a="1"/>
  <c r="AD15" i="19" s="1"/>
  <c r="EX14" i="19" a="1"/>
  <c r="EX14" i="19" s="1"/>
  <c r="ER14" i="19" a="1"/>
  <c r="ER14" i="19" s="1"/>
  <c r="EP14" i="19" a="1"/>
  <c r="EP14" i="19" s="1"/>
  <c r="EN14" i="19" a="1"/>
  <c r="EN14" i="19" s="1"/>
  <c r="EL14" i="19" a="1"/>
  <c r="EL14" i="19" s="1"/>
  <c r="EJ14" i="19" a="1"/>
  <c r="EJ14" i="19" s="1"/>
  <c r="EH14" i="19" a="1"/>
  <c r="EH14" i="19" s="1"/>
  <c r="EB14" i="19" a="1"/>
  <c r="EB14" i="19" s="1"/>
  <c r="DZ14" i="19" a="1"/>
  <c r="DZ14" i="19" s="1"/>
  <c r="DV14" i="19" a="1"/>
  <c r="DV14" i="19" s="1"/>
  <c r="DU14" i="19" a="1"/>
  <c r="DU14" i="19" s="1"/>
  <c r="DO14" i="19" a="1"/>
  <c r="DO14" i="19" s="1"/>
  <c r="DM14" i="19" a="1"/>
  <c r="DM14" i="19" s="1"/>
  <c r="DK14" i="19" a="1"/>
  <c r="DK14" i="19" s="1"/>
  <c r="BO14" i="19" a="1"/>
  <c r="BO14" i="19" s="1"/>
  <c r="AQ14" i="19" a="1"/>
  <c r="AQ14" i="19" s="1"/>
  <c r="AM14" i="19" a="1"/>
  <c r="AM14" i="19" s="1"/>
  <c r="AG14" i="19" a="1"/>
  <c r="AG14" i="19" s="1"/>
  <c r="BN14" i="19" a="1"/>
  <c r="BN14" i="19" s="1"/>
  <c r="AR14" i="19" a="1"/>
  <c r="AR14" i="19" s="1"/>
  <c r="AN14" i="19" a="1"/>
  <c r="AN14" i="19" s="1"/>
  <c r="AL14" i="19" a="1"/>
  <c r="AL14" i="19" s="1"/>
  <c r="AH14" i="19" a="1"/>
  <c r="AH14" i="19" s="1"/>
  <c r="AD14" i="19" a="1"/>
  <c r="AD14" i="19" s="1"/>
  <c r="EX13" i="19" a="1"/>
  <c r="EX13" i="19" s="1"/>
  <c r="ER13" i="19" a="1"/>
  <c r="ER13" i="19" s="1"/>
  <c r="EP13" i="19" a="1"/>
  <c r="EP13" i="19" s="1"/>
  <c r="EN13" i="19" a="1"/>
  <c r="EN13" i="19" s="1"/>
  <c r="EL13" i="19" a="1"/>
  <c r="EL13" i="19" s="1"/>
  <c r="EJ13" i="19" a="1"/>
  <c r="EJ13" i="19" s="1"/>
  <c r="EH13" i="19" a="1"/>
  <c r="EH13" i="19" s="1"/>
  <c r="EB13" i="19" a="1"/>
  <c r="EB13" i="19" s="1"/>
  <c r="DZ13" i="19" a="1"/>
  <c r="DZ13" i="19" s="1"/>
  <c r="DV13" i="19" a="1"/>
  <c r="DV13" i="19" s="1"/>
  <c r="DO13" i="19" a="1"/>
  <c r="DO13" i="19" s="1"/>
  <c r="DM13" i="19" a="1"/>
  <c r="DM13" i="19" s="1"/>
  <c r="DK13" i="19" a="1"/>
  <c r="DK13" i="19" s="1"/>
  <c r="DU13" i="19" a="1"/>
  <c r="DU13" i="19" s="1"/>
  <c r="BO13" i="19" a="1"/>
  <c r="BO13" i="19" s="1"/>
  <c r="AQ13" i="19" a="1"/>
  <c r="AQ13" i="19" s="1"/>
  <c r="AM13" i="19" a="1"/>
  <c r="AM13" i="19" s="1"/>
  <c r="AG13" i="19" a="1"/>
  <c r="AG13" i="19" s="1"/>
  <c r="BN13" i="19" a="1"/>
  <c r="BN13" i="19" s="1"/>
  <c r="AR13" i="19" a="1"/>
  <c r="AR13" i="19" s="1"/>
  <c r="AN13" i="19" a="1"/>
  <c r="AN13" i="19" s="1"/>
  <c r="AL13" i="19" a="1"/>
  <c r="AL13" i="19" s="1"/>
  <c r="AH13" i="19" a="1"/>
  <c r="AH13" i="19" s="1"/>
  <c r="AD13" i="19" a="1"/>
  <c r="AD13" i="19" s="1"/>
  <c r="EX12" i="19" a="1"/>
  <c r="EX12" i="19" s="1"/>
  <c r="ER12" i="19" a="1"/>
  <c r="ER12" i="19" s="1"/>
  <c r="EP12" i="19" a="1"/>
  <c r="EP12" i="19" s="1"/>
  <c r="EN12" i="19" a="1"/>
  <c r="EN12" i="19" s="1"/>
  <c r="EL12" i="19" a="1"/>
  <c r="EL12" i="19" s="1"/>
  <c r="EJ12" i="19" a="1"/>
  <c r="EJ12" i="19" s="1"/>
  <c r="EH12" i="19" a="1"/>
  <c r="EH12" i="19" s="1"/>
  <c r="EB12" i="19" a="1"/>
  <c r="EB12" i="19" s="1"/>
  <c r="DZ12" i="19" a="1"/>
  <c r="DZ12" i="19" s="1"/>
  <c r="DV12" i="19" a="1"/>
  <c r="DV12" i="19" s="1"/>
  <c r="DU12" i="19" a="1"/>
  <c r="DU12" i="19" s="1"/>
  <c r="DO12" i="19" a="1"/>
  <c r="DO12" i="19" s="1"/>
  <c r="DM12" i="19" a="1"/>
  <c r="DM12" i="19" s="1"/>
  <c r="DK12" i="19" a="1"/>
  <c r="DK12" i="19" s="1"/>
  <c r="BO12" i="19" a="1"/>
  <c r="BO12" i="19" s="1"/>
  <c r="AQ12" i="19" a="1"/>
  <c r="AQ12" i="19" s="1"/>
  <c r="AM12" i="19" a="1"/>
  <c r="AM12" i="19" s="1"/>
  <c r="AG12" i="19" a="1"/>
  <c r="AG12" i="19" s="1"/>
  <c r="BN12" i="19" a="1"/>
  <c r="BN12" i="19" s="1"/>
  <c r="AR12" i="19" a="1"/>
  <c r="AR12" i="19" s="1"/>
  <c r="AN12" i="19" a="1"/>
  <c r="AN12" i="19" s="1"/>
  <c r="AL12" i="19" a="1"/>
  <c r="AL12" i="19" s="1"/>
  <c r="AH12" i="19" a="1"/>
  <c r="AH12" i="19" s="1"/>
  <c r="AD12" i="19" a="1"/>
  <c r="AD12" i="19" s="1"/>
  <c r="EX11" i="19" a="1"/>
  <c r="EX11" i="19" s="1"/>
  <c r="ER11" i="19" a="1"/>
  <c r="ER11" i="19" s="1"/>
  <c r="EP11" i="19" a="1"/>
  <c r="EP11" i="19" s="1"/>
  <c r="EN11" i="19" a="1"/>
  <c r="EN11" i="19" s="1"/>
  <c r="EL11" i="19" a="1"/>
  <c r="EL11" i="19" s="1"/>
  <c r="EJ11" i="19" a="1"/>
  <c r="EJ11" i="19" s="1"/>
  <c r="EH11" i="19" a="1"/>
  <c r="EH11" i="19" s="1"/>
  <c r="EB11" i="19" a="1"/>
  <c r="EB11" i="19" s="1"/>
  <c r="DZ11" i="19" a="1"/>
  <c r="DZ11" i="19" s="1"/>
  <c r="DV11" i="19" a="1"/>
  <c r="DV11" i="19" s="1"/>
  <c r="DU11" i="19" a="1"/>
  <c r="DU11" i="19" s="1"/>
  <c r="DO11" i="19" a="1"/>
  <c r="DO11" i="19" s="1"/>
  <c r="DM11" i="19" a="1"/>
  <c r="DM11" i="19" s="1"/>
  <c r="DK11" i="19" a="1"/>
  <c r="DK11" i="19" s="1"/>
  <c r="BO11" i="19" a="1"/>
  <c r="BO11" i="19" s="1"/>
  <c r="AQ11" i="19" a="1"/>
  <c r="AQ11" i="19" s="1"/>
  <c r="AM11" i="19" a="1"/>
  <c r="AM11" i="19" s="1"/>
  <c r="AG11" i="19" a="1"/>
  <c r="AG11" i="19" s="1"/>
  <c r="BN11" i="19" a="1"/>
  <c r="BN11" i="19" s="1"/>
  <c r="AR11" i="19" a="1"/>
  <c r="AR11" i="19" s="1"/>
  <c r="AN11" i="19" a="1"/>
  <c r="AN11" i="19" s="1"/>
  <c r="AL11" i="19" a="1"/>
  <c r="AL11" i="19" s="1"/>
  <c r="AH11" i="19" a="1"/>
  <c r="AH11" i="19" s="1"/>
  <c r="AD11" i="19" a="1"/>
  <c r="AD11" i="19" s="1"/>
  <c r="EX10" i="19" a="1"/>
  <c r="EX10" i="19" s="1"/>
  <c r="ER10" i="19" a="1"/>
  <c r="ER10" i="19" s="1"/>
  <c r="EP10" i="19" a="1"/>
  <c r="EP10" i="19" s="1"/>
  <c r="EN10" i="19" a="1"/>
  <c r="EN10" i="19" s="1"/>
  <c r="EL10" i="19" a="1"/>
  <c r="EL10" i="19" s="1"/>
  <c r="EJ10" i="19" a="1"/>
  <c r="EJ10" i="19" s="1"/>
  <c r="EH10" i="19" a="1"/>
  <c r="EH10" i="19" s="1"/>
  <c r="EB10" i="19" a="1"/>
  <c r="EB10" i="19" s="1"/>
  <c r="DZ10" i="19" a="1"/>
  <c r="DZ10" i="19" s="1"/>
  <c r="DV10" i="19" a="1"/>
  <c r="DV10" i="19" s="1"/>
  <c r="DU10" i="19" a="1"/>
  <c r="DU10" i="19" s="1"/>
  <c r="DO10" i="19" a="1"/>
  <c r="DO10" i="19" s="1"/>
  <c r="DM10" i="19" a="1"/>
  <c r="DM10" i="19" s="1"/>
  <c r="DK10" i="19" a="1"/>
  <c r="DK10" i="19" s="1"/>
  <c r="BO10" i="19" a="1"/>
  <c r="BO10" i="19" s="1"/>
  <c r="AQ10" i="19" a="1"/>
  <c r="AQ10" i="19" s="1"/>
  <c r="AM10" i="19" a="1"/>
  <c r="AM10" i="19" s="1"/>
  <c r="AG10" i="19" a="1"/>
  <c r="AG10" i="19" s="1"/>
  <c r="BN10" i="19" a="1"/>
  <c r="BN10" i="19" s="1"/>
  <c r="AR10" i="19" a="1"/>
  <c r="AR10" i="19" s="1"/>
  <c r="AN10" i="19" a="1"/>
  <c r="AN10" i="19" s="1"/>
  <c r="AL10" i="19" a="1"/>
  <c r="AL10" i="19" s="1"/>
  <c r="AH10" i="19" a="1"/>
  <c r="AH10" i="19" s="1"/>
  <c r="AD10" i="19" a="1"/>
  <c r="AD10" i="19" s="1"/>
  <c r="EX9" i="19" a="1"/>
  <c r="EX9" i="19" s="1"/>
  <c r="ER9" i="19" a="1"/>
  <c r="ER9" i="19" s="1"/>
  <c r="EP9" i="19" a="1"/>
  <c r="EP9" i="19" s="1"/>
  <c r="EN9" i="19" a="1"/>
  <c r="EN9" i="19" s="1"/>
  <c r="EL9" i="19" a="1"/>
  <c r="EL9" i="19" s="1"/>
  <c r="EJ9" i="19" a="1"/>
  <c r="EJ9" i="19" s="1"/>
  <c r="EH9" i="19" a="1"/>
  <c r="EH9" i="19" s="1"/>
  <c r="EB9" i="19" a="1"/>
  <c r="EB9" i="19" s="1"/>
  <c r="DZ9" i="19" a="1"/>
  <c r="DZ9" i="19" s="1"/>
  <c r="DV9" i="19" a="1"/>
  <c r="DV9" i="19" s="1"/>
  <c r="DU9" i="19" a="1"/>
  <c r="DU9" i="19" s="1"/>
  <c r="DO9" i="19" a="1"/>
  <c r="DO9" i="19" s="1"/>
  <c r="DM9" i="19" a="1"/>
  <c r="DM9" i="19" s="1"/>
  <c r="DK9" i="19" a="1"/>
  <c r="DK9" i="19" s="1"/>
  <c r="BO9" i="19" a="1"/>
  <c r="BO9" i="19" s="1"/>
  <c r="AQ9" i="19" a="1"/>
  <c r="AQ9" i="19" s="1"/>
  <c r="AM9" i="19" a="1"/>
  <c r="AM9" i="19" s="1"/>
  <c r="AG9" i="19" a="1"/>
  <c r="AG9" i="19" s="1"/>
  <c r="BN9" i="19" a="1"/>
  <c r="BN9" i="19" s="1"/>
  <c r="AR9" i="19" a="1"/>
  <c r="AR9" i="19" s="1"/>
  <c r="AN9" i="19" a="1"/>
  <c r="AN9" i="19" s="1"/>
  <c r="AL9" i="19" a="1"/>
  <c r="AL9" i="19" s="1"/>
  <c r="AH9" i="19" a="1"/>
  <c r="AH9" i="19" s="1"/>
  <c r="AD9" i="19" a="1"/>
  <c r="AD9" i="19" s="1"/>
  <c r="EX8" i="19" a="1"/>
  <c r="EX8" i="19" s="1"/>
  <c r="ER8" i="19" a="1"/>
  <c r="ER8" i="19" s="1"/>
  <c r="EP8" i="19" a="1"/>
  <c r="EP8" i="19" s="1"/>
  <c r="EN8" i="19" a="1"/>
  <c r="EN8" i="19" s="1"/>
  <c r="EL8" i="19" a="1"/>
  <c r="EL8" i="19" s="1"/>
  <c r="EJ8" i="19" a="1"/>
  <c r="EJ8" i="19" s="1"/>
  <c r="EH8" i="19" a="1"/>
  <c r="EH8" i="19" s="1"/>
  <c r="EB8" i="19" a="1"/>
  <c r="EB8" i="19" s="1"/>
  <c r="DZ8" i="19" a="1"/>
  <c r="DZ8" i="19" s="1"/>
  <c r="DV8" i="19" a="1"/>
  <c r="DV8" i="19" s="1"/>
  <c r="DU8" i="19" a="1"/>
  <c r="DU8" i="19" s="1"/>
  <c r="DO8" i="19" a="1"/>
  <c r="DO8" i="19" s="1"/>
  <c r="DM8" i="19" a="1"/>
  <c r="DM8" i="19" s="1"/>
  <c r="DK8" i="19" a="1"/>
  <c r="DK8" i="19" s="1"/>
  <c r="BO8" i="19" a="1"/>
  <c r="BO8" i="19" s="1"/>
  <c r="AQ8" i="19" a="1"/>
  <c r="AQ8" i="19" s="1"/>
  <c r="AM8" i="19" a="1"/>
  <c r="AM8" i="19" s="1"/>
  <c r="AG8" i="19" a="1"/>
  <c r="AG8" i="19" s="1"/>
  <c r="BN8" i="19" a="1"/>
  <c r="BN8" i="19" s="1"/>
  <c r="AR8" i="19" a="1"/>
  <c r="AR8" i="19" s="1"/>
  <c r="AN8" i="19" a="1"/>
  <c r="AN8" i="19" s="1"/>
  <c r="AL8" i="19" a="1"/>
  <c r="AL8" i="19" s="1"/>
  <c r="AH8" i="19" a="1"/>
  <c r="AH8" i="19" s="1"/>
  <c r="AD8" i="19" a="1"/>
  <c r="AD8" i="19" s="1"/>
  <c r="EX7" i="19" a="1"/>
  <c r="EX7" i="19" s="1"/>
  <c r="ER7" i="19" a="1"/>
  <c r="ER7" i="19" s="1"/>
  <c r="EP7" i="19" a="1"/>
  <c r="EP7" i="19" s="1"/>
  <c r="EN7" i="19" a="1"/>
  <c r="EN7" i="19" s="1"/>
  <c r="EL7" i="19" a="1"/>
  <c r="EL7" i="19" s="1"/>
  <c r="EJ7" i="19" a="1"/>
  <c r="EJ7" i="19" s="1"/>
  <c r="EH7" i="19" a="1"/>
  <c r="EH7" i="19" s="1"/>
  <c r="EB7" i="19" a="1"/>
  <c r="EB7" i="19" s="1"/>
  <c r="DZ7" i="19" a="1"/>
  <c r="DZ7" i="19" s="1"/>
  <c r="DV7" i="19" a="1"/>
  <c r="DV7" i="19" s="1"/>
  <c r="DU7" i="19" a="1"/>
  <c r="DU7" i="19" s="1"/>
  <c r="DO7" i="19" a="1"/>
  <c r="DO7" i="19" s="1"/>
  <c r="DM7" i="19" a="1"/>
  <c r="DM7" i="19" s="1"/>
  <c r="DK7" i="19" a="1"/>
  <c r="DK7" i="19" s="1"/>
  <c r="BO7" i="19" a="1"/>
  <c r="BO7" i="19" s="1"/>
  <c r="AQ7" i="19" a="1"/>
  <c r="AQ7" i="19" s="1"/>
  <c r="AM7" i="19" a="1"/>
  <c r="AM7" i="19" s="1"/>
  <c r="AG7" i="19" a="1"/>
  <c r="AG7" i="19" s="1"/>
  <c r="BN7" i="19" a="1"/>
  <c r="BN7" i="19" s="1"/>
  <c r="AR7" i="19" a="1"/>
  <c r="AR7" i="19" s="1"/>
  <c r="AN7" i="19" a="1"/>
  <c r="AN7" i="19" s="1"/>
  <c r="AL7" i="19" a="1"/>
  <c r="AL7" i="19" s="1"/>
  <c r="AH7" i="19" a="1"/>
  <c r="AH7" i="19" s="1"/>
  <c r="AD7" i="19" a="1"/>
  <c r="AD7" i="19" s="1"/>
  <c r="EX6" i="19" a="1"/>
  <c r="EX6" i="19" s="1"/>
  <c r="ER6" i="19" a="1"/>
  <c r="ER6" i="19" s="1"/>
  <c r="EP6" i="19" a="1"/>
  <c r="EP6" i="19" s="1"/>
  <c r="EN6" i="19" a="1"/>
  <c r="EN6" i="19" s="1"/>
  <c r="EL6" i="19" a="1"/>
  <c r="EL6" i="19" s="1"/>
  <c r="EJ6" i="19" a="1"/>
  <c r="EJ6" i="19" s="1"/>
  <c r="EH6" i="19" a="1"/>
  <c r="EH6" i="19" s="1"/>
  <c r="EB6" i="19" a="1"/>
  <c r="EB6" i="19" s="1"/>
  <c r="DZ6" i="19" a="1"/>
  <c r="DZ6" i="19" s="1"/>
  <c r="DV6" i="19" a="1"/>
  <c r="DV6" i="19" s="1"/>
  <c r="DU6" i="19" a="1"/>
  <c r="DU6" i="19" s="1"/>
  <c r="DO6" i="19" a="1"/>
  <c r="DO6" i="19" s="1"/>
  <c r="DM6" i="19" a="1"/>
  <c r="DM6" i="19" s="1"/>
  <c r="DK6" i="19" a="1"/>
  <c r="DK6" i="19" s="1"/>
  <c r="BO6" i="19" a="1"/>
  <c r="BO6" i="19" s="1"/>
  <c r="AQ6" i="19" a="1"/>
  <c r="AQ6" i="19" s="1"/>
  <c r="AM6" i="19" a="1"/>
  <c r="AM6" i="19" s="1"/>
  <c r="AG6" i="19" a="1"/>
  <c r="AG6" i="19" s="1"/>
  <c r="BN6" i="19" a="1"/>
  <c r="BN6" i="19" s="1"/>
  <c r="AR6" i="19" a="1"/>
  <c r="AR6" i="19" s="1"/>
  <c r="AN6" i="19" a="1"/>
  <c r="AN6" i="19" s="1"/>
  <c r="AL6" i="19" a="1"/>
  <c r="AL6" i="19" s="1"/>
  <c r="AH6" i="19" a="1"/>
  <c r="AH6" i="19" s="1"/>
  <c r="AD6" i="19" a="1"/>
  <c r="AD6" i="19" s="1"/>
  <c r="EX5" i="19" a="1"/>
  <c r="EX5" i="19" s="1"/>
  <c r="ER5" i="19" a="1"/>
  <c r="ER5" i="19" s="1"/>
  <c r="EP5" i="19" a="1"/>
  <c r="EP5" i="19" s="1"/>
  <c r="EN5" i="19" a="1"/>
  <c r="EN5" i="19" s="1"/>
  <c r="EL5" i="19" a="1"/>
  <c r="EL5" i="19" s="1"/>
  <c r="EJ5" i="19" a="1"/>
  <c r="EJ5" i="19" s="1"/>
  <c r="EH5" i="19" a="1"/>
  <c r="EH5" i="19" s="1"/>
  <c r="EB5" i="19" a="1"/>
  <c r="EB5" i="19" s="1"/>
  <c r="DZ5" i="19" a="1"/>
  <c r="DZ5" i="19" s="1"/>
  <c r="DV5" i="19" a="1"/>
  <c r="DV5" i="19" s="1"/>
  <c r="DU5" i="19" a="1"/>
  <c r="DU5" i="19" s="1"/>
  <c r="DO5" i="19" a="1"/>
  <c r="DO5" i="19" s="1"/>
  <c r="DM5" i="19" a="1"/>
  <c r="DM5" i="19" s="1"/>
  <c r="DK5" i="19" a="1"/>
  <c r="DK5" i="19" s="1"/>
  <c r="BO5" i="19" a="1"/>
  <c r="BO5" i="19" s="1"/>
  <c r="AQ5" i="19" a="1"/>
  <c r="AQ5" i="19" s="1"/>
  <c r="AM5" i="19" a="1"/>
  <c r="AM5" i="19" s="1"/>
  <c r="AG5" i="19" a="1"/>
  <c r="AG5" i="19" s="1"/>
  <c r="BN5" i="19" a="1"/>
  <c r="BN5" i="19" s="1"/>
  <c r="AR5" i="19" a="1"/>
  <c r="AR5" i="19" s="1"/>
  <c r="AN5" i="19" a="1"/>
  <c r="AN5" i="19" s="1"/>
  <c r="AL5" i="19" a="1"/>
  <c r="AL5" i="19" s="1"/>
  <c r="AH5" i="19" a="1"/>
  <c r="AH5" i="19" s="1"/>
  <c r="AD5" i="19" a="1"/>
  <c r="AD5" i="19" s="1"/>
  <c r="EX4" i="19" a="1"/>
  <c r="EX4" i="19" s="1"/>
  <c r="ER4" i="19" a="1"/>
  <c r="ER4" i="19" s="1"/>
  <c r="EP4" i="19" a="1"/>
  <c r="EP4" i="19" s="1"/>
  <c r="EN4" i="19" a="1"/>
  <c r="EN4" i="19" s="1"/>
  <c r="EL4" i="19" a="1"/>
  <c r="EL4" i="19" s="1"/>
  <c r="EJ4" i="19" a="1"/>
  <c r="EJ4" i="19" s="1"/>
  <c r="EH4" i="19" a="1"/>
  <c r="EH4" i="19" s="1"/>
  <c r="EB4" i="19" a="1"/>
  <c r="EB4" i="19" s="1"/>
  <c r="DZ4" i="19" a="1"/>
  <c r="DZ4" i="19" s="1"/>
  <c r="DV4" i="19" a="1"/>
  <c r="DV4" i="19" s="1"/>
  <c r="DU4" i="19" a="1"/>
  <c r="DU4" i="19" s="1"/>
  <c r="DO4" i="19" a="1"/>
  <c r="DO4" i="19" s="1"/>
  <c r="DM4" i="19" a="1"/>
  <c r="DM4" i="19" s="1"/>
  <c r="DK4" i="19" a="1"/>
  <c r="DK4" i="19" s="1"/>
  <c r="BO4" i="19" a="1"/>
  <c r="BO4" i="19" s="1"/>
  <c r="AQ4" i="19" a="1"/>
  <c r="AQ4" i="19" s="1"/>
  <c r="AM4" i="19" a="1"/>
  <c r="AM4" i="19" s="1"/>
  <c r="AG4" i="19" a="1"/>
  <c r="AG4" i="19" s="1"/>
  <c r="BN4" i="19" a="1"/>
  <c r="BN4" i="19" s="1"/>
  <c r="AR4" i="19" a="1"/>
  <c r="AR4" i="19" s="1"/>
  <c r="AN4" i="19" a="1"/>
  <c r="AN4" i="19" s="1"/>
  <c r="AL4" i="19" a="1"/>
  <c r="AL4" i="19" s="1"/>
  <c r="AH4" i="19" a="1"/>
  <c r="AH4" i="19" s="1"/>
  <c r="AD4" i="19" a="1"/>
  <c r="AD4" i="19" s="1"/>
  <c r="EX3" i="19" a="1"/>
  <c r="EX3" i="19" s="1"/>
  <c r="ER3" i="19" a="1"/>
  <c r="ER3" i="19" s="1"/>
  <c r="EP3" i="19" a="1"/>
  <c r="EP3" i="19" s="1"/>
  <c r="EN3" i="19" a="1"/>
  <c r="EN3" i="19" s="1"/>
  <c r="EL3" i="19" a="1"/>
  <c r="EL3" i="19" s="1"/>
  <c r="EJ3" i="19" a="1"/>
  <c r="EJ3" i="19" s="1"/>
  <c r="EH3" i="19" a="1"/>
  <c r="EH3" i="19" s="1"/>
  <c r="EB3" i="19" a="1"/>
  <c r="EB3" i="19" s="1"/>
  <c r="DZ3" i="19" a="1"/>
  <c r="DZ3" i="19" s="1"/>
  <c r="DV3" i="19" a="1"/>
  <c r="DV3" i="19" s="1"/>
  <c r="DU3" i="19" a="1"/>
  <c r="DU3" i="19" s="1"/>
  <c r="DO3" i="19" a="1"/>
  <c r="DO3" i="19" s="1"/>
  <c r="DM3" i="19" a="1"/>
  <c r="DM3" i="19" s="1"/>
  <c r="DK3" i="19" a="1"/>
  <c r="DK3" i="19" s="1"/>
  <c r="BO3" i="19" a="1"/>
  <c r="BO3" i="19" s="1"/>
  <c r="AQ3" i="19" a="1"/>
  <c r="AQ3" i="19" s="1"/>
  <c r="AM3" i="19" a="1"/>
  <c r="AM3" i="19" s="1"/>
  <c r="AG3" i="19" a="1"/>
  <c r="AG3" i="19" s="1"/>
  <c r="BN3" i="19" a="1"/>
  <c r="BN3" i="19" s="1"/>
  <c r="AR3" i="19" a="1"/>
  <c r="AR3" i="19" s="1"/>
  <c r="AN3" i="19" a="1"/>
  <c r="AN3" i="19" s="1"/>
  <c r="AL3" i="19" a="1"/>
  <c r="AL3" i="19" s="1"/>
  <c r="AH3" i="19" a="1"/>
  <c r="AH3" i="19" s="1"/>
  <c r="AD3" i="19" a="1"/>
  <c r="AD3" i="19" s="1"/>
  <c r="A4" i="5"/>
  <c r="FA4" i="5" a="1"/>
  <c r="FA4" i="5" s="1"/>
  <c r="EU4" i="5" a="1"/>
  <c r="EU4" i="5" s="1"/>
  <c r="ES4" i="5" a="1"/>
  <c r="ES4" i="5" s="1"/>
  <c r="EQ4" i="5" a="1"/>
  <c r="EQ4" i="5" s="1"/>
  <c r="EO4" i="5" a="1"/>
  <c r="EO4" i="5" s="1"/>
  <c r="EM4" i="5" a="1"/>
  <c r="EM4" i="5" s="1"/>
  <c r="EK4" i="5" a="1"/>
  <c r="EK4" i="5" s="1"/>
  <c r="EE4" i="5" a="1"/>
  <c r="EE4" i="5" s="1"/>
  <c r="EC4" i="5" a="1"/>
  <c r="EC4" i="5" s="1"/>
  <c r="DY4" i="5" a="1"/>
  <c r="DY4" i="5" s="1"/>
  <c r="DX4" i="5" a="1"/>
  <c r="DX4" i="5" s="1"/>
  <c r="DR4" i="5" a="1"/>
  <c r="DR4" i="5" s="1"/>
  <c r="DP4" i="5" a="1"/>
  <c r="DP4" i="5" s="1"/>
  <c r="DN4" i="5" a="1"/>
  <c r="DN4" i="5" s="1"/>
  <c r="ER2" i="19" a="1"/>
  <c r="ER2" i="19" s="1"/>
  <c r="EN2" i="19" a="1"/>
  <c r="EN2" i="19" s="1"/>
  <c r="EJ2" i="19" a="1"/>
  <c r="EJ2" i="19" s="1"/>
  <c r="EB2" i="19" a="1"/>
  <c r="EB2" i="19" s="1"/>
  <c r="DO2" i="19" a="1"/>
  <c r="DO2" i="19" s="1"/>
  <c r="DK2" i="19" a="1"/>
  <c r="DK2" i="19" s="1"/>
  <c r="AQ2" i="19" a="1"/>
  <c r="AQ2" i="19" s="1"/>
  <c r="AM2" i="19" a="1"/>
  <c r="AM2" i="19" s="1"/>
  <c r="BO2" i="19" a="1"/>
  <c r="BO2" i="19" s="1"/>
  <c r="AR2" i="19" a="1"/>
  <c r="AR2" i="19" s="1"/>
  <c r="AN2" i="19" a="1"/>
  <c r="AN2" i="19" s="1"/>
  <c r="EX2" i="19" a="1"/>
  <c r="EX2" i="19" s="1"/>
  <c r="EP2" i="19" a="1"/>
  <c r="EP2" i="19" s="1"/>
  <c r="EL2" i="19" a="1"/>
  <c r="EL2" i="19" s="1"/>
  <c r="EH2" i="19" a="1"/>
  <c r="EH2" i="19" s="1"/>
  <c r="DZ2" i="19" a="1"/>
  <c r="DZ2" i="19" s="1"/>
  <c r="DU2" i="19" a="1"/>
  <c r="DU2" i="19" s="1"/>
  <c r="DM2" i="19" a="1"/>
  <c r="DM2" i="19" s="1"/>
  <c r="DV2" i="19" a="1"/>
  <c r="DV2" i="19" s="1"/>
  <c r="BN2" i="19" a="1"/>
  <c r="BN2" i="19" s="1"/>
  <c r="AG2" i="19" a="1"/>
  <c r="AG2" i="19" s="1"/>
  <c r="AL2" i="19" a="1"/>
  <c r="AL2" i="19" s="1"/>
  <c r="AH2" i="19" a="1"/>
  <c r="AH2" i="19" s="1"/>
  <c r="AD2" i="19" a="1"/>
  <c r="AD2" i="19" s="1"/>
  <c r="BR4" i="5" a="1"/>
  <c r="BR4" i="5" s="1"/>
  <c r="BQ4" i="5" a="1"/>
  <c r="BQ4" i="5" s="1"/>
  <c r="AU4" i="5" a="1"/>
  <c r="AU4" i="5" s="1"/>
  <c r="AQ4" i="5" a="1"/>
  <c r="AQ4" i="5" s="1"/>
  <c r="AO4" i="5" a="1"/>
  <c r="AO4" i="5" s="1"/>
  <c r="AK4" i="5" a="1"/>
  <c r="AK4" i="5" s="1"/>
  <c r="AG4" i="5" a="1"/>
  <c r="AG4" i="5" s="1"/>
  <c r="FA3" i="5" a="1"/>
  <c r="FA3" i="5" s="1"/>
  <c r="EU3" i="5" a="1"/>
  <c r="EU3" i="5" s="1"/>
  <c r="ES3" i="5" a="1"/>
  <c r="ES3" i="5" s="1"/>
  <c r="EQ3" i="5" a="1"/>
  <c r="EQ3" i="5" s="1"/>
  <c r="EO3" i="5" a="1"/>
  <c r="EO3" i="5" s="1"/>
  <c r="EM3" i="5" a="1"/>
  <c r="EM3" i="5" s="1"/>
  <c r="EK3" i="5" a="1"/>
  <c r="EK3" i="5" s="1"/>
  <c r="EE3" i="5" a="1"/>
  <c r="EE3" i="5" s="1"/>
  <c r="EC3" i="5" a="1"/>
  <c r="EC3" i="5" s="1"/>
  <c r="DY3" i="5" a="1"/>
  <c r="DY3" i="5" s="1"/>
  <c r="AT4" i="5" a="1"/>
  <c r="AT4" i="5" s="1"/>
  <c r="AP4" i="5" a="1"/>
  <c r="AP4" i="5" s="1"/>
  <c r="AJ4" i="5" a="1"/>
  <c r="AJ4" i="5" s="1"/>
  <c r="DX3" i="5" a="1"/>
  <c r="DX3" i="5" s="1"/>
  <c r="DR3" i="5" a="1"/>
  <c r="DR3" i="5" s="1"/>
  <c r="DP3" i="5" a="1"/>
  <c r="DP3" i="5" s="1"/>
  <c r="DN3" i="5" a="1"/>
  <c r="DN3" i="5" s="1"/>
  <c r="BR3" i="5" a="1"/>
  <c r="BR3" i="5" s="1"/>
  <c r="BQ3" i="5" a="1"/>
  <c r="BQ3" i="5" s="1"/>
  <c r="AU3" i="5" a="1"/>
  <c r="AU3" i="5" s="1"/>
  <c r="AT3" i="5" a="1"/>
  <c r="AT3" i="5" s="1"/>
  <c r="AQ3" i="5" a="1"/>
  <c r="AQ3" i="5" s="1"/>
  <c r="AP3" i="5" a="1"/>
  <c r="AP3" i="5" s="1"/>
  <c r="AO3" i="5" a="1"/>
  <c r="AO3" i="5" s="1"/>
  <c r="AK3" i="5" a="1"/>
  <c r="AK3" i="5" s="1"/>
  <c r="AJ3" i="5" a="1"/>
  <c r="AJ3" i="5" s="1"/>
  <c r="AG3" i="5" a="1"/>
  <c r="AG3" i="5" s="1"/>
  <c r="DD59" i="19" a="1"/>
  <c r="DD59" i="19" s="1"/>
  <c r="DG59" i="19" a="1"/>
  <c r="DG59" i="19" s="1"/>
  <c r="DF59" i="19" a="1"/>
  <c r="DF59" i="19" s="1"/>
  <c r="DE59" i="19" a="1"/>
  <c r="DE59" i="19" s="1"/>
  <c r="DC59" i="19" a="1"/>
  <c r="DC59" i="19" s="1"/>
  <c r="N59" i="19" a="1"/>
  <c r="N59" i="19" s="1"/>
  <c r="DG58" i="19" a="1"/>
  <c r="DG58" i="19" s="1"/>
  <c r="DE58" i="19" a="1"/>
  <c r="DE58" i="19" s="1"/>
  <c r="DC58" i="19" a="1"/>
  <c r="DC58" i="19" s="1"/>
  <c r="DF58" i="19" a="1"/>
  <c r="DF58" i="19" s="1"/>
  <c r="DD58" i="19" a="1"/>
  <c r="DD58" i="19" s="1"/>
  <c r="N58" i="19" a="1"/>
  <c r="N58" i="19" s="1"/>
  <c r="DG57" i="19" a="1"/>
  <c r="DG57" i="19" s="1"/>
  <c r="DE57" i="19" a="1"/>
  <c r="DE57" i="19" s="1"/>
  <c r="DC57" i="19" a="1"/>
  <c r="DC57" i="19" s="1"/>
  <c r="DF57" i="19" a="1"/>
  <c r="DF57" i="19" s="1"/>
  <c r="DD57" i="19" a="1"/>
  <c r="DD57" i="19" s="1"/>
  <c r="N57" i="19" a="1"/>
  <c r="N57" i="19" s="1"/>
  <c r="DG56" i="19" a="1"/>
  <c r="DG56" i="19" s="1"/>
  <c r="DE56" i="19" a="1"/>
  <c r="DE56" i="19" s="1"/>
  <c r="DC56" i="19" a="1"/>
  <c r="DC56" i="19" s="1"/>
  <c r="DD56" i="19" a="1"/>
  <c r="DD56" i="19" s="1"/>
  <c r="DF56" i="19" a="1"/>
  <c r="DF56" i="19" s="1"/>
  <c r="N56" i="19" a="1"/>
  <c r="N56" i="19" s="1"/>
  <c r="DG55" i="19" a="1"/>
  <c r="DG55" i="19" s="1"/>
  <c r="DE55" i="19" a="1"/>
  <c r="DE55" i="19" s="1"/>
  <c r="DC55" i="19" a="1"/>
  <c r="DC55" i="19" s="1"/>
  <c r="DD55" i="19" a="1"/>
  <c r="DD55" i="19" s="1"/>
  <c r="DF55" i="19" a="1"/>
  <c r="DF55" i="19" s="1"/>
  <c r="N55" i="19" a="1"/>
  <c r="N55" i="19" s="1"/>
  <c r="DG54" i="19" a="1"/>
  <c r="DG54" i="19" s="1"/>
  <c r="DE54" i="19" a="1"/>
  <c r="DE54" i="19" s="1"/>
  <c r="DC54" i="19" a="1"/>
  <c r="DC54" i="19" s="1"/>
  <c r="DD54" i="19" a="1"/>
  <c r="DD54" i="19" s="1"/>
  <c r="DF54" i="19" a="1"/>
  <c r="DF54" i="19" s="1"/>
  <c r="N54" i="19" a="1"/>
  <c r="N54" i="19" s="1"/>
  <c r="DG53" i="19" a="1"/>
  <c r="DG53" i="19" s="1"/>
  <c r="DE53" i="19" a="1"/>
  <c r="DE53" i="19" s="1"/>
  <c r="DC53" i="19" a="1"/>
  <c r="DC53" i="19" s="1"/>
  <c r="DD53" i="19" a="1"/>
  <c r="DD53" i="19" s="1"/>
  <c r="DF53" i="19" a="1"/>
  <c r="DF53" i="19" s="1"/>
  <c r="N53" i="19" a="1"/>
  <c r="N53" i="19" s="1"/>
  <c r="DG52" i="19" a="1"/>
  <c r="DG52" i="19" s="1"/>
  <c r="DE52" i="19" a="1"/>
  <c r="DE52" i="19" s="1"/>
  <c r="DC52" i="19" a="1"/>
  <c r="DC52" i="19" s="1"/>
  <c r="DD52" i="19" a="1"/>
  <c r="DD52" i="19" s="1"/>
  <c r="DF52" i="19" a="1"/>
  <c r="DF52" i="19" s="1"/>
  <c r="N52" i="19" a="1"/>
  <c r="N52" i="19" s="1"/>
  <c r="DG51" i="19" a="1"/>
  <c r="DG51" i="19" s="1"/>
  <c r="DE51" i="19" a="1"/>
  <c r="DE51" i="19" s="1"/>
  <c r="DC51" i="19" a="1"/>
  <c r="DC51" i="19" s="1"/>
  <c r="DF51" i="19" a="1"/>
  <c r="DF51" i="19" s="1"/>
  <c r="DD51" i="19" a="1"/>
  <c r="DD51" i="19" s="1"/>
  <c r="N51" i="19" a="1"/>
  <c r="N51" i="19" s="1"/>
  <c r="DG50" i="19" a="1"/>
  <c r="DG50" i="19" s="1"/>
  <c r="DE50" i="19" a="1"/>
  <c r="DE50" i="19" s="1"/>
  <c r="DC50" i="19" a="1"/>
  <c r="DC50" i="19" s="1"/>
  <c r="DD50" i="19" a="1"/>
  <c r="DD50" i="19" s="1"/>
  <c r="DF50" i="19" a="1"/>
  <c r="DF50" i="19" s="1"/>
  <c r="N50" i="19" a="1"/>
  <c r="N50" i="19" s="1"/>
  <c r="DG49" i="19" a="1"/>
  <c r="DG49" i="19" s="1"/>
  <c r="DE49" i="19" a="1"/>
  <c r="DE49" i="19" s="1"/>
  <c r="DC49" i="19" a="1"/>
  <c r="DC49" i="19" s="1"/>
  <c r="DF49" i="19" a="1"/>
  <c r="DF49" i="19" s="1"/>
  <c r="DD49" i="19" a="1"/>
  <c r="DD49" i="19" s="1"/>
  <c r="N49" i="19" a="1"/>
  <c r="N49" i="19" s="1"/>
  <c r="DG48" i="19" a="1"/>
  <c r="DG48" i="19" s="1"/>
  <c r="DE48" i="19" a="1"/>
  <c r="DE48" i="19" s="1"/>
  <c r="DC48" i="19" a="1"/>
  <c r="DC48" i="19" s="1"/>
  <c r="DF48" i="19" a="1"/>
  <c r="DF48" i="19" s="1"/>
  <c r="DD48" i="19" a="1"/>
  <c r="DD48" i="19" s="1"/>
  <c r="N48" i="19" a="1"/>
  <c r="N48" i="19" s="1"/>
  <c r="DG47" i="19" a="1"/>
  <c r="DG47" i="19" s="1"/>
  <c r="DE47" i="19" a="1"/>
  <c r="DE47" i="19" s="1"/>
  <c r="DC47" i="19" a="1"/>
  <c r="DC47" i="19" s="1"/>
  <c r="DF47" i="19" a="1"/>
  <c r="DF47" i="19" s="1"/>
  <c r="DD47" i="19" a="1"/>
  <c r="DD47" i="19" s="1"/>
  <c r="N47" i="19" a="1"/>
  <c r="N47" i="19" s="1"/>
  <c r="DG46" i="19" a="1"/>
  <c r="DG46" i="19" s="1"/>
  <c r="DE46" i="19" a="1"/>
  <c r="DE46" i="19" s="1"/>
  <c r="DC46" i="19" a="1"/>
  <c r="DC46" i="19" s="1"/>
  <c r="DD46" i="19" a="1"/>
  <c r="DD46" i="19" s="1"/>
  <c r="DF46" i="19" a="1"/>
  <c r="DF46" i="19" s="1"/>
  <c r="N46" i="19" a="1"/>
  <c r="N46" i="19" s="1"/>
  <c r="DG45" i="19" a="1"/>
  <c r="DG45" i="19" s="1"/>
  <c r="DE45" i="19" a="1"/>
  <c r="DE45" i="19" s="1"/>
  <c r="DC45" i="19" a="1"/>
  <c r="DC45" i="19" s="1"/>
  <c r="DF45" i="19" a="1"/>
  <c r="DF45" i="19" s="1"/>
  <c r="DD45" i="19" a="1"/>
  <c r="DD45" i="19" s="1"/>
  <c r="N45" i="19" a="1"/>
  <c r="N45" i="19" s="1"/>
  <c r="DG44" i="19" a="1"/>
  <c r="DG44" i="19" s="1"/>
  <c r="DE44" i="19" a="1"/>
  <c r="DE44" i="19" s="1"/>
  <c r="DC44" i="19" a="1"/>
  <c r="DC44" i="19" s="1"/>
  <c r="DF44" i="19" a="1"/>
  <c r="DF44" i="19" s="1"/>
  <c r="DD44" i="19" a="1"/>
  <c r="DD44" i="19" s="1"/>
  <c r="N44" i="19" a="1"/>
  <c r="N44" i="19" s="1"/>
  <c r="DG43" i="19" a="1"/>
  <c r="DG43" i="19" s="1"/>
  <c r="DE43" i="19" a="1"/>
  <c r="DE43" i="19" s="1"/>
  <c r="DC43" i="19" a="1"/>
  <c r="DC43" i="19" s="1"/>
  <c r="DF43" i="19" a="1"/>
  <c r="DF43" i="19" s="1"/>
  <c r="DD43" i="19" a="1"/>
  <c r="DD43" i="19" s="1"/>
  <c r="N43" i="19" a="1"/>
  <c r="N43" i="19" s="1"/>
  <c r="DG42" i="19" a="1"/>
  <c r="DG42" i="19" s="1"/>
  <c r="DE42" i="19" a="1"/>
  <c r="DE42" i="19" s="1"/>
  <c r="DC42" i="19" a="1"/>
  <c r="DC42" i="19" s="1"/>
  <c r="DF42" i="19" a="1"/>
  <c r="DF42" i="19" s="1"/>
  <c r="DD42" i="19" a="1"/>
  <c r="DD42" i="19" s="1"/>
  <c r="N42" i="19" a="1"/>
  <c r="N42" i="19" s="1"/>
  <c r="DG41" i="19" a="1"/>
  <c r="DG41" i="19" s="1"/>
  <c r="DE41" i="19" a="1"/>
  <c r="DE41" i="19" s="1"/>
  <c r="DC41" i="19" a="1"/>
  <c r="DC41" i="19" s="1"/>
  <c r="DF41" i="19" a="1"/>
  <c r="DF41" i="19" s="1"/>
  <c r="DD41" i="19" a="1"/>
  <c r="DD41" i="19" s="1"/>
  <c r="N41" i="19" a="1"/>
  <c r="N41" i="19" s="1"/>
  <c r="DG40" i="19" a="1"/>
  <c r="DG40" i="19" s="1"/>
  <c r="DE40" i="19" a="1"/>
  <c r="DE40" i="19" s="1"/>
  <c r="DC40" i="19" a="1"/>
  <c r="DC40" i="19" s="1"/>
  <c r="DF40" i="19" a="1"/>
  <c r="DF40" i="19" s="1"/>
  <c r="DD40" i="19" a="1"/>
  <c r="DD40" i="19" s="1"/>
  <c r="N40" i="19" a="1"/>
  <c r="N40" i="19" s="1"/>
  <c r="DG39" i="19" a="1"/>
  <c r="DG39" i="19" s="1"/>
  <c r="DE39" i="19" a="1"/>
  <c r="DE39" i="19" s="1"/>
  <c r="DC39" i="19" a="1"/>
  <c r="DC39" i="19" s="1"/>
  <c r="DF39" i="19" a="1"/>
  <c r="DF39" i="19" s="1"/>
  <c r="DD39" i="19" a="1"/>
  <c r="DD39" i="19" s="1"/>
  <c r="N39" i="19" a="1"/>
  <c r="N39" i="19" s="1"/>
  <c r="DG38" i="19" a="1"/>
  <c r="DG38" i="19" s="1"/>
  <c r="DE38" i="19" a="1"/>
  <c r="DE38" i="19" s="1"/>
  <c r="DC38" i="19" a="1"/>
  <c r="DC38" i="19" s="1"/>
  <c r="DF38" i="19" a="1"/>
  <c r="DF38" i="19" s="1"/>
  <c r="DD38" i="19" a="1"/>
  <c r="DD38" i="19" s="1"/>
  <c r="N38" i="19" a="1"/>
  <c r="N38" i="19" s="1"/>
  <c r="DG37" i="19" a="1"/>
  <c r="DG37" i="19" s="1"/>
  <c r="DE37" i="19" a="1"/>
  <c r="DE37" i="19" s="1"/>
  <c r="DC37" i="19" a="1"/>
  <c r="DC37" i="19" s="1"/>
  <c r="DF37" i="19" a="1"/>
  <c r="DF37" i="19" s="1"/>
  <c r="DD37" i="19" a="1"/>
  <c r="DD37" i="19" s="1"/>
  <c r="N37" i="19" a="1"/>
  <c r="N37" i="19" s="1"/>
  <c r="DG36" i="19" a="1"/>
  <c r="DG36" i="19" s="1"/>
  <c r="DE36" i="19" a="1"/>
  <c r="DE36" i="19" s="1"/>
  <c r="DC36" i="19" a="1"/>
  <c r="DC36" i="19" s="1"/>
  <c r="DF36" i="19" a="1"/>
  <c r="DF36" i="19" s="1"/>
  <c r="DD36" i="19" a="1"/>
  <c r="DD36" i="19" s="1"/>
  <c r="N36" i="19" a="1"/>
  <c r="N36" i="19" s="1"/>
  <c r="DG35" i="19" a="1"/>
  <c r="DG35" i="19" s="1"/>
  <c r="DE35" i="19" a="1"/>
  <c r="DE35" i="19" s="1"/>
  <c r="DC35" i="19" a="1"/>
  <c r="DC35" i="19" s="1"/>
  <c r="DF35" i="19" a="1"/>
  <c r="DF35" i="19" s="1"/>
  <c r="DD35" i="19" a="1"/>
  <c r="DD35" i="19" s="1"/>
  <c r="N35" i="19" a="1"/>
  <c r="N35" i="19" s="1"/>
  <c r="DG34" i="19" a="1"/>
  <c r="DG34" i="19" s="1"/>
  <c r="DE34" i="19" a="1"/>
  <c r="DE34" i="19" s="1"/>
  <c r="DC34" i="19" a="1"/>
  <c r="DC34" i="19" s="1"/>
  <c r="DF34" i="19" a="1"/>
  <c r="DF34" i="19" s="1"/>
  <c r="DD34" i="19" a="1"/>
  <c r="DD34" i="19" s="1"/>
  <c r="N34" i="19" a="1"/>
  <c r="N34" i="19" s="1"/>
  <c r="DG33" i="19" a="1"/>
  <c r="DG33" i="19" s="1"/>
  <c r="DE33" i="19" a="1"/>
  <c r="DE33" i="19" s="1"/>
  <c r="DC33" i="19" a="1"/>
  <c r="DC33" i="19" s="1"/>
  <c r="DF33" i="19" a="1"/>
  <c r="DF33" i="19" s="1"/>
  <c r="DD33" i="19" a="1"/>
  <c r="DD33" i="19" s="1"/>
  <c r="N33" i="19" a="1"/>
  <c r="N33" i="19" s="1"/>
  <c r="DG32" i="19" a="1"/>
  <c r="DG32" i="19" s="1"/>
  <c r="DE32" i="19" a="1"/>
  <c r="DE32" i="19" s="1"/>
  <c r="DC32" i="19" a="1"/>
  <c r="DC32" i="19" s="1"/>
  <c r="DF32" i="19" a="1"/>
  <c r="DF32" i="19" s="1"/>
  <c r="DD32" i="19" a="1"/>
  <c r="DD32" i="19" s="1"/>
  <c r="N32" i="19" a="1"/>
  <c r="N32" i="19" s="1"/>
  <c r="DG31" i="19" a="1"/>
  <c r="DG31" i="19" s="1"/>
  <c r="DE31" i="19" a="1"/>
  <c r="DE31" i="19" s="1"/>
  <c r="DC31" i="19" a="1"/>
  <c r="DC31" i="19" s="1"/>
  <c r="DF31" i="19" a="1"/>
  <c r="DF31" i="19" s="1"/>
  <c r="DD31" i="19" a="1"/>
  <c r="DD31" i="19" s="1"/>
  <c r="N31" i="19" a="1"/>
  <c r="N31" i="19" s="1"/>
  <c r="DG30" i="19" a="1"/>
  <c r="DG30" i="19" s="1"/>
  <c r="DE30" i="19" a="1"/>
  <c r="DE30" i="19" s="1"/>
  <c r="DC30" i="19" a="1"/>
  <c r="DC30" i="19" s="1"/>
  <c r="DF30" i="19" a="1"/>
  <c r="DF30" i="19" s="1"/>
  <c r="DD30" i="19" a="1"/>
  <c r="DD30" i="19" s="1"/>
  <c r="N30" i="19" a="1"/>
  <c r="N30" i="19" s="1"/>
  <c r="DG29" i="19" a="1"/>
  <c r="DG29" i="19" s="1"/>
  <c r="DE29" i="19" a="1"/>
  <c r="DE29" i="19" s="1"/>
  <c r="DC29" i="19" a="1"/>
  <c r="DC29" i="19" s="1"/>
  <c r="DF29" i="19" a="1"/>
  <c r="DF29" i="19" s="1"/>
  <c r="DD29" i="19" a="1"/>
  <c r="DD29" i="19" s="1"/>
  <c r="N29" i="19" a="1"/>
  <c r="N29" i="19" s="1"/>
  <c r="DG28" i="19" a="1"/>
  <c r="DG28" i="19" s="1"/>
  <c r="DE28" i="19" a="1"/>
  <c r="DE28" i="19" s="1"/>
  <c r="DC28" i="19" a="1"/>
  <c r="DC28" i="19" s="1"/>
  <c r="DF28" i="19" a="1"/>
  <c r="DF28" i="19" s="1"/>
  <c r="DD28" i="19" a="1"/>
  <c r="DD28" i="19" s="1"/>
  <c r="N28" i="19" a="1"/>
  <c r="N28" i="19" s="1"/>
  <c r="DG27" i="19" a="1"/>
  <c r="DG27" i="19" s="1"/>
  <c r="DE27" i="19" a="1"/>
  <c r="DE27" i="19" s="1"/>
  <c r="DC27" i="19" a="1"/>
  <c r="DC27" i="19" s="1"/>
  <c r="DF27" i="19" a="1"/>
  <c r="DF27" i="19" s="1"/>
  <c r="DD27" i="19" a="1"/>
  <c r="DD27" i="19" s="1"/>
  <c r="N27" i="19" a="1"/>
  <c r="N27" i="19" s="1"/>
  <c r="DG26" i="19" a="1"/>
  <c r="DG26" i="19" s="1"/>
  <c r="DE26" i="19" a="1"/>
  <c r="DE26" i="19" s="1"/>
  <c r="DC26" i="19" a="1"/>
  <c r="DC26" i="19" s="1"/>
  <c r="DF26" i="19" a="1"/>
  <c r="DF26" i="19" s="1"/>
  <c r="DD26" i="19" a="1"/>
  <c r="DD26" i="19" s="1"/>
  <c r="N26" i="19" a="1"/>
  <c r="N26" i="19" s="1"/>
  <c r="DG25" i="19" a="1"/>
  <c r="DG25" i="19" s="1"/>
  <c r="DE25" i="19" a="1"/>
  <c r="DE25" i="19" s="1"/>
  <c r="DC25" i="19" a="1"/>
  <c r="DC25" i="19" s="1"/>
  <c r="DF25" i="19" a="1"/>
  <c r="DF25" i="19" s="1"/>
  <c r="DD25" i="19" a="1"/>
  <c r="DD25" i="19" s="1"/>
  <c r="N25" i="19" a="1"/>
  <c r="N25" i="19" s="1"/>
  <c r="DG24" i="19" a="1"/>
  <c r="DG24" i="19" s="1"/>
  <c r="DE24" i="19" a="1"/>
  <c r="DE24" i="19" s="1"/>
  <c r="DC24" i="19" a="1"/>
  <c r="DC24" i="19" s="1"/>
  <c r="DF24" i="19" a="1"/>
  <c r="DF24" i="19" s="1"/>
  <c r="DD24" i="19" a="1"/>
  <c r="DD24" i="19" s="1"/>
  <c r="N24" i="19" a="1"/>
  <c r="N24" i="19" s="1"/>
  <c r="DG23" i="19" a="1"/>
  <c r="DG23" i="19" s="1"/>
  <c r="DE23" i="19" a="1"/>
  <c r="DE23" i="19" s="1"/>
  <c r="DC23" i="19" a="1"/>
  <c r="DC23" i="19" s="1"/>
  <c r="DF23" i="19" a="1"/>
  <c r="DF23" i="19" s="1"/>
  <c r="DD23" i="19" a="1"/>
  <c r="DD23" i="19" s="1"/>
  <c r="N23" i="19" a="1"/>
  <c r="N23" i="19" s="1"/>
  <c r="DF22" i="19" a="1"/>
  <c r="DF22" i="19" s="1"/>
  <c r="DD22" i="19" a="1"/>
  <c r="DD22" i="19" s="1"/>
  <c r="DG22" i="19" a="1"/>
  <c r="DG22" i="19" s="1"/>
  <c r="DE22" i="19" a="1"/>
  <c r="DE22" i="19" s="1"/>
  <c r="DC22" i="19" a="1"/>
  <c r="DC22" i="19" s="1"/>
  <c r="N22" i="19" a="1"/>
  <c r="N22" i="19" s="1"/>
  <c r="DG21" i="19" a="1"/>
  <c r="DG21" i="19" s="1"/>
  <c r="DE21" i="19" a="1"/>
  <c r="DE21" i="19" s="1"/>
  <c r="DC21" i="19" a="1"/>
  <c r="DC21" i="19" s="1"/>
  <c r="DF21" i="19" a="1"/>
  <c r="DF21" i="19" s="1"/>
  <c r="DD21" i="19" a="1"/>
  <c r="DD21" i="19" s="1"/>
  <c r="N21" i="19" a="1"/>
  <c r="N21" i="19" s="1"/>
  <c r="DG20" i="19" a="1"/>
  <c r="DG20" i="19" s="1"/>
  <c r="DE20" i="19" a="1"/>
  <c r="DE20" i="19" s="1"/>
  <c r="DC20" i="19" a="1"/>
  <c r="DC20" i="19" s="1"/>
  <c r="DF20" i="19" a="1"/>
  <c r="DF20" i="19" s="1"/>
  <c r="DD20" i="19" a="1"/>
  <c r="DD20" i="19" s="1"/>
  <c r="N20" i="19" a="1"/>
  <c r="N20" i="19" s="1"/>
  <c r="DG19" i="19" a="1"/>
  <c r="DG19" i="19" s="1"/>
  <c r="DE19" i="19" a="1"/>
  <c r="DE19" i="19" s="1"/>
  <c r="DC19" i="19" a="1"/>
  <c r="DC19" i="19" s="1"/>
  <c r="DF19" i="19" a="1"/>
  <c r="DF19" i="19" s="1"/>
  <c r="DD19" i="19" a="1"/>
  <c r="DD19" i="19" s="1"/>
  <c r="N19" i="19" a="1"/>
  <c r="N19" i="19" s="1"/>
  <c r="DG18" i="19" a="1"/>
  <c r="DG18" i="19" s="1"/>
  <c r="DE18" i="19" a="1"/>
  <c r="DE18" i="19" s="1"/>
  <c r="DC18" i="19" a="1"/>
  <c r="DC18" i="19" s="1"/>
  <c r="DF18" i="19" a="1"/>
  <c r="DF18" i="19" s="1"/>
  <c r="DD18" i="19" a="1"/>
  <c r="DD18" i="19" s="1"/>
  <c r="N18" i="19" a="1"/>
  <c r="N18" i="19" s="1"/>
  <c r="DF17" i="19" a="1"/>
  <c r="DF17" i="19" s="1"/>
  <c r="DD17" i="19" a="1"/>
  <c r="DD17" i="19" s="1"/>
  <c r="DG17" i="19" a="1"/>
  <c r="DG17" i="19" s="1"/>
  <c r="DE17" i="19" a="1"/>
  <c r="DE17" i="19" s="1"/>
  <c r="DC17" i="19" a="1"/>
  <c r="DC17" i="19" s="1"/>
  <c r="N17" i="19" a="1"/>
  <c r="N17" i="19" s="1"/>
  <c r="DF16" i="19" a="1"/>
  <c r="DF16" i="19" s="1"/>
  <c r="DD16" i="19" a="1"/>
  <c r="DD16" i="19" s="1"/>
  <c r="DG16" i="19" a="1"/>
  <c r="DG16" i="19" s="1"/>
  <c r="DE16" i="19" a="1"/>
  <c r="DE16" i="19" s="1"/>
  <c r="DC16" i="19" a="1"/>
  <c r="DC16" i="19" s="1"/>
  <c r="N16" i="19" a="1"/>
  <c r="N16" i="19" s="1"/>
  <c r="DF15" i="19" a="1"/>
  <c r="DF15" i="19" s="1"/>
  <c r="DD15" i="19" a="1"/>
  <c r="DD15" i="19" s="1"/>
  <c r="DG15" i="19" a="1"/>
  <c r="DG15" i="19" s="1"/>
  <c r="DE15" i="19" a="1"/>
  <c r="DE15" i="19" s="1"/>
  <c r="DC15" i="19" a="1"/>
  <c r="DC15" i="19" s="1"/>
  <c r="N15" i="19" a="1"/>
  <c r="N15" i="19" s="1"/>
  <c r="DF14" i="19" a="1"/>
  <c r="DF14" i="19" s="1"/>
  <c r="DD14" i="19" a="1"/>
  <c r="DD14" i="19" s="1"/>
  <c r="DG14" i="19" a="1"/>
  <c r="DG14" i="19" s="1"/>
  <c r="DE14" i="19" a="1"/>
  <c r="DE14" i="19" s="1"/>
  <c r="DC14" i="19" a="1"/>
  <c r="DC14" i="19" s="1"/>
  <c r="N14" i="19" a="1"/>
  <c r="N14" i="19" s="1"/>
  <c r="DF13" i="19" a="1"/>
  <c r="DF13" i="19" s="1"/>
  <c r="DD13" i="19" a="1"/>
  <c r="DD13" i="19" s="1"/>
  <c r="DG13" i="19" a="1"/>
  <c r="DG13" i="19" s="1"/>
  <c r="DE13" i="19" a="1"/>
  <c r="DE13" i="19" s="1"/>
  <c r="DC13" i="19" a="1"/>
  <c r="DC13" i="19" s="1"/>
  <c r="N13" i="19" a="1"/>
  <c r="N13" i="19" s="1"/>
  <c r="DF12" i="19" a="1"/>
  <c r="DF12" i="19" s="1"/>
  <c r="DD12" i="19" a="1"/>
  <c r="DD12" i="19" s="1"/>
  <c r="DG12" i="19" a="1"/>
  <c r="DG12" i="19" s="1"/>
  <c r="DE12" i="19" a="1"/>
  <c r="DE12" i="19" s="1"/>
  <c r="DC12" i="19" a="1"/>
  <c r="DC12" i="19" s="1"/>
  <c r="N12" i="19" a="1"/>
  <c r="N12" i="19" s="1"/>
  <c r="DF11" i="19" a="1"/>
  <c r="DF11" i="19" s="1"/>
  <c r="DD11" i="19" a="1"/>
  <c r="DD11" i="19" s="1"/>
  <c r="DG11" i="19" a="1"/>
  <c r="DG11" i="19" s="1"/>
  <c r="DE11" i="19" a="1"/>
  <c r="DE11" i="19" s="1"/>
  <c r="DC11" i="19" a="1"/>
  <c r="DC11" i="19" s="1"/>
  <c r="N11" i="19" a="1"/>
  <c r="N11" i="19" s="1"/>
  <c r="DF10" i="19" a="1"/>
  <c r="DF10" i="19" s="1"/>
  <c r="DD10" i="19" a="1"/>
  <c r="DD10" i="19" s="1"/>
  <c r="DG10" i="19" a="1"/>
  <c r="DG10" i="19" s="1"/>
  <c r="DE10" i="19" a="1"/>
  <c r="DE10" i="19" s="1"/>
  <c r="DC10" i="19" a="1"/>
  <c r="DC10" i="19" s="1"/>
  <c r="N10" i="19" a="1"/>
  <c r="N10" i="19" s="1"/>
  <c r="DF9" i="19" a="1"/>
  <c r="DF9" i="19" s="1"/>
  <c r="DD9" i="19" a="1"/>
  <c r="DD9" i="19" s="1"/>
  <c r="DG9" i="19" a="1"/>
  <c r="DG9" i="19" s="1"/>
  <c r="DE9" i="19" a="1"/>
  <c r="DE9" i="19" s="1"/>
  <c r="DC9" i="19" a="1"/>
  <c r="DC9" i="19" s="1"/>
  <c r="N9" i="19" a="1"/>
  <c r="N9" i="19" s="1"/>
  <c r="DF8" i="19" a="1"/>
  <c r="DF8" i="19" s="1"/>
  <c r="DD8" i="19" a="1"/>
  <c r="DD8" i="19" s="1"/>
  <c r="DG8" i="19" a="1"/>
  <c r="DG8" i="19" s="1"/>
  <c r="DE8" i="19" a="1"/>
  <c r="DE8" i="19" s="1"/>
  <c r="DC8" i="19" a="1"/>
  <c r="DC8" i="19" s="1"/>
  <c r="N8" i="19" a="1"/>
  <c r="N8" i="19" s="1"/>
  <c r="DF7" i="19" a="1"/>
  <c r="DF7" i="19" s="1"/>
  <c r="DD7" i="19" a="1"/>
  <c r="DD7" i="19" s="1"/>
  <c r="DG7" i="19" a="1"/>
  <c r="DG7" i="19" s="1"/>
  <c r="DE7" i="19" a="1"/>
  <c r="DE7" i="19" s="1"/>
  <c r="DC7" i="19" a="1"/>
  <c r="DC7" i="19" s="1"/>
  <c r="N7" i="19" a="1"/>
  <c r="N7" i="19" s="1"/>
  <c r="DF6" i="19" a="1"/>
  <c r="DF6" i="19" s="1"/>
  <c r="DD6" i="19" a="1"/>
  <c r="DD6" i="19" s="1"/>
  <c r="DG6" i="19" a="1"/>
  <c r="DG6" i="19" s="1"/>
  <c r="DE6" i="19" a="1"/>
  <c r="DE6" i="19" s="1"/>
  <c r="DC6" i="19" a="1"/>
  <c r="DC6" i="19" s="1"/>
  <c r="N6" i="19" a="1"/>
  <c r="N6" i="19" s="1"/>
  <c r="DF5" i="19" a="1"/>
  <c r="DF5" i="19" s="1"/>
  <c r="DD5" i="19" a="1"/>
  <c r="DD5" i="19" s="1"/>
  <c r="DG5" i="19" a="1"/>
  <c r="DG5" i="19" s="1"/>
  <c r="DE5" i="19" a="1"/>
  <c r="DE5" i="19" s="1"/>
  <c r="DC5" i="19" a="1"/>
  <c r="DC5" i="19" s="1"/>
  <c r="N5" i="19" a="1"/>
  <c r="N5" i="19" s="1"/>
  <c r="DF4" i="19" a="1"/>
  <c r="DF4" i="19" s="1"/>
  <c r="DD4" i="19" a="1"/>
  <c r="DD4" i="19" s="1"/>
  <c r="DG4" i="19" a="1"/>
  <c r="DG4" i="19" s="1"/>
  <c r="DE4" i="19" a="1"/>
  <c r="DE4" i="19" s="1"/>
  <c r="DC4" i="19" a="1"/>
  <c r="DC4" i="19" s="1"/>
  <c r="N4" i="19" a="1"/>
  <c r="N4" i="19" s="1"/>
  <c r="DF3" i="19" a="1"/>
  <c r="DF3" i="19" s="1"/>
  <c r="DD3" i="19" a="1"/>
  <c r="DD3" i="19" s="1"/>
  <c r="DG3" i="19" a="1"/>
  <c r="DG3" i="19" s="1"/>
  <c r="DE3" i="19" a="1"/>
  <c r="DE3" i="19" s="1"/>
  <c r="DC3" i="19" a="1"/>
  <c r="DC3" i="19" s="1"/>
  <c r="N3" i="19" a="1"/>
  <c r="N3" i="19" s="1"/>
  <c r="DJ4" i="5" a="1"/>
  <c r="DJ4" i="5" s="1"/>
  <c r="DI4" i="5" a="1"/>
  <c r="DI4" i="5" s="1"/>
  <c r="DH4" i="5" a="1"/>
  <c r="DH4" i="5" s="1"/>
  <c r="DG4" i="5" a="1"/>
  <c r="DG4" i="5" s="1"/>
  <c r="DF4" i="5" a="1"/>
  <c r="DF4" i="5" s="1"/>
  <c r="DG2" i="19" a="1"/>
  <c r="DG2" i="19" s="1"/>
  <c r="DC2" i="19" a="1"/>
  <c r="DC2" i="19" s="1"/>
  <c r="DD2" i="19" a="1"/>
  <c r="DD2" i="19" s="1"/>
  <c r="DE2" i="19" a="1"/>
  <c r="DE2" i="19" s="1"/>
  <c r="DF2" i="19" a="1"/>
  <c r="DF2" i="19" s="1"/>
  <c r="N2" i="19" a="1"/>
  <c r="N2" i="19" s="1"/>
  <c r="Q4" i="5" a="1"/>
  <c r="Q4" i="5" s="1"/>
  <c r="DI3" i="5" a="1"/>
  <c r="DI3" i="5" s="1"/>
  <c r="DG3" i="5" a="1"/>
  <c r="DG3" i="5" s="1"/>
  <c r="DJ3" i="5" a="1"/>
  <c r="DJ3" i="5" s="1"/>
  <c r="DH3" i="5" a="1"/>
  <c r="DH3" i="5" s="1"/>
  <c r="DF3" i="5" a="1"/>
  <c r="DF3" i="5" s="1"/>
  <c r="Q3" i="5" a="1"/>
  <c r="Q3" i="5" s="1"/>
  <c r="A2" i="10"/>
  <c r="A3" i="10" s="1"/>
  <c r="CF3" i="5" a="1"/>
  <c r="CI3" i="5" a="1"/>
  <c r="CJ3" i="5" a="1"/>
  <c r="CK3" i="5" a="1"/>
  <c r="N2" i="10" a="1"/>
  <c r="J2" i="10" a="1"/>
  <c r="I2" i="10" a="1"/>
  <c r="H2" i="10" a="1"/>
  <c r="G2" i="10" a="1"/>
  <c r="F2" i="10" a="1"/>
  <c r="E2" i="10" a="1"/>
  <c r="D2" i="10" a="1"/>
  <c r="C2" i="10" a="1"/>
  <c r="B2" i="10" a="1"/>
  <c r="D2" i="16" a="1"/>
  <c r="CF4" i="5" a="1"/>
  <c r="CI4" i="5" a="1"/>
  <c r="CJ4" i="5" a="1"/>
  <c r="CK4" i="5" a="1"/>
  <c r="N3" i="10" a="1"/>
  <c r="M3" i="10" a="1"/>
  <c r="L3" i="10" a="1"/>
  <c r="K3" i="10" a="1"/>
  <c r="J3" i="10" a="1"/>
  <c r="I3" i="10" a="1"/>
  <c r="H3" i="10" a="1"/>
  <c r="G3" i="10" a="1"/>
  <c r="F3" i="10" a="1"/>
  <c r="E3" i="10" a="1"/>
  <c r="D3" i="10" a="1"/>
  <c r="C3" i="10" a="1"/>
  <c r="B3" i="10" a="1"/>
  <c r="B3" i="10" l="1"/>
  <c r="C3" i="10"/>
  <c r="D3" i="10"/>
  <c r="E3" i="10"/>
  <c r="F3" i="10"/>
  <c r="G3" i="10"/>
  <c r="H3" i="10"/>
  <c r="I3" i="10"/>
  <c r="J3" i="10"/>
  <c r="K3" i="10"/>
  <c r="L3" i="10"/>
  <c r="M3" i="10"/>
  <c r="N3" i="10"/>
  <c r="CK4" i="5"/>
  <c r="CJ4" i="5"/>
  <c r="CI4" i="5"/>
  <c r="CF4" i="5"/>
  <c r="D2" i="16"/>
  <c r="B2" i="10"/>
  <c r="C2" i="10"/>
  <c r="D2" i="10"/>
  <c r="E2" i="10"/>
  <c r="F2" i="10"/>
  <c r="G2" i="10"/>
  <c r="H2" i="10"/>
  <c r="I2" i="10"/>
  <c r="J2" i="10"/>
  <c r="N2" i="10"/>
  <c r="CK3" i="5"/>
  <c r="CJ3" i="5"/>
  <c r="CI3" i="5"/>
  <c r="CF3" i="5"/>
  <c r="A4" i="10"/>
  <c r="HM4" i="5" a="1"/>
  <c r="HM4" i="5" s="1"/>
  <c r="HL4" i="5" a="1"/>
  <c r="HL4" i="5" s="1"/>
  <c r="HK4" i="5" a="1"/>
  <c r="HK4" i="5" s="1"/>
  <c r="HJ4" i="5" a="1"/>
  <c r="HJ4" i="5" s="1"/>
  <c r="HI4" i="5" a="1"/>
  <c r="HI4" i="5" s="1"/>
  <c r="HH4" i="5" a="1"/>
  <c r="HH4" i="5" s="1"/>
  <c r="HG4" i="5" a="1"/>
  <c r="HG4" i="5" s="1"/>
  <c r="HF4" i="5" a="1"/>
  <c r="HF4" i="5" s="1"/>
  <c r="HE4" i="5" a="1"/>
  <c r="HE4" i="5" s="1"/>
  <c r="HD4" i="5" a="1"/>
  <c r="HD4" i="5" s="1"/>
  <c r="HC4" i="5" a="1"/>
  <c r="HC4" i="5" s="1"/>
  <c r="HB4" i="5" a="1"/>
  <c r="HB4" i="5" s="1"/>
  <c r="HA4" i="5" a="1"/>
  <c r="HA4" i="5" s="1"/>
  <c r="GZ4" i="5" a="1"/>
  <c r="GZ4" i="5" s="1"/>
  <c r="GY4" i="5" a="1"/>
  <c r="GY4" i="5" s="1"/>
  <c r="GX4" i="5" a="1"/>
  <c r="GX4" i="5" s="1"/>
  <c r="GW4" i="5" a="1"/>
  <c r="GW4" i="5" s="1"/>
  <c r="GV4" i="5" a="1"/>
  <c r="GV4" i="5" s="1"/>
  <c r="GU4" i="5" a="1"/>
  <c r="GU4" i="5" s="1"/>
  <c r="GT4" i="5" a="1"/>
  <c r="GT4" i="5" s="1"/>
  <c r="GS4" i="5" a="1"/>
  <c r="GS4" i="5" s="1"/>
  <c r="GR4" i="5" a="1"/>
  <c r="GR4" i="5" s="1"/>
  <c r="GQ4" i="5" a="1"/>
  <c r="GQ4" i="5" s="1"/>
  <c r="GP4" i="5" a="1"/>
  <c r="GP4" i="5" s="1"/>
  <c r="GO4" i="5" a="1"/>
  <c r="GO4" i="5" s="1"/>
  <c r="GN4" i="5" a="1"/>
  <c r="GN4" i="5" s="1"/>
  <c r="GM4" i="5" a="1"/>
  <c r="GM4" i="5" s="1"/>
  <c r="GL4" i="5" a="1"/>
  <c r="GL4" i="5" s="1"/>
  <c r="GK4" i="5" a="1"/>
  <c r="GK4" i="5" s="1"/>
  <c r="GJ4" i="5" a="1"/>
  <c r="GJ4" i="5" s="1"/>
  <c r="GI4" i="5" a="1"/>
  <c r="GI4" i="5" s="1"/>
  <c r="GH4" i="5" a="1"/>
  <c r="GH4" i="5" s="1"/>
  <c r="GG4" i="5" a="1"/>
  <c r="GG4" i="5" s="1"/>
  <c r="GF4" i="5" a="1"/>
  <c r="GF4" i="5" s="1"/>
  <c r="GE4" i="5" a="1"/>
  <c r="GE4" i="5" s="1"/>
  <c r="GD4" i="5" a="1"/>
  <c r="GD4" i="5" s="1"/>
  <c r="GC4" i="5" a="1"/>
  <c r="GC4" i="5" s="1"/>
  <c r="GB4" i="5" a="1"/>
  <c r="GB4" i="5" s="1"/>
  <c r="GA4" i="5" a="1"/>
  <c r="GA4" i="5" s="1"/>
  <c r="FZ4" i="5" a="1"/>
  <c r="FZ4" i="5" s="1"/>
  <c r="FY4" i="5" a="1"/>
  <c r="FY4" i="5" s="1"/>
  <c r="FX4" i="5" a="1"/>
  <c r="FX4" i="5" s="1"/>
  <c r="FW4" i="5" a="1"/>
  <c r="FW4" i="5" s="1"/>
  <c r="FV4" i="5" a="1"/>
  <c r="FV4" i="5" s="1"/>
  <c r="FU4" i="5" a="1"/>
  <c r="FU4" i="5" s="1"/>
  <c r="FT4" i="5" a="1"/>
  <c r="FT4" i="5" s="1"/>
  <c r="FS4" i="5" a="1"/>
  <c r="FS4" i="5" s="1"/>
  <c r="FR4" i="5" a="1"/>
  <c r="FR4" i="5" s="1"/>
  <c r="FQ4" i="5" a="1"/>
  <c r="FQ4" i="5" s="1"/>
  <c r="FP4" i="5" a="1"/>
  <c r="FP4" i="5" s="1"/>
  <c r="FO4" i="5" a="1"/>
  <c r="FO4" i="5" s="1"/>
  <c r="FN4" i="5" a="1"/>
  <c r="FN4" i="5" s="1"/>
  <c r="FM4" i="5" a="1"/>
  <c r="FM4" i="5" s="1"/>
  <c r="FL4" i="5" a="1"/>
  <c r="FL4" i="5" s="1"/>
  <c r="FK4" i="5" a="1"/>
  <c r="FK4" i="5" s="1"/>
  <c r="FJ4" i="5" a="1"/>
  <c r="FJ4" i="5" s="1"/>
  <c r="FI4" i="5" a="1"/>
  <c r="FI4" i="5" s="1"/>
  <c r="FH4" i="5" a="1"/>
  <c r="FH4" i="5" s="1"/>
  <c r="FG4" i="5" a="1"/>
  <c r="FG4" i="5" s="1"/>
  <c r="FF4" i="5" a="1"/>
  <c r="FF4" i="5" s="1"/>
  <c r="FE4" i="5" a="1"/>
  <c r="FE4" i="5" s="1"/>
  <c r="FD4" i="5" a="1"/>
  <c r="FD4" i="5" s="1"/>
  <c r="FC4" i="5" a="1"/>
  <c r="FC4" i="5" s="1"/>
  <c r="FB4" i="5" a="1"/>
  <c r="FB4" i="5" s="1"/>
  <c r="EY4" i="5" a="1"/>
  <c r="EY4" i="5" s="1"/>
  <c r="EX4" i="5" a="1"/>
  <c r="EX4" i="5" s="1"/>
  <c r="EW4" i="5" a="1"/>
  <c r="EW4" i="5" s="1"/>
  <c r="EV4" i="5" a="1"/>
  <c r="EV4" i="5" s="1"/>
  <c r="EI4" i="5" a="1"/>
  <c r="EI4" i="5" s="1"/>
  <c r="EH4" i="5" a="1"/>
  <c r="EH4" i="5" s="1"/>
  <c r="C4" i="5" a="1"/>
  <c r="C4" i="5" s="1"/>
  <c r="EG4" i="5" a="1"/>
  <c r="EG4" i="5" s="1"/>
  <c r="EF4" i="5" a="1"/>
  <c r="EF4" i="5" s="1"/>
  <c r="EA4" i="5" a="1"/>
  <c r="EA4" i="5" s="1"/>
  <c r="DZ4" i="5" a="1"/>
  <c r="DZ4" i="5" s="1"/>
  <c r="DU4" i="5" a="1"/>
  <c r="DU4" i="5" s="1"/>
  <c r="DT4" i="5" a="1"/>
  <c r="DT4" i="5" s="1"/>
  <c r="DS4" i="5" a="1"/>
  <c r="DS4" i="5" s="1"/>
  <c r="DL4" i="5" a="1"/>
  <c r="DL4" i="5" s="1"/>
  <c r="DK4" i="5" a="1"/>
  <c r="DK4" i="5" s="1"/>
  <c r="DE4" i="5" a="1"/>
  <c r="DE4" i="5" s="1"/>
  <c r="DD4" i="5" a="1"/>
  <c r="DD4" i="5" s="1"/>
  <c r="DC4" i="5" a="1"/>
  <c r="DC4" i="5" s="1"/>
  <c r="DB4" i="5" a="1"/>
  <c r="DB4" i="5" s="1"/>
  <c r="DA4" i="5" a="1"/>
  <c r="DA4" i="5" s="1"/>
  <c r="CZ4" i="5" a="1"/>
  <c r="CZ4" i="5" s="1"/>
  <c r="CY4" i="5" a="1"/>
  <c r="CY4" i="5" s="1"/>
  <c r="CX4" i="5" a="1"/>
  <c r="CX4" i="5" s="1"/>
  <c r="CW4" i="5" a="1"/>
  <c r="CW4" i="5" s="1"/>
  <c r="CU4" i="5" a="1"/>
  <c r="CU4" i="5" s="1"/>
  <c r="CS4" i="5" a="1"/>
  <c r="CS4" i="5" s="1"/>
  <c r="CQ4" i="5" a="1"/>
  <c r="CQ4" i="5" s="1"/>
  <c r="CO4" i="5" a="1"/>
  <c r="CO4" i="5" s="1"/>
  <c r="CM4" i="5" a="1"/>
  <c r="CM4" i="5" s="1"/>
  <c r="CV4" i="5" a="1"/>
  <c r="CV4" i="5" s="1"/>
  <c r="CT4" i="5" a="1"/>
  <c r="CT4" i="5" s="1"/>
  <c r="CR4" i="5" a="1"/>
  <c r="CR4" i="5" s="1"/>
  <c r="CP4" i="5" a="1"/>
  <c r="CP4" i="5" s="1"/>
  <c r="CN4" i="5" a="1"/>
  <c r="CN4" i="5" s="1"/>
  <c r="CL4" i="5" a="1"/>
  <c r="CL4" i="5" s="1"/>
  <c r="CH4" i="5" a="1"/>
  <c r="CH4" i="5" s="1"/>
  <c r="CG4" i="5" a="1"/>
  <c r="CG4" i="5" s="1"/>
  <c r="CE4" i="5" a="1"/>
  <c r="CE4" i="5" s="1"/>
  <c r="CD4" i="5" a="1"/>
  <c r="CD4" i="5" s="1"/>
  <c r="CC4" i="5" a="1"/>
  <c r="CC4" i="5" s="1"/>
  <c r="CB4" i="5" a="1"/>
  <c r="CB4" i="5" s="1"/>
  <c r="CA4" i="5" a="1"/>
  <c r="CA4" i="5" s="1"/>
  <c r="BZ4" i="5" a="1"/>
  <c r="BZ4" i="5" s="1"/>
  <c r="BY4" i="5" a="1"/>
  <c r="BY4" i="5" s="1"/>
  <c r="BX4" i="5" a="1"/>
  <c r="BX4" i="5" s="1"/>
  <c r="BW4" i="5" a="1"/>
  <c r="BW4" i="5" s="1"/>
  <c r="BV4" i="5" a="1"/>
  <c r="BV4" i="5" s="1"/>
  <c r="BU4" i="5" a="1"/>
  <c r="BU4" i="5" s="1"/>
  <c r="BT4" i="5" a="1"/>
  <c r="BT4" i="5" s="1"/>
  <c r="BS4" i="5" a="1"/>
  <c r="BS4" i="5" s="1"/>
  <c r="BN4" i="5" a="1"/>
  <c r="BN4" i="5" s="1"/>
  <c r="BM4" i="5" a="1"/>
  <c r="BM4" i="5" s="1"/>
  <c r="BL4" i="5" a="1"/>
  <c r="BL4" i="5" s="1"/>
  <c r="BK4" i="5" a="1"/>
  <c r="BK4" i="5" s="1"/>
  <c r="BJ4" i="5" a="1"/>
  <c r="BJ4" i="5" s="1"/>
  <c r="BI4" i="5" a="1"/>
  <c r="BI4" i="5" s="1"/>
  <c r="BG4" i="5" a="1"/>
  <c r="BG4" i="5" s="1"/>
  <c r="BE4" i="5" a="1"/>
  <c r="BE4" i="5" s="1"/>
  <c r="BC4" i="5" a="1"/>
  <c r="BC4" i="5" s="1"/>
  <c r="BA4" i="5" a="1"/>
  <c r="BA4" i="5" s="1"/>
  <c r="AY4" i="5" a="1"/>
  <c r="AY4" i="5" s="1"/>
  <c r="AW4" i="5" a="1"/>
  <c r="AW4" i="5" s="1"/>
  <c r="AE4" i="5" a="1"/>
  <c r="AE4" i="5" s="1"/>
  <c r="AC4" i="5" a="1"/>
  <c r="AC4" i="5" s="1"/>
  <c r="AA4" i="5" a="1"/>
  <c r="AA4" i="5" s="1"/>
  <c r="Y4" i="5" a="1"/>
  <c r="Y4" i="5" s="1"/>
  <c r="W4" i="5" a="1"/>
  <c r="W4" i="5" s="1"/>
  <c r="U4" i="5" a="1"/>
  <c r="U4" i="5" s="1"/>
  <c r="S4" i="5" a="1"/>
  <c r="S4" i="5" s="1"/>
  <c r="O4" i="5" a="1"/>
  <c r="O4" i="5" s="1"/>
  <c r="M4" i="5" a="1"/>
  <c r="M4" i="5" s="1"/>
  <c r="K4" i="5" a="1"/>
  <c r="K4" i="5" s="1"/>
  <c r="I4" i="5" a="1"/>
  <c r="I4" i="5" s="1"/>
  <c r="G4" i="5" a="1"/>
  <c r="G4" i="5" s="1"/>
  <c r="BH4" i="5" a="1"/>
  <c r="BH4" i="5" s="1"/>
  <c r="BF4" i="5" a="1"/>
  <c r="BF4" i="5" s="1"/>
  <c r="BD4" i="5" a="1"/>
  <c r="BD4" i="5" s="1"/>
  <c r="BB4" i="5" a="1"/>
  <c r="BB4" i="5" s="1"/>
  <c r="AZ4" i="5" a="1"/>
  <c r="AZ4" i="5" s="1"/>
  <c r="AX4" i="5" a="1"/>
  <c r="AX4" i="5" s="1"/>
  <c r="AV4" i="5" a="1"/>
  <c r="AV4" i="5" s="1"/>
  <c r="AD4" i="5" a="1"/>
  <c r="AD4" i="5" s="1"/>
  <c r="AB4" i="5" a="1"/>
  <c r="AB4" i="5" s="1"/>
  <c r="Z4" i="5" a="1"/>
  <c r="Z4" i="5" s="1"/>
  <c r="X4" i="5" a="1"/>
  <c r="X4" i="5" s="1"/>
  <c r="V4" i="5" a="1"/>
  <c r="V4" i="5" s="1"/>
  <c r="T4" i="5" a="1"/>
  <c r="T4" i="5" s="1"/>
  <c r="R4" i="5" a="1"/>
  <c r="R4" i="5" s="1"/>
  <c r="P4" i="5" a="1"/>
  <c r="P4" i="5" s="1"/>
  <c r="N4" i="5" a="1"/>
  <c r="N4" i="5" s="1"/>
  <c r="L4" i="5" a="1"/>
  <c r="L4" i="5" s="1"/>
  <c r="J4" i="5" a="1"/>
  <c r="J4" i="5" s="1"/>
  <c r="H4" i="5" a="1"/>
  <c r="H4" i="5" s="1"/>
  <c r="F4" i="5" a="1"/>
  <c r="F4" i="5" s="1"/>
  <c r="AH4" i="5" a="1"/>
  <c r="AH4" i="5" s="1"/>
  <c r="AN4" i="5" a="1"/>
  <c r="AN4" i="5" s="1"/>
  <c r="AI4" i="5" a="1"/>
  <c r="AI4" i="5" s="1"/>
  <c r="AS4" i="5" a="1"/>
  <c r="AS4" i="5" s="1"/>
  <c r="BP4" i="5" a="1"/>
  <c r="BP4" i="5" s="1"/>
  <c r="DM4" i="5" a="1"/>
  <c r="DM4" i="5" s="1"/>
  <c r="DQ4" i="5" a="1"/>
  <c r="DQ4" i="5" s="1"/>
  <c r="DW4" i="5" a="1"/>
  <c r="DW4" i="5" s="1"/>
  <c r="ED4" i="5" a="1"/>
  <c r="ED4" i="5" s="1"/>
  <c r="EJ4" i="5" a="1"/>
  <c r="EJ4" i="5" s="1"/>
  <c r="EN4" i="5" a="1"/>
  <c r="EN4" i="5" s="1"/>
  <c r="ER4" i="5" a="1"/>
  <c r="ER4" i="5" s="1"/>
  <c r="EZ4" i="5" a="1"/>
  <c r="EZ4" i="5" s="1"/>
  <c r="C2" i="17"/>
  <c r="C4" i="17"/>
  <c r="C6" i="17"/>
  <c r="C8" i="17"/>
  <c r="C10" i="17"/>
  <c r="C12" i="17"/>
  <c r="C14" i="17"/>
  <c r="C16" i="17"/>
  <c r="C18" i="17"/>
  <c r="C20" i="17"/>
  <c r="C22" i="17"/>
  <c r="C24" i="17"/>
  <c r="C26" i="17"/>
  <c r="B3" i="20"/>
  <c r="B2" i="20"/>
  <c r="B2" i="14"/>
  <c r="B4" i="14"/>
  <c r="B3" i="14"/>
  <c r="B4" i="20"/>
  <c r="B5" i="14"/>
  <c r="B6" i="14"/>
  <c r="B5" i="20"/>
  <c r="B7" i="14"/>
  <c r="B6" i="20"/>
  <c r="B7" i="20"/>
  <c r="B8" i="14"/>
  <c r="B9" i="14"/>
  <c r="B8" i="20"/>
  <c r="B9" i="20"/>
  <c r="B10" i="14"/>
  <c r="B11" i="14"/>
  <c r="B10" i="20"/>
  <c r="B11" i="20"/>
  <c r="M2" i="10" a="1"/>
  <c r="M2" i="10" s="1"/>
  <c r="K2" i="10" a="1"/>
  <c r="K2" i="10" s="1"/>
  <c r="L2" i="10" a="1"/>
  <c r="L2" i="10" s="1"/>
  <c r="AF4" i="5" a="1"/>
  <c r="AF4" i="5" s="1"/>
  <c r="AL4" i="5" a="1"/>
  <c r="AL4" i="5" s="1"/>
  <c r="AR4" i="5" a="1"/>
  <c r="AR4" i="5" s="1"/>
  <c r="AM4" i="5" a="1"/>
  <c r="AM4" i="5" s="1"/>
  <c r="BO4" i="5" a="1"/>
  <c r="BO4" i="5" s="1"/>
  <c r="DO4" i="5" a="1"/>
  <c r="DO4" i="5" s="1"/>
  <c r="DV4" i="5" a="1"/>
  <c r="DV4" i="5" s="1"/>
  <c r="EB4" i="5" a="1"/>
  <c r="EB4" i="5" s="1"/>
  <c r="HM3" i="5" a="1"/>
  <c r="HM3" i="5" s="1"/>
  <c r="HK3" i="5" a="1"/>
  <c r="HK3" i="5" s="1"/>
  <c r="HI3" i="5" a="1"/>
  <c r="HI3" i="5" s="1"/>
  <c r="HG3" i="5" a="1"/>
  <c r="HG3" i="5" s="1"/>
  <c r="HE3" i="5" a="1"/>
  <c r="HE3" i="5" s="1"/>
  <c r="HC3" i="5" a="1"/>
  <c r="HC3" i="5" s="1"/>
  <c r="HA3" i="5" a="1"/>
  <c r="HA3" i="5" s="1"/>
  <c r="GY3" i="5" a="1"/>
  <c r="GY3" i="5" s="1"/>
  <c r="GW3" i="5" a="1"/>
  <c r="GW3" i="5" s="1"/>
  <c r="GU3" i="5" a="1"/>
  <c r="GU3" i="5" s="1"/>
  <c r="GS3" i="5" a="1"/>
  <c r="GS3" i="5" s="1"/>
  <c r="GQ3" i="5" a="1"/>
  <c r="GQ3" i="5" s="1"/>
  <c r="GO3" i="5" a="1"/>
  <c r="GO3" i="5" s="1"/>
  <c r="GM3" i="5" a="1"/>
  <c r="GM3" i="5" s="1"/>
  <c r="GK3" i="5" a="1"/>
  <c r="GK3" i="5" s="1"/>
  <c r="GI3" i="5" a="1"/>
  <c r="GI3" i="5" s="1"/>
  <c r="GG3" i="5" a="1"/>
  <c r="GG3" i="5" s="1"/>
  <c r="GE3" i="5" a="1"/>
  <c r="GE3" i="5" s="1"/>
  <c r="GC3" i="5" a="1"/>
  <c r="GC3" i="5" s="1"/>
  <c r="GA3" i="5" a="1"/>
  <c r="GA3" i="5" s="1"/>
  <c r="FY3" i="5" a="1"/>
  <c r="FY3" i="5" s="1"/>
  <c r="FW3" i="5" a="1"/>
  <c r="FW3" i="5" s="1"/>
  <c r="FU3" i="5" a="1"/>
  <c r="FU3" i="5" s="1"/>
  <c r="FS3" i="5" a="1"/>
  <c r="FS3" i="5" s="1"/>
  <c r="FQ3" i="5" a="1"/>
  <c r="FQ3" i="5" s="1"/>
  <c r="FO3" i="5" a="1"/>
  <c r="FO3" i="5" s="1"/>
  <c r="FM3" i="5" a="1"/>
  <c r="FM3" i="5" s="1"/>
  <c r="FK3" i="5" a="1"/>
  <c r="FK3" i="5" s="1"/>
  <c r="FI3" i="5" a="1"/>
  <c r="FI3" i="5" s="1"/>
  <c r="FG3" i="5" a="1"/>
  <c r="FG3" i="5" s="1"/>
  <c r="FE3" i="5" a="1"/>
  <c r="FE3" i="5" s="1"/>
  <c r="FC3" i="5" a="1"/>
  <c r="FC3" i="5" s="1"/>
  <c r="EY3" i="5" a="1"/>
  <c r="EY3" i="5" s="1"/>
  <c r="EW3" i="5" a="1"/>
  <c r="EW3" i="5" s="1"/>
  <c r="EI3" i="5" a="1"/>
  <c r="EI3" i="5" s="1"/>
  <c r="EG3" i="5" a="1"/>
  <c r="EG3" i="5" s="1"/>
  <c r="EA3" i="5" a="1"/>
  <c r="EA3" i="5" s="1"/>
  <c r="DU3" i="5" a="1"/>
  <c r="DU3" i="5" s="1"/>
  <c r="DS3" i="5" a="1"/>
  <c r="DS3" i="5" s="1"/>
  <c r="DK3" i="5" a="1"/>
  <c r="DK3" i="5" s="1"/>
  <c r="DE3" i="5" a="1"/>
  <c r="DE3" i="5" s="1"/>
  <c r="DC3" i="5" a="1"/>
  <c r="DC3" i="5" s="1"/>
  <c r="DB3" i="5" a="1"/>
  <c r="DB3" i="5" s="1"/>
  <c r="DA3" i="5" a="1"/>
  <c r="DA3" i="5" s="1"/>
  <c r="CZ3" i="5" a="1"/>
  <c r="CZ3" i="5" s="1"/>
  <c r="CY3" i="5" a="1"/>
  <c r="CY3" i="5" s="1"/>
  <c r="CX3" i="5" a="1"/>
  <c r="CX3" i="5" s="1"/>
  <c r="CW3" i="5" a="1"/>
  <c r="CW3" i="5" s="1"/>
  <c r="CV3" i="5" a="1"/>
  <c r="CV3" i="5" s="1"/>
  <c r="CU3" i="5" a="1"/>
  <c r="CU3" i="5" s="1"/>
  <c r="CT3" i="5" a="1"/>
  <c r="CT3" i="5" s="1"/>
  <c r="CS3" i="5" a="1"/>
  <c r="CS3" i="5" s="1"/>
  <c r="CR3" i="5" a="1"/>
  <c r="CR3" i="5" s="1"/>
  <c r="CQ3" i="5" a="1"/>
  <c r="CQ3" i="5" s="1"/>
  <c r="CP3" i="5" a="1"/>
  <c r="CP3" i="5" s="1"/>
  <c r="CO3" i="5" a="1"/>
  <c r="CO3" i="5" s="1"/>
  <c r="CN3" i="5" a="1"/>
  <c r="CN3" i="5" s="1"/>
  <c r="CM3" i="5" a="1"/>
  <c r="CM3" i="5" s="1"/>
  <c r="CL3" i="5" a="1"/>
  <c r="CL3" i="5" s="1"/>
  <c r="HL3" i="5" a="1"/>
  <c r="HL3" i="5" s="1"/>
  <c r="HJ3" i="5" a="1"/>
  <c r="HJ3" i="5" s="1"/>
  <c r="HH3" i="5" a="1"/>
  <c r="HH3" i="5" s="1"/>
  <c r="HF3" i="5" a="1"/>
  <c r="HF3" i="5" s="1"/>
  <c r="HD3" i="5" a="1"/>
  <c r="HD3" i="5" s="1"/>
  <c r="HB3" i="5" a="1"/>
  <c r="HB3" i="5" s="1"/>
  <c r="GZ3" i="5" a="1"/>
  <c r="GZ3" i="5" s="1"/>
  <c r="GX3" i="5" a="1"/>
  <c r="GX3" i="5" s="1"/>
  <c r="GV3" i="5" a="1"/>
  <c r="GV3" i="5" s="1"/>
  <c r="GT3" i="5" a="1"/>
  <c r="GT3" i="5" s="1"/>
  <c r="GR3" i="5" a="1"/>
  <c r="GR3" i="5" s="1"/>
  <c r="GP3" i="5" a="1"/>
  <c r="GP3" i="5" s="1"/>
  <c r="GN3" i="5" a="1"/>
  <c r="GN3" i="5" s="1"/>
  <c r="GL3" i="5" a="1"/>
  <c r="GL3" i="5" s="1"/>
  <c r="GJ3" i="5" a="1"/>
  <c r="GJ3" i="5" s="1"/>
  <c r="GH3" i="5" a="1"/>
  <c r="GH3" i="5" s="1"/>
  <c r="GF3" i="5" a="1"/>
  <c r="GF3" i="5" s="1"/>
  <c r="GD3" i="5" a="1"/>
  <c r="GD3" i="5" s="1"/>
  <c r="GB3" i="5" a="1"/>
  <c r="GB3" i="5" s="1"/>
  <c r="FZ3" i="5" a="1"/>
  <c r="FZ3" i="5" s="1"/>
  <c r="FX3" i="5" a="1"/>
  <c r="FX3" i="5" s="1"/>
  <c r="FV3" i="5" a="1"/>
  <c r="FV3" i="5" s="1"/>
  <c r="FT3" i="5" a="1"/>
  <c r="FT3" i="5" s="1"/>
  <c r="FR3" i="5" a="1"/>
  <c r="FR3" i="5" s="1"/>
  <c r="FP3" i="5" a="1"/>
  <c r="FP3" i="5" s="1"/>
  <c r="FN3" i="5" a="1"/>
  <c r="FN3" i="5" s="1"/>
  <c r="FL3" i="5" a="1"/>
  <c r="FL3" i="5" s="1"/>
  <c r="FJ3" i="5" a="1"/>
  <c r="FJ3" i="5" s="1"/>
  <c r="FH3" i="5" a="1"/>
  <c r="FH3" i="5" s="1"/>
  <c r="FF3" i="5" a="1"/>
  <c r="FF3" i="5" s="1"/>
  <c r="FD3" i="5" a="1"/>
  <c r="FD3" i="5" s="1"/>
  <c r="FB3" i="5" a="1"/>
  <c r="FB3" i="5" s="1"/>
  <c r="EX3" i="5" a="1"/>
  <c r="EX3" i="5" s="1"/>
  <c r="EV3" i="5" a="1"/>
  <c r="EV3" i="5" s="1"/>
  <c r="EH3" i="5" a="1"/>
  <c r="EH3" i="5" s="1"/>
  <c r="EF3" i="5" a="1"/>
  <c r="EF3" i="5" s="1"/>
  <c r="DZ3" i="5" a="1"/>
  <c r="DZ3" i="5" s="1"/>
  <c r="DT3" i="5" a="1"/>
  <c r="DT3" i="5" s="1"/>
  <c r="DL3" i="5" a="1"/>
  <c r="DL3" i="5" s="1"/>
  <c r="DD3" i="5" a="1"/>
  <c r="DD3" i="5" s="1"/>
  <c r="CH3" i="5" a="1"/>
  <c r="CH3" i="5" s="1"/>
  <c r="CG3" i="5" a="1"/>
  <c r="CG3" i="5" s="1"/>
  <c r="CE3" i="5" a="1"/>
  <c r="CE3" i="5" s="1"/>
  <c r="CD3" i="5" a="1"/>
  <c r="CD3" i="5" s="1"/>
  <c r="CC3" i="5" a="1"/>
  <c r="CC3" i="5" s="1"/>
  <c r="CB3" i="5" a="1"/>
  <c r="CB3" i="5" s="1"/>
  <c r="CA3" i="5" a="1"/>
  <c r="CA3" i="5" s="1"/>
  <c r="BZ3" i="5" a="1"/>
  <c r="BZ3" i="5" s="1"/>
  <c r="BY3" i="5" a="1"/>
  <c r="BY3" i="5" s="1"/>
  <c r="BX3" i="5" a="1"/>
  <c r="BX3" i="5" s="1"/>
  <c r="BW3" i="5" a="1"/>
  <c r="BW3" i="5" s="1"/>
  <c r="BV3" i="5" a="1"/>
  <c r="BV3" i="5" s="1"/>
  <c r="BU3" i="5" a="1"/>
  <c r="BU3" i="5" s="1"/>
  <c r="BT3" i="5" a="1"/>
  <c r="BT3" i="5" s="1"/>
  <c r="BS3" i="5" a="1"/>
  <c r="BS3" i="5" s="1"/>
  <c r="BN3" i="5" a="1"/>
  <c r="BN3" i="5" s="1"/>
  <c r="BM3" i="5" a="1"/>
  <c r="BM3" i="5" s="1"/>
  <c r="BL3" i="5" a="1"/>
  <c r="BL3" i="5" s="1"/>
  <c r="BK3" i="5" a="1"/>
  <c r="BK3" i="5" s="1"/>
  <c r="BJ3" i="5" a="1"/>
  <c r="BJ3" i="5" s="1"/>
  <c r="BI3" i="5" a="1"/>
  <c r="BI3" i="5" s="1"/>
  <c r="BH3" i="5" a="1"/>
  <c r="BH3" i="5" s="1"/>
  <c r="BG3" i="5" a="1"/>
  <c r="BG3" i="5" s="1"/>
  <c r="BF3" i="5" a="1"/>
  <c r="BF3" i="5" s="1"/>
  <c r="BE3" i="5" a="1"/>
  <c r="BE3" i="5" s="1"/>
  <c r="BD3" i="5" a="1"/>
  <c r="BD3" i="5" s="1"/>
  <c r="BC3" i="5" a="1"/>
  <c r="BC3" i="5" s="1"/>
  <c r="BB3" i="5" a="1"/>
  <c r="BB3" i="5" s="1"/>
  <c r="BA3" i="5" a="1"/>
  <c r="BA3" i="5" s="1"/>
  <c r="AZ3" i="5" a="1"/>
  <c r="AZ3" i="5" s="1"/>
  <c r="AY3" i="5" a="1"/>
  <c r="AY3" i="5" s="1"/>
  <c r="AX3" i="5" a="1"/>
  <c r="AX3" i="5" s="1"/>
  <c r="AW3" i="5" a="1"/>
  <c r="AW3" i="5" s="1"/>
  <c r="AV3" i="5" a="1"/>
  <c r="AV3" i="5" s="1"/>
  <c r="AE3" i="5" a="1"/>
  <c r="AE3" i="5" s="1"/>
  <c r="AD3" i="5" a="1"/>
  <c r="AD3" i="5" s="1"/>
  <c r="AC3" i="5" a="1"/>
  <c r="AC3" i="5" s="1"/>
  <c r="AB3" i="5" a="1"/>
  <c r="AB3" i="5" s="1"/>
  <c r="AA3" i="5" a="1"/>
  <c r="AA3" i="5" s="1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L4" i="5" a="1"/>
  <c r="EL4" i="5" s="1"/>
  <c r="EP4" i="5" a="1"/>
  <c r="EP4" i="5" s="1"/>
  <c r="ET4" i="5" a="1"/>
  <c r="ET4" i="5" s="1"/>
  <c r="C3" i="17"/>
  <c r="C5" i="17"/>
  <c r="C7" i="17"/>
  <c r="C9" i="17"/>
  <c r="C11" i="17"/>
  <c r="C13" i="17"/>
  <c r="C15" i="17"/>
  <c r="C17" i="17"/>
  <c r="C19" i="17"/>
  <c r="C21" i="17"/>
  <c r="C23" i="17"/>
  <c r="C25" i="17"/>
  <c r="B12" i="14"/>
  <c r="B12" i="20"/>
  <c r="B13" i="14"/>
  <c r="B13" i="20"/>
  <c r="B14" i="20"/>
  <c r="B14" i="14"/>
  <c r="B15" i="20"/>
  <c r="B15" i="14"/>
  <c r="B16" i="20"/>
  <c r="B16" i="14"/>
  <c r="B17" i="20"/>
  <c r="B17" i="14"/>
  <c r="B18" i="20"/>
  <c r="B18" i="14"/>
  <c r="B19" i="20"/>
  <c r="B19" i="14"/>
  <c r="B20" i="20"/>
  <c r="B20" i="14"/>
  <c r="B21" i="14"/>
  <c r="B21" i="20"/>
  <c r="N4" i="10" a="1"/>
  <c r="M4" i="10" a="1"/>
  <c r="L4" i="10" a="1"/>
  <c r="K4" i="10" a="1"/>
  <c r="J4" i="10" a="1"/>
  <c r="I4" i="10" a="1"/>
  <c r="H4" i="10" a="1"/>
  <c r="G4" i="10" a="1"/>
  <c r="F4" i="10" a="1"/>
  <c r="E4" i="10" a="1"/>
  <c r="D4" i="10" a="1"/>
  <c r="C4" i="10" a="1"/>
  <c r="B4" i="10" a="1"/>
  <c r="B4" i="10" l="1"/>
  <c r="C4" i="10"/>
  <c r="D4" i="10"/>
  <c r="E4" i="10"/>
  <c r="F4" i="10"/>
  <c r="G4" i="10"/>
  <c r="H4" i="10"/>
  <c r="I4" i="10"/>
  <c r="J4" i="10"/>
  <c r="K4" i="10"/>
  <c r="L4" i="10"/>
  <c r="M4" i="10"/>
  <c r="N4" i="10"/>
  <c r="D21" i="14"/>
  <c r="C21" i="14"/>
  <c r="C19" i="20"/>
  <c r="D19" i="20"/>
  <c r="D16" i="20"/>
  <c r="C16" i="20"/>
  <c r="D21" i="20"/>
  <c r="C21" i="20"/>
  <c r="D20" i="14"/>
  <c r="C20" i="14"/>
  <c r="C19" i="14"/>
  <c r="D19" i="14"/>
  <c r="C18" i="14"/>
  <c r="D18" i="14"/>
  <c r="D17" i="14"/>
  <c r="C17" i="14"/>
  <c r="D16" i="14"/>
  <c r="C16" i="14"/>
  <c r="D15" i="14"/>
  <c r="C15" i="14"/>
  <c r="C14" i="14"/>
  <c r="D14" i="14"/>
  <c r="C13" i="20"/>
  <c r="D13" i="20"/>
  <c r="C12" i="20"/>
  <c r="D12" i="20"/>
  <c r="C11" i="20"/>
  <c r="D11" i="20"/>
  <c r="C11" i="14"/>
  <c r="D11" i="14"/>
  <c r="C9" i="20"/>
  <c r="D9" i="20"/>
  <c r="D9" i="14"/>
  <c r="C9" i="14"/>
  <c r="D7" i="20"/>
  <c r="C7" i="20"/>
  <c r="D7" i="14"/>
  <c r="C7" i="14"/>
  <c r="C6" i="14"/>
  <c r="D6" i="14"/>
  <c r="C4" i="20"/>
  <c r="D4" i="20"/>
  <c r="C4" i="14"/>
  <c r="D4" i="14"/>
  <c r="D2" i="20"/>
  <c r="C2" i="20"/>
  <c r="D20" i="20"/>
  <c r="C20" i="20"/>
  <c r="C18" i="20"/>
  <c r="D18" i="20"/>
  <c r="D17" i="20"/>
  <c r="C17" i="20"/>
  <c r="D15" i="20"/>
  <c r="C15" i="20"/>
  <c r="D14" i="20"/>
  <c r="C14" i="20"/>
  <c r="D13" i="14"/>
  <c r="C13" i="14"/>
  <c r="C12" i="14"/>
  <c r="D12" i="14"/>
  <c r="D10" i="20"/>
  <c r="C10" i="20"/>
  <c r="D10" i="14"/>
  <c r="C10" i="14"/>
  <c r="C8" i="20"/>
  <c r="D8" i="20"/>
  <c r="C8" i="14"/>
  <c r="D8" i="14"/>
  <c r="C6" i="20"/>
  <c r="D6" i="20"/>
  <c r="D5" i="20"/>
  <c r="C5" i="20"/>
  <c r="C5" i="14"/>
  <c r="D5" i="14"/>
  <c r="D3" i="14"/>
  <c r="C3" i="14"/>
  <c r="C2" i="14"/>
  <c r="D2" i="14"/>
  <c r="D3" i="20"/>
  <c r="C3" i="20"/>
  <c r="A5" i="10"/>
  <c r="N5" i="10" a="1"/>
  <c r="M5" i="10" a="1"/>
  <c r="L5" i="10" a="1"/>
  <c r="K5" i="10" a="1"/>
  <c r="J5" i="10" a="1"/>
  <c r="I5" i="10" a="1"/>
  <c r="H5" i="10" a="1"/>
  <c r="G5" i="10" a="1"/>
  <c r="F5" i="10" a="1"/>
  <c r="E5" i="10" a="1"/>
  <c r="D5" i="10" a="1"/>
  <c r="C5" i="10" a="1"/>
  <c r="B5" i="10" a="1"/>
  <c r="B5" i="10" l="1"/>
  <c r="C5" i="10"/>
  <c r="D5" i="10"/>
  <c r="E5" i="10"/>
  <c r="F5" i="10"/>
  <c r="G5" i="10"/>
  <c r="H5" i="10"/>
  <c r="I5" i="10"/>
  <c r="J5" i="10"/>
  <c r="K5" i="10"/>
  <c r="L5" i="10"/>
  <c r="M5" i="10"/>
  <c r="N5" i="10"/>
  <c r="A6" i="10"/>
  <c r="N6" i="10" a="1"/>
  <c r="M6" i="10" a="1"/>
  <c r="L6" i="10" a="1"/>
  <c r="K6" i="10" a="1"/>
  <c r="J6" i="10" a="1"/>
  <c r="I6" i="10" a="1"/>
  <c r="H6" i="10" a="1"/>
  <c r="G6" i="10" a="1"/>
  <c r="F6" i="10" a="1"/>
  <c r="E6" i="10" a="1"/>
  <c r="D6" i="10" a="1"/>
  <c r="C6" i="10" a="1"/>
  <c r="B6" i="10" a="1"/>
  <c r="B6" i="10" l="1"/>
  <c r="C6" i="10"/>
  <c r="D6" i="10"/>
  <c r="E6" i="10"/>
  <c r="F6" i="10"/>
  <c r="G6" i="10"/>
  <c r="H6" i="10"/>
  <c r="I6" i="10"/>
  <c r="J6" i="10"/>
  <c r="K6" i="10"/>
  <c r="L6" i="10"/>
  <c r="M6" i="10"/>
  <c r="N6" i="10"/>
  <c r="A7" i="10"/>
  <c r="N7" i="10" a="1"/>
  <c r="M7" i="10" a="1"/>
  <c r="L7" i="10" a="1"/>
  <c r="K7" i="10" a="1"/>
  <c r="J7" i="10" a="1"/>
  <c r="I7" i="10" a="1"/>
  <c r="H7" i="10" a="1"/>
  <c r="G7" i="10" a="1"/>
  <c r="F7" i="10" a="1"/>
  <c r="E7" i="10" a="1"/>
  <c r="D7" i="10" a="1"/>
  <c r="C7" i="10" a="1"/>
  <c r="B7" i="10" a="1"/>
  <c r="B7" i="10" l="1"/>
  <c r="C7" i="10"/>
  <c r="D7" i="10"/>
  <c r="E7" i="10"/>
  <c r="F7" i="10"/>
  <c r="G7" i="10"/>
  <c r="H7" i="10"/>
  <c r="I7" i="10"/>
  <c r="J7" i="10"/>
  <c r="K7" i="10"/>
  <c r="L7" i="10"/>
  <c r="M7" i="10"/>
  <c r="N7" i="10"/>
  <c r="A8" i="10"/>
  <c r="N8" i="10" a="1"/>
  <c r="M8" i="10" a="1"/>
  <c r="L8" i="10" a="1"/>
  <c r="K8" i="10" a="1"/>
  <c r="J8" i="10" a="1"/>
  <c r="I8" i="10" a="1"/>
  <c r="H8" i="10" a="1"/>
  <c r="G8" i="10" a="1"/>
  <c r="F8" i="10" a="1"/>
  <c r="E8" i="10" a="1"/>
  <c r="D8" i="10" a="1"/>
  <c r="C8" i="10" a="1"/>
  <c r="B8" i="10" a="1"/>
  <c r="B8" i="10" l="1"/>
  <c r="C8" i="10"/>
  <c r="D8" i="10"/>
  <c r="E8" i="10"/>
  <c r="F8" i="10"/>
  <c r="G8" i="10"/>
  <c r="H8" i="10"/>
  <c r="I8" i="10"/>
  <c r="J8" i="10"/>
  <c r="K8" i="10"/>
  <c r="L8" i="10"/>
  <c r="M8" i="10"/>
  <c r="N8" i="10"/>
  <c r="A9" i="10"/>
  <c r="N9" i="10" a="1"/>
  <c r="M9" i="10" a="1"/>
  <c r="L9" i="10" a="1"/>
  <c r="K9" i="10" a="1"/>
  <c r="J9" i="10" a="1"/>
  <c r="I9" i="10" a="1"/>
  <c r="H9" i="10" a="1"/>
  <c r="G9" i="10" a="1"/>
  <c r="F9" i="10" a="1"/>
  <c r="E9" i="10" a="1"/>
  <c r="D9" i="10" a="1"/>
  <c r="C9" i="10" a="1"/>
  <c r="B9" i="10" a="1"/>
  <c r="B9" i="10" l="1"/>
  <c r="C9" i="10"/>
  <c r="D9" i="10"/>
  <c r="E9" i="10"/>
  <c r="F9" i="10"/>
  <c r="G9" i="10"/>
  <c r="H9" i="10"/>
  <c r="I9" i="10"/>
  <c r="J9" i="10"/>
  <c r="K9" i="10"/>
  <c r="L9" i="10"/>
  <c r="M9" i="10"/>
  <c r="N9" i="10"/>
  <c r="A10" i="10"/>
  <c r="N10" i="10" a="1"/>
  <c r="M10" i="10" a="1"/>
  <c r="L10" i="10" a="1"/>
  <c r="K10" i="10" a="1"/>
  <c r="J10" i="10" a="1"/>
  <c r="I10" i="10" a="1"/>
  <c r="H10" i="10" a="1"/>
  <c r="G10" i="10" a="1"/>
  <c r="F10" i="10" a="1"/>
  <c r="E10" i="10" a="1"/>
  <c r="D10" i="10" a="1"/>
  <c r="C10" i="10" a="1"/>
  <c r="B10" i="10" a="1"/>
  <c r="B10" i="10" l="1"/>
  <c r="C10" i="10"/>
  <c r="D10" i="10"/>
  <c r="E10" i="10"/>
  <c r="F10" i="10"/>
  <c r="G10" i="10"/>
  <c r="H10" i="10"/>
  <c r="I10" i="10"/>
  <c r="J10" i="10"/>
  <c r="K10" i="10"/>
  <c r="L10" i="10"/>
  <c r="M10" i="10"/>
  <c r="N10" i="10"/>
  <c r="A11" i="10"/>
  <c r="N11" i="10" a="1"/>
  <c r="M11" i="10" a="1"/>
  <c r="L11" i="10" a="1"/>
  <c r="K11" i="10" a="1"/>
  <c r="J11" i="10" a="1"/>
  <c r="I11" i="10" a="1"/>
  <c r="H11" i="10" a="1"/>
  <c r="G11" i="10" a="1"/>
  <c r="F11" i="10" a="1"/>
  <c r="E11" i="10" a="1"/>
  <c r="D11" i="10" a="1"/>
  <c r="C11" i="10" a="1"/>
  <c r="B11" i="10" a="1"/>
  <c r="B11" i="10" l="1"/>
  <c r="C11" i="10"/>
  <c r="D11" i="10"/>
  <c r="E11" i="10"/>
  <c r="F11" i="10"/>
  <c r="G11" i="10"/>
  <c r="H11" i="10"/>
  <c r="I11" i="10"/>
  <c r="J11" i="10"/>
  <c r="K11" i="10"/>
  <c r="L11" i="10"/>
  <c r="M11" i="10"/>
  <c r="N11" i="10"/>
  <c r="A12" i="10"/>
  <c r="N12" i="10" a="1"/>
  <c r="M12" i="10" a="1"/>
  <c r="L12" i="10" a="1"/>
  <c r="K12" i="10" a="1"/>
  <c r="J12" i="10" a="1"/>
  <c r="I12" i="10" a="1"/>
  <c r="H12" i="10" a="1"/>
  <c r="G12" i="10" a="1"/>
  <c r="F12" i="10" a="1"/>
  <c r="E12" i="10" a="1"/>
  <c r="D12" i="10" a="1"/>
  <c r="C12" i="10" a="1"/>
  <c r="B12" i="10" a="1"/>
  <c r="B12" i="10" l="1"/>
  <c r="C12" i="10"/>
  <c r="D12" i="10"/>
  <c r="E12" i="10"/>
  <c r="F12" i="10"/>
  <c r="G12" i="10"/>
  <c r="H12" i="10"/>
  <c r="I12" i="10"/>
  <c r="J12" i="10"/>
  <c r="K12" i="10"/>
  <c r="L12" i="10"/>
  <c r="M12" i="10"/>
  <c r="N12" i="10"/>
  <c r="A13" i="10"/>
  <c r="N13" i="10" a="1"/>
  <c r="M13" i="10" a="1"/>
  <c r="L13" i="10" a="1"/>
  <c r="K13" i="10" a="1"/>
  <c r="J13" i="10" a="1"/>
  <c r="I13" i="10" a="1"/>
  <c r="H13" i="10" a="1"/>
  <c r="G13" i="10" a="1"/>
  <c r="F13" i="10" a="1"/>
  <c r="E13" i="10" a="1"/>
  <c r="D13" i="10" a="1"/>
  <c r="C13" i="10" a="1"/>
  <c r="B13" i="10" a="1"/>
  <c r="B13" i="10" l="1"/>
  <c r="C13" i="10"/>
  <c r="D13" i="10"/>
  <c r="E13" i="10"/>
  <c r="F13" i="10"/>
  <c r="G13" i="10"/>
  <c r="H13" i="10"/>
  <c r="I13" i="10"/>
  <c r="J13" i="10"/>
  <c r="K13" i="10"/>
  <c r="L13" i="10"/>
  <c r="M13" i="10"/>
  <c r="N13" i="10"/>
  <c r="A14" i="10"/>
  <c r="N14" i="10" a="1"/>
  <c r="M14" i="10" a="1"/>
  <c r="L14" i="10" a="1"/>
  <c r="K14" i="10" a="1"/>
  <c r="J14" i="10" a="1"/>
  <c r="I14" i="10" a="1"/>
  <c r="H14" i="10" a="1"/>
  <c r="G14" i="10" a="1"/>
  <c r="F14" i="10" a="1"/>
  <c r="E14" i="10" a="1"/>
  <c r="D14" i="10" a="1"/>
  <c r="C14" i="10" a="1"/>
  <c r="B14" i="10" a="1"/>
  <c r="B14" i="10" l="1"/>
  <c r="C14" i="10"/>
  <c r="D14" i="10"/>
  <c r="E14" i="10"/>
  <c r="F14" i="10"/>
  <c r="G14" i="10"/>
  <c r="H14" i="10"/>
  <c r="I14" i="10"/>
  <c r="J14" i="10"/>
  <c r="K14" i="10"/>
  <c r="L14" i="10"/>
  <c r="M14" i="10"/>
  <c r="N14" i="10"/>
  <c r="A15" i="10"/>
  <c r="N15" i="10" a="1"/>
  <c r="M15" i="10" a="1"/>
  <c r="L15" i="10" a="1"/>
  <c r="K15" i="10" a="1"/>
  <c r="J15" i="10" a="1"/>
  <c r="I15" i="10" a="1"/>
  <c r="H15" i="10" a="1"/>
  <c r="G15" i="10" a="1"/>
  <c r="F15" i="10" a="1"/>
  <c r="E15" i="10" a="1"/>
  <c r="D15" i="10" a="1"/>
  <c r="C15" i="10" a="1"/>
  <c r="B15" i="10" a="1"/>
  <c r="B15" i="10" l="1"/>
  <c r="C15" i="10"/>
  <c r="D15" i="10"/>
  <c r="E15" i="10"/>
  <c r="F15" i="10"/>
  <c r="G15" i="10"/>
  <c r="H15" i="10"/>
  <c r="I15" i="10"/>
  <c r="J15" i="10"/>
  <c r="K15" i="10"/>
  <c r="L15" i="10"/>
  <c r="M15" i="10"/>
  <c r="N1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<sst xmlns="http://schemas.openxmlformats.org/spreadsheetml/2006/main" count="763" uniqueCount="331">
  <si>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</si>
  <si>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</si>
  <si>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</si>
  <si>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</si>
  <si>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</si>
  <si>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</si>
  <si>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</si>
  <si>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</si>
  <si>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</si>
  <si>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</si>
  <si>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</si>
  <si>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</si>
  <si>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</si>
  <si>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Benchmark</t>
  </si>
  <si>
    <t>Asset</t>
  </si>
  <si>
    <t>Fundsmith Equity Fund Sicav</t>
  </si>
  <si>
    <t>Global Arbitrage Fund SP</t>
  </si>
  <si>
    <t>iShares Physical Gold ETC</t>
  </si>
  <si>
    <t>Date</t>
  </si>
  <si>
    <t>Assets</t>
  </si>
  <si>
    <t>Weight</t>
  </si>
  <si>
    <t>Expected annual return</t>
  </si>
  <si>
    <t>Historical annualized return since assets inception</t>
  </si>
  <si>
    <t>Historical annualized return in time window</t>
  </si>
  <si>
    <t>Equilibrium annual mean</t>
  </si>
  <si>
    <t>Annual volatility since assets inception</t>
  </si>
  <si>
    <t>Annualized volatility in the time window</t>
  </si>
  <si>
    <t>Skewness</t>
  </si>
  <si>
    <t>Excess kurtosis</t>
  </si>
  <si>
    <t>Last 1 month return</t>
  </si>
  <si>
    <t>Last 3 months return</t>
  </si>
  <si>
    <t>Last 12 months return</t>
  </si>
  <si>
    <t>Year-to-date return</t>
  </si>
  <si>
    <t>Annualized last 3 months return</t>
  </si>
  <si>
    <t>Annualized last 3 years return</t>
  </si>
  <si>
    <t>Annualized last 5 years return</t>
  </si>
  <si>
    <t>Annualized volatility (last 12 months)</t>
  </si>
  <si>
    <t>Annualized volatility (last 3 years)</t>
  </si>
  <si>
    <t>Normal monthly VaR 99%</t>
  </si>
  <si>
    <t>Modified monthly VaR 99%</t>
  </si>
  <si>
    <t>Conditional monthly VaR 99%</t>
  </si>
  <si>
    <t>Normal monthly VaR 97%</t>
  </si>
  <si>
    <t>Modified monthly VaR 97%</t>
  </si>
  <si>
    <t>Conditional monthly VaR 97%</t>
  </si>
  <si>
    <t>Normal monthly VaR 95%</t>
  </si>
  <si>
    <t>Modified monthly VaR 95%</t>
  </si>
  <si>
    <t>Conditional monthly VaR 95%</t>
  </si>
  <si>
    <t>Annual Sharpe Ratio</t>
  </si>
  <si>
    <t>Downside deviation (vs 0%)</t>
  </si>
  <si>
    <t>Downside deviation (vs Rf)</t>
  </si>
  <si>
    <t>Annualized Treynor ratio</t>
  </si>
  <si>
    <t>Sortino Ratio (vs 0%)</t>
  </si>
  <si>
    <t>Sortino Ratio (vs Rf)</t>
  </si>
  <si>
    <t>Sterling ratio</t>
  </si>
  <si>
    <t>Calmar ratio</t>
  </si>
  <si>
    <t>Hurst index</t>
  </si>
  <si>
    <t>Omega 0.00%</t>
  </si>
  <si>
    <t>Omega 0.50%</t>
  </si>
  <si>
    <t>Omega 1.00%</t>
  </si>
  <si>
    <t>Omega 1.50%</t>
  </si>
  <si>
    <t>Omega 2.00%</t>
  </si>
  <si>
    <t>Autocorrelated</t>
  </si>
  <si>
    <t>Up months %</t>
  </si>
  <si>
    <t>Down months %</t>
  </si>
  <si>
    <t>Average return during bull market</t>
  </si>
  <si>
    <t>Average return during bear market</t>
  </si>
  <si>
    <t>Maximum consecutive gain</t>
  </si>
  <si>
    <t>Maximum consecutive loss</t>
  </si>
  <si>
    <t>Max monthly gain</t>
  </si>
  <si>
    <t>Max monthly loss</t>
  </si>
  <si>
    <t>Max drawdown</t>
  </si>
  <si>
    <t>Date of Max Drawdown</t>
  </si>
  <si>
    <t>Start Date Drawdown</t>
  </si>
  <si>
    <t>End Date Drawdown</t>
  </si>
  <si>
    <t>Max Time-under-the-water (months)</t>
  </si>
  <si>
    <t>Max possible drawdown 99%</t>
  </si>
  <si>
    <t>Max possible drawdown 99.9%</t>
  </si>
  <si>
    <t>Max possible Time-under-the-water 99%</t>
  </si>
  <si>
    <t>Max possible Time-under-the-water 99.9%</t>
  </si>
  <si>
    <t>Strategy</t>
  </si>
  <si>
    <t>Inception date</t>
  </si>
  <si>
    <t>Quantitative rating</t>
  </si>
  <si>
    <t>Qualitative rating</t>
  </si>
  <si>
    <t>Final rating</t>
  </si>
  <si>
    <t>Last return date</t>
  </si>
  <si>
    <t>Company Name</t>
  </si>
  <si>
    <t>Manager Name</t>
  </si>
  <si>
    <t>Address</t>
  </si>
  <si>
    <t>Phone Number</t>
  </si>
  <si>
    <t>Email</t>
  </si>
  <si>
    <t>Asset Type</t>
  </si>
  <si>
    <t>Proprietary ID</t>
  </si>
  <si>
    <t>Country</t>
  </si>
  <si>
    <t>Currency</t>
  </si>
  <si>
    <t>Sub-Strategy</t>
  </si>
  <si>
    <t>Size (m)</t>
  </si>
  <si>
    <t>Status</t>
  </si>
  <si>
    <t>Redemption Period</t>
  </si>
  <si>
    <t>Notice Period</t>
  </si>
  <si>
    <t>Performance Fee</t>
  </si>
  <si>
    <t>Management Fee</t>
  </si>
  <si>
    <t>ISIN</t>
  </si>
  <si>
    <t>Return 2015</t>
  </si>
  <si>
    <t>Return 2016</t>
  </si>
  <si>
    <t>Return 2017</t>
  </si>
  <si>
    <t>Return 2018</t>
  </si>
  <si>
    <t>Return 2019</t>
  </si>
  <si>
    <t>Prime Broker</t>
  </si>
  <si>
    <t>Return</t>
  </si>
  <si>
    <t>On-/Offshore</t>
  </si>
  <si>
    <t>Quarter to date</t>
  </si>
  <si>
    <t>Annualized return sinceinception</t>
  </si>
  <si>
    <t>Average Positive Return</t>
  </si>
  <si>
    <t>Average Negative Return</t>
  </si>
  <si>
    <t>Rachev Ratio 99%</t>
  </si>
  <si>
    <t>Rachev Ratio 97%</t>
  </si>
  <si>
    <t>Rachev Ratio 95%</t>
  </si>
  <si>
    <t>Rachev Ratio 90%</t>
  </si>
  <si>
    <t>Company Aum (m)</t>
  </si>
  <si>
    <t>Exponential Annualized Volatility</t>
  </si>
  <si>
    <t>Exponential Annualized Volatility (last 12 months)</t>
  </si>
  <si>
    <t>Exponential Annualized Volatility (last 3 years)</t>
  </si>
  <si>
    <t>Exponential Annual Sharpe ratio (vs Rf)</t>
  </si>
  <si>
    <t>Exponential Normal monthly VaR 99%</t>
  </si>
  <si>
    <t>Exponential Normal monthly VaR 97%</t>
  </si>
  <si>
    <t>Exponential Normal monthly VaR 95%</t>
  </si>
  <si>
    <t>Exponential Normal monthly VaR 90%</t>
  </si>
  <si>
    <t>Exponential Normal weekly VaR 99%</t>
  </si>
  <si>
    <t>Exponential Normal weekly VaR 97%</t>
  </si>
  <si>
    <t>Exponential Normal weekly VaR 95%</t>
  </si>
  <si>
    <t>Exponential Normal weekly VaR 90%</t>
  </si>
  <si>
    <t>Exponential Normal daily VaR 99%</t>
  </si>
  <si>
    <t>Exponential Normal daily VaR 97%</t>
  </si>
  <si>
    <t>Exponential Normal daily VaR 95%</t>
  </si>
  <si>
    <t>Exponential Normal daily VaR 90%</t>
  </si>
  <si>
    <t>Bias Ratio</t>
  </si>
  <si>
    <t>Manager Biography</t>
  </si>
  <si>
    <t>Minimum Investment</t>
  </si>
  <si>
    <t>Auditor</t>
  </si>
  <si>
    <t>Custodian</t>
  </si>
  <si>
    <t>Administrator</t>
  </si>
  <si>
    <t>Proxy 1 Start Date</t>
  </si>
  <si>
    <t>Proxy 1 End Date</t>
  </si>
  <si>
    <t>Proxy 2 Start Date</t>
  </si>
  <si>
    <t xml:space="preserve">Proxy 2 End Date  </t>
  </si>
  <si>
    <t>Proxy 3 Start Date</t>
  </si>
  <si>
    <t xml:space="preserve">Proxy 3 End Date </t>
  </si>
  <si>
    <t>Fund Domicile</t>
  </si>
  <si>
    <t>Fund Contact</t>
  </si>
  <si>
    <t>Fund Contact Email</t>
  </si>
  <si>
    <t>Fund Contact Number</t>
  </si>
  <si>
    <t>City</t>
  </si>
  <si>
    <t>Leverage</t>
  </si>
  <si>
    <t>Gate</t>
  </si>
  <si>
    <t>Gate Frequency</t>
  </si>
  <si>
    <t>Initial Payment (%)</t>
  </si>
  <si>
    <t>Second Max Drawdown</t>
  </si>
  <si>
    <t>Date Second Max Drawdown</t>
  </si>
  <si>
    <t>Portfolio</t>
  </si>
  <si>
    <t>Correlation to MSCI ACWI Index</t>
  </si>
  <si>
    <t>Correlation to 50% Global Equities / 50% IG</t>
  </si>
  <si>
    <t>Bull correlation  to MSCI ACWI Index</t>
  </si>
  <si>
    <t>Bear correlation to MSCI ACWI Index</t>
  </si>
  <si>
    <t>Bull correlation to 50% Global Equities / 50% IG</t>
  </si>
  <si>
    <t>Bear correlation to 50% Global Equities / 50% IG</t>
  </si>
  <si>
    <t>Beta to MSCI ACWI Index</t>
  </si>
  <si>
    <t>Beta to 50% Global Equities / 50% IG</t>
  </si>
  <si>
    <t>Bull Beta to MSCI ACWI Index</t>
  </si>
  <si>
    <t>Bear Beta to MSCI ACWI Index</t>
  </si>
  <si>
    <t>Bull Beta to 50% Global Equities / 50% IG</t>
  </si>
  <si>
    <t>Bear Beta to 50% Global Equities / 50% IG</t>
  </si>
  <si>
    <t>Monthly Portfolio Return Attribution for May-20</t>
  </si>
  <si>
    <t>Information Ratio vs MSCI ACWI Index</t>
  </si>
  <si>
    <t>Information Ratio vs 50% Global Equities / 50% IG</t>
  </si>
  <si>
    <t>Tracking Error vs MSCI ACWI Index</t>
  </si>
  <si>
    <t>Tracking Error vs 50% Global Equities / 50% IG</t>
  </si>
  <si>
    <t>R2 vs MSCI ACWI Index</t>
  </si>
  <si>
    <t>R2 vs 50% Global Equities / 50% IG</t>
  </si>
  <si>
    <t>Annual Bear Market Returns vs MSCI ACWI Index</t>
  </si>
  <si>
    <t>Annual Bear Market Returns vs 50% Global Equities / 50% IG</t>
  </si>
  <si>
    <t>Annual Bull Market Returns vs MSCI ACWI Index</t>
  </si>
  <si>
    <t>Annual Bull Market Returns vs 50% Global Equities / 50% IG</t>
  </si>
  <si>
    <t>Outperformance vs MSCI ACWI Index Last Month</t>
  </si>
  <si>
    <t>Outperformance vs 50% Global Equities / 50% IG Last Month</t>
  </si>
  <si>
    <t>Annualized Outperformance vs MSCI ACWI Index</t>
  </si>
  <si>
    <t>Annualized Outperformance vs 50% Global Equities / 50% IG</t>
  </si>
  <si>
    <t>Annual Up Capture vs MSCI ACWI Index</t>
  </si>
  <si>
    <t>Annual Up Capture vs 50% Global Equities / 50% IG</t>
  </si>
  <si>
    <t>Annual Down Capture vs MSCI ACWI Index</t>
  </si>
  <si>
    <t>Annual Down Capture vs 50% Global Equities / 50% IG</t>
  </si>
  <si>
    <t>Annual Tracking Error vs MSCI ACWI Index (Beta=1)</t>
  </si>
  <si>
    <t>Annual Tracking Error vs 50% Global Equities / 50% IG (Beta=1)</t>
  </si>
  <si>
    <t>Annual Jensen Alpha vs MSCI ACWI Index (vs Rf)</t>
  </si>
  <si>
    <t>Annual Jensen Alpha vs 50% Global Equities / 50% IG (vs Rf)</t>
  </si>
  <si>
    <t>Annual Information Ratio vs MSCI ACWI Index (Beta=1)</t>
  </si>
  <si>
    <t>Annual Information Ratio vs 50% Global Equities / 50% IG (Beta=1)</t>
  </si>
  <si>
    <t>Alpha vs MSCI ACWI Index</t>
  </si>
  <si>
    <t>Alpha vs 50% Global Equities / 50% IG</t>
  </si>
  <si>
    <t>Exponential Correlation to MSCI ACWI Index</t>
  </si>
  <si>
    <t>Exponential Correlation to 50% Global Equities / 50% IG</t>
  </si>
  <si>
    <t xml:space="preserve">Cumulative </t>
  </si>
  <si>
    <t>Drawdown</t>
  </si>
  <si>
    <t>Drawdown MSCI ACWI Index</t>
  </si>
  <si>
    <t>Drawdown 50% Global Equities / 50% IG</t>
  </si>
  <si>
    <t>Event ID</t>
  </si>
  <si>
    <t>Timestamp</t>
  </si>
  <si>
    <t>Annualized volatility (last 5 years)</t>
  </si>
  <si>
    <t>Beta to MSCI ACWI Index (last 3 years)</t>
  </si>
  <si>
    <t>Beta to MSCI ACWI Index (last 5 years)</t>
  </si>
  <si>
    <t>Beta to 50% Global Equities / 50% IG (last 3 years)</t>
  </si>
  <si>
    <t>Beta to 50% Global Equities / 50% IG (last 5 years)</t>
  </si>
  <si>
    <t>Annual Sharpe Ratio (last 3 years)</t>
  </si>
  <si>
    <t>Annual Sharpe Ratio (last 5 years)</t>
  </si>
  <si>
    <t>SageOne India Growth Fund</t>
  </si>
  <si>
    <t>Start Date</t>
  </si>
  <si>
    <t>End Date</t>
  </si>
  <si>
    <t>Risk-Free Rate</t>
  </si>
  <si>
    <t>Average return during bull Benchmark 2</t>
  </si>
  <si>
    <t>Average return during bear Benchmark 2</t>
  </si>
  <si>
    <t>Redemption Period 2</t>
  </si>
  <si>
    <t>Redemption Period 3</t>
  </si>
  <si>
    <t>Lockup 2 Duration</t>
  </si>
  <si>
    <t>Lockup 3 Duration</t>
  </si>
  <si>
    <t>Lockup 1 Duration</t>
  </si>
  <si>
    <t>Holdback (Calendar) 2</t>
  </si>
  <si>
    <t>Holdback (Days) 2</t>
  </si>
  <si>
    <t>Holdback (Paid After) 2</t>
  </si>
  <si>
    <t>Holdback (Calendar) 3</t>
  </si>
  <si>
    <t>Holdback (Days) 3</t>
  </si>
  <si>
    <t>Holdback (Paid After) 3</t>
  </si>
  <si>
    <t>Holdback (Calendar) 4</t>
  </si>
  <si>
    <t>Holdback (Days) 4</t>
  </si>
  <si>
    <t>Holdback (Paid After) 4</t>
  </si>
  <si>
    <t>Lockup 1 Type</t>
  </si>
  <si>
    <t>Lockup 2 Type</t>
  </si>
  <si>
    <t>Lockup 3 Type</t>
  </si>
  <si>
    <t>Redemption Calendar 1</t>
  </si>
  <si>
    <t>Redemption Calendar 2</t>
  </si>
  <si>
    <t>Redemption Calendar 3</t>
  </si>
  <si>
    <t>Redemption Fee 1</t>
  </si>
  <si>
    <t>Redemption Fee 2</t>
  </si>
  <si>
    <t>Redemption Fee 3</t>
  </si>
  <si>
    <t>Redemption Frequency 1</t>
  </si>
  <si>
    <t>Redemption Frequency 2</t>
  </si>
  <si>
    <t>Redemption Frequency 3</t>
  </si>
  <si>
    <t xml:space="preserve">Subscription Calendar </t>
  </si>
  <si>
    <t>Lockup 1 Fee</t>
  </si>
  <si>
    <t>Lockup 2 Fee</t>
  </si>
  <si>
    <t>Lockup 3 Fee</t>
  </si>
  <si>
    <t>Dates</t>
  </si>
  <si>
    <t>Bear Market</t>
  </si>
  <si>
    <t>Last Return date</t>
  </si>
  <si>
    <t>Crisis</t>
  </si>
  <si>
    <t>Portfolio Return</t>
  </si>
  <si>
    <t>Benchmark 1 Return</t>
  </si>
  <si>
    <t>Benchmark 2 Return</t>
  </si>
  <si>
    <t>Portfolio during Bear market</t>
  </si>
  <si>
    <t>Rank</t>
  </si>
  <si>
    <t>MSCI ACWI Index</t>
  </si>
  <si>
    <t>Bloomberg Barclays Global-Aggregate Total Return Index Value Hedged USD</t>
  </si>
  <si>
    <t>Expected Annual volatility</t>
  </si>
  <si>
    <t>Expected Annual Drawdown</t>
  </si>
  <si>
    <t>Bond Rank</t>
  </si>
  <si>
    <t>Current Price</t>
  </si>
  <si>
    <t>Coupon (%)</t>
  </si>
  <si>
    <t>Yield to Worst</t>
  </si>
  <si>
    <t>Effective Duration</t>
  </si>
  <si>
    <t>Maturity Date</t>
  </si>
  <si>
    <t>Call Date</t>
  </si>
  <si>
    <t>Bloomberg Composite Ranking</t>
  </si>
  <si>
    <t>Investment Geography</t>
  </si>
  <si>
    <t>Bloomberg Ticker</t>
  </si>
  <si>
    <t>Cheyne Total Return Credit Fund</t>
  </si>
  <si>
    <t>Dymon Asia Multi-Strategy Investment Fund</t>
  </si>
  <si>
    <t>FengHe Asia Fund</t>
  </si>
  <si>
    <t>GuardCap UCITS Funds plc - GuardCap Global Equity Fund</t>
  </si>
  <si>
    <t>iShares Nasdaq Biotechnology ETF</t>
  </si>
  <si>
    <t>LC Beacon Global Fund</t>
  </si>
  <si>
    <t>Quadriga Investors - Igneo Fund</t>
  </si>
  <si>
    <t>Ress Life Investment A/S</t>
  </si>
  <si>
    <t>Saba Capital Carry Neutral Tail Hedge Fund</t>
  </si>
  <si>
    <t>Southern Ridges Macro Fund</t>
  </si>
  <si>
    <t>Stone Harbor TALF 2.0</t>
  </si>
  <si>
    <t>Industry Focus</t>
  </si>
  <si>
    <t>Vice Stock Indicator</t>
  </si>
  <si>
    <t>LC Target Price</t>
  </si>
  <si>
    <t>lc2610200001</t>
  </si>
  <si>
    <t>Investment Team\APG\Optimization Universe</t>
  </si>
  <si>
    <t>ALPS Medical Breakthroughs ETF</t>
  </si>
  <si>
    <t>ARK Innovation ETF</t>
  </si>
  <si>
    <t>AXA St. Bernard Fund</t>
  </si>
  <si>
    <t>AXA World Funds - Asian Short Duration Bonds</t>
  </si>
  <si>
    <t>AXA World Funds - Global Strategic Bonds</t>
  </si>
  <si>
    <t>Baillie Gifford Worldwide Global Credit Fund</t>
  </si>
  <si>
    <t>Berkshire Focus Fund</t>
  </si>
  <si>
    <t>CKC Credit Opportunity Fund</t>
  </si>
  <si>
    <t>Credit Suisse Lux Robotics Equity Fund</t>
  </si>
  <si>
    <t>Horizon Capital Fund - European Trade Finance - Sub-Fund 1</t>
  </si>
  <si>
    <t>iShares Automation &amp; Robotics UCITS ETF</t>
  </si>
  <si>
    <t>iShares Core S&amp;P 500 UCITS ETF</t>
  </si>
  <si>
    <t>iShares Global Corp Bond UCITS ETF (USD Unhedged)</t>
  </si>
  <si>
    <t>iShares JP Morgan EM Local Government Bond UCITS ETF</t>
  </si>
  <si>
    <t>iShares NASDAQ 100 UCITS ETF</t>
  </si>
  <si>
    <t>iShares U.S. Medical Devices ETF</t>
  </si>
  <si>
    <t>iShares US Mortgage Backed Securities UCITS ETF</t>
  </si>
  <si>
    <t>iShares USD Corp Bond UCITS ETF</t>
  </si>
  <si>
    <t>iShares USD Short Duration Corp Bond UCITS ETF</t>
  </si>
  <si>
    <t>LCV Trade Finance Fund - Class D</t>
  </si>
  <si>
    <t>Orchard Liquid Credit Fund</t>
  </si>
  <si>
    <t>PIMCO Funds: Global Investors Series plc -Income Fund</t>
  </si>
  <si>
    <t>Seilern World Growth Fund</t>
  </si>
  <si>
    <t>SphereInvest Global Credit Strategies Fund</t>
  </si>
  <si>
    <t>VanEck Vectors Biotech ETF</t>
  </si>
  <si>
    <t>VanEck Vectors Semiconductor ETF</t>
  </si>
  <si>
    <t>Optimization Universe</t>
  </si>
  <si>
    <t>Cumulative Optimization Universe</t>
  </si>
  <si>
    <t>Algebris Financial Credit Fund</t>
  </si>
  <si>
    <t>Amdocs Ltd</t>
  </si>
  <si>
    <t>China Railway Construction Corp Ltd</t>
  </si>
  <si>
    <t>China Railway Group Ltd</t>
  </si>
  <si>
    <t>Cooperatieve Rabobank Ua (RABOBK 4 3/8 PERP)</t>
  </si>
  <si>
    <t>CSG Systems International Inc</t>
  </si>
  <si>
    <t>Delta Air Lines Inc (DAL 3 5/8 03/15/22)</t>
  </si>
  <si>
    <t>Delta Air Lines Inc (DAL 3.8 04/19/23)</t>
  </si>
  <si>
    <t>Electric Power Development Co Ltd</t>
  </si>
  <si>
    <t>Imperial Brands PLC</t>
  </si>
  <si>
    <t>Jiangsu Phoenix Publishing &amp; Media Corp Ltd</t>
  </si>
  <si>
    <t>Kansai Electric Power Co Inc/The</t>
  </si>
  <si>
    <t>SAMVARDHANA MOTHERSON AU (MSSIN 4 7/8 12/16/21)</t>
  </si>
  <si>
    <t>Sinopharm Group Co Ltd</t>
  </si>
  <si>
    <t>Southwest Airlines Co (LUV 5 1/8 06/15/27)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</si>
</sst>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00%"/>
    <numFmt numFmtId="166" formatCode="0.00000"/>
    <numFmt numFmtId="167" formatCode="0.0000"/>
    <numFmt numFmtId="168" formatCode="0.000"/>
    <numFmt numFmtId="169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/>
    <xf numFmtId="0" fontId="0" fillId="0" borderId="0" xfId="0" applyAlignment="1">
      <alignment vertical="center" wrapText="1"/>
    </xf>
    <xf numFmtId="10" fontId="0" fillId="0" borderId="0" xfId="2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2" applyFon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65" fontId="0" fillId="0" borderId="0" xfId="2" applyNumberFormat="1" applyFont="1" applyAlignment="1">
      <alignment vertical="center" wrapText="1"/>
    </xf>
    <xf numFmtId="10" fontId="0" fillId="0" borderId="0" xfId="2" applyNumberFormat="1" applyFont="1" applyFill="1" applyAlignment="1">
      <alignment vertical="center" wrapText="1"/>
    </xf>
    <xf numFmtId="10" fontId="0" fillId="0" borderId="0" xfId="2" applyNumberFormat="1" applyFont="1" applyFill="1" applyAlignment="1">
      <alignment horizontal="center" vertical="center" wrapText="1"/>
    </xf>
    <xf numFmtId="164" fontId="0" fillId="0" borderId="0" xfId="1" applyFont="1" applyFill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7" fontId="0" fillId="0" borderId="0" xfId="0" applyNumberFormat="1" applyFill="1" applyAlignment="1">
      <alignment vertical="center" wrapText="1"/>
    </xf>
    <xf numFmtId="168" fontId="0" fillId="0" borderId="0" xfId="0" applyNumberFormat="1" applyFill="1" applyAlignment="1">
      <alignment vertical="center" wrapText="1"/>
    </xf>
    <xf numFmtId="164" fontId="0" fillId="0" borderId="0" xfId="1" applyFont="1" applyFill="1" applyAlignment="1">
      <alignment vertical="center" wrapText="1"/>
    </xf>
    <xf numFmtId="10" fontId="0" fillId="0" borderId="0" xfId="2" applyNumberFormat="1" applyFont="1" applyFill="1" applyAlignment="1">
      <alignment horizontal="right" vertical="center" wrapText="1"/>
    </xf>
    <xf numFmtId="14" fontId="0" fillId="0" borderId="0" xfId="2" applyNumberFormat="1" applyFont="1" applyFill="1" applyAlignment="1">
      <alignment horizontal="right" vertical="center" wrapText="1"/>
    </xf>
    <xf numFmtId="0" fontId="0" fillId="0" borderId="0" xfId="2" applyNumberFormat="1" applyFont="1" applyFill="1" applyAlignment="1">
      <alignment horizontal="right" vertical="center" wrapText="1"/>
    </xf>
    <xf numFmtId="2" fontId="0" fillId="0" borderId="0" xfId="2" applyNumberFormat="1" applyFont="1" applyFill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8" fontId="0" fillId="0" borderId="0" xfId="2" applyNumberFormat="1" applyFont="1" applyAlignment="1">
      <alignment vertical="center" wrapText="1"/>
    </xf>
    <xf numFmtId="2" fontId="0" fillId="0" borderId="0" xfId="2" applyNumberFormat="1" applyFont="1" applyAlignment="1">
      <alignment vertical="center" wrapText="1"/>
    </xf>
    <xf numFmtId="9" fontId="0" fillId="0" borderId="0" xfId="2" applyNumberFormat="1" applyFont="1" applyAlignment="1">
      <alignment vertical="center" wrapText="1"/>
    </xf>
    <xf numFmtId="0" fontId="0" fillId="0" borderId="0" xfId="2" applyNumberFormat="1" applyFont="1" applyAlignment="1">
      <alignment vertical="center" wrapText="1"/>
    </xf>
    <xf numFmtId="14" fontId="0" fillId="0" borderId="0" xfId="2" applyNumberFormat="1" applyFont="1" applyAlignment="1">
      <alignment vertical="center" wrapText="1"/>
    </xf>
    <xf numFmtId="2" fontId="0" fillId="0" borderId="0" xfId="2" applyNumberFormat="1" applyFont="1" applyFill="1" applyAlignment="1">
      <alignment horizontal="center" vertical="center" wrapText="1"/>
    </xf>
    <xf numFmtId="2" fontId="0" fillId="0" borderId="0" xfId="2" applyNumberFormat="1" applyFont="1" applyFill="1" applyAlignment="1">
      <alignment vertical="center" wrapText="1"/>
    </xf>
    <xf numFmtId="169" fontId="0" fillId="0" borderId="0" xfId="2" applyNumberFormat="1" applyFont="1"/>
    <xf numFmtId="10" fontId="0" fillId="0" borderId="0" xfId="2" applyNumberFormat="1" applyFont="1" applyBorder="1"/>
    <xf numFmtId="14" fontId="0" fillId="0" borderId="0" xfId="0" applyNumberFormat="1"/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165" fontId="1" fillId="0" borderId="0" xfId="2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/>
    <xf numFmtId="10" fontId="1" fillId="0" borderId="0" xfId="2" applyNumberFormat="1" applyFont="1" applyAlignment="1">
      <alignment vertical="center"/>
    </xf>
    <xf numFmtId="10" fontId="0" fillId="0" borderId="0" xfId="2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2" applyNumberFormat="1" applyFont="1" applyBorder="1"/>
    <xf numFmtId="14" fontId="0" fillId="0" borderId="0" xfId="2" applyNumberFormat="1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2" applyNumberFormat="1" applyFont="1"/>
    <xf numFmtId="0" fontId="1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2" fontId="0" fillId="0" borderId="0" xfId="2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numFmt numFmtId="22" formatCode="mmm\-yy"/>
    </dxf>
    <dxf>
      <numFmt numFmtId="22" formatCode="mmm\-yy"/>
    </dxf>
    <dxf>
      <numFmt numFmtId="22" formatCode="mmm\-yy"/>
    </dxf>
    <dxf>
      <numFmt numFmtId="22" formatCode="mmm\-yy"/>
    </dxf>
    <dxf>
      <numFmt numFmtId="22" formatCode="mmm\-yy"/>
    </dxf>
    <dxf>
      <numFmt numFmtId="22" formatCode="mmm\-yy"/>
    </dxf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2349-5717-463E-904B-4BCCDA649BEB}">
  <dimension ref="A1:I58"/>
  <sheetViews>
    <sheetView workbookViewId="0">
      <selection activeCell="E1" sqref="E1"/>
    </sheetView>
  </sheetViews>
  <sheetFormatPr defaultRowHeight="15" x14ac:dyDescent="0.25"/>
  <cols>
    <col min="1" max="1" width="15.28515625" customWidth="1"/>
    <col min="2" max="2" width="32.28515625" customWidth="1"/>
    <col min="3" max="3" width="25.28515625" customWidth="1"/>
    <col min="4" max="4" width="24.7109375" bestFit="1" customWidth="1"/>
    <col min="5" max="5" width="50.42578125" bestFit="1" customWidth="1"/>
    <col min="6" max="6" width="10.7109375" customWidth="1"/>
    <col min="7" max="7" width="12.28515625" customWidth="1"/>
    <col min="8" max="8" width="22.140625" customWidth="1"/>
    <col min="9" max="9" width="15.42578125" customWidth="1"/>
  </cols>
  <sheetData>
    <row r="1" spans="1:9" x14ac:dyDescent="0.25">
      <c r="A1" t="s">
        <v>204</v>
      </c>
      <c r="B1" t="s">
        <v>205</v>
      </c>
      <c r="C1" t="s">
        <v>158</v>
      </c>
      <c r="D1" t="s">
        <v>13</v>
      </c>
      <c r="E1" t="s">
        <v>14</v>
      </c>
      <c r="F1" s="7" t="s">
        <v>214</v>
      </c>
      <c r="G1" s="7" t="s">
        <v>215</v>
      </c>
      <c r="H1" t="s">
        <v>216</v>
      </c>
      <c r="I1" t="s">
        <v>100</v>
      </c>
    </row>
    <row r="2" spans="1:9" x14ac:dyDescent="0.25">
      <c r="A2" t="s">
        <v>286</v>
      </c>
      <c r="B2" s="42"/>
      <c r="C2" s="67" t="s">
        <v>287</v>
      </c>
      <c r="D2" t="str" cm="1">
        <f t="array" ref="D2">_xll.ASPortfolioInfo($C$2,"Benchmark 1")</f>
        <v>S&amp;P 500 Index</v>
      </c>
      <c r="E2" t="str" cm="1">
        <f t="array" ref="E2">_xll.ASGetAssetsVector("Portfolios\"&amp;$C$2,0,0,250,1,0)</f>
        <v>Alexion Pharmaceuticals Inc</v>
      </c>
      <c r="F2" s="8" cm="1">
        <f t="array" ref="F2">_xll.ASPortfolioInfo($C$2,F$1)</f>
        <v>43434</v>
      </c>
      <c r="G2" s="8" cm="1">
        <f t="array" ref="G2">_xll.ASPortfolioInfo($C$2,"Last Return Date")</f>
        <v>43861</v>
      </c>
      <c r="H2" s="8" t="str" cm="1">
        <f t="array" ref="H2">_xll.ASPortfolioInfo($C$2,H$1)</f>
        <v/>
      </c>
      <c r="I2" s="9" cm="1">
        <f t="array" ref="I2">_xll.ASPortfolioInfo($C$2,I$1)</f>
        <v>5.0000000000000001E-3</v>
      </c>
    </row>
    <row r="3" spans="1:9" x14ac:dyDescent="0.25">
      <c r="D3" t="str" cm="1">
        <f t="array" ref="D3">_xll.ASPortfolioInfo($C$2,"Benchmark 2")</f>
        <v>S&amp;P 500 Index</v>
      </c>
      <c r="E3" t="s">
        <v>316</v>
      </c>
    </row>
    <row r="4" spans="1:9" x14ac:dyDescent="0.25">
      <c r="E4" t="s">
        <v>288</v>
      </c>
    </row>
    <row r="5" spans="1:9" x14ac:dyDescent="0.25">
      <c r="E5" t="s">
        <v>317</v>
      </c>
    </row>
    <row r="6" spans="1:9" x14ac:dyDescent="0.25">
      <c r="E6" t="s">
        <v>289</v>
      </c>
    </row>
    <row r="7" spans="1:9" x14ac:dyDescent="0.25">
      <c r="E7" t="s">
        <v>290</v>
      </c>
    </row>
    <row r="8" spans="1:9" x14ac:dyDescent="0.25">
      <c r="E8" t="s">
        <v>291</v>
      </c>
    </row>
    <row r="9" spans="1:9" x14ac:dyDescent="0.25">
      <c r="E9" t="s">
        <v>292</v>
      </c>
    </row>
    <row r="10" spans="1:9" x14ac:dyDescent="0.25">
      <c r="E10" t="s">
        <v>293</v>
      </c>
    </row>
    <row r="11" spans="1:9" x14ac:dyDescent="0.25">
      <c r="E11" t="s">
        <v>294</v>
      </c>
    </row>
    <row r="12" spans="1:9" x14ac:dyDescent="0.25">
      <c r="E12" t="s">
        <v>272</v>
      </c>
    </row>
    <row r="13" spans="1:9" x14ac:dyDescent="0.25">
      <c r="E13" t="s">
        <v>318</v>
      </c>
    </row>
    <row r="14" spans="1:9" x14ac:dyDescent="0.25">
      <c r="E14" t="s">
        <v>319</v>
      </c>
    </row>
    <row r="15" spans="1:9" x14ac:dyDescent="0.25">
      <c r="E15" t="s">
        <v>295</v>
      </c>
    </row>
    <row r="16" spans="1:9" x14ac:dyDescent="0.25">
      <c r="E16" t="s">
        <v>320</v>
      </c>
    </row>
    <row r="17" spans="5:5" x14ac:dyDescent="0.25">
      <c r="E17" t="s">
        <v>296</v>
      </c>
    </row>
    <row r="18" spans="5:5" x14ac:dyDescent="0.25">
      <c r="E18" t="s">
        <v>321</v>
      </c>
    </row>
    <row r="19" spans="5:5" x14ac:dyDescent="0.25">
      <c r="E19" t="s">
        <v>322</v>
      </c>
    </row>
    <row r="20" spans="5:5" x14ac:dyDescent="0.25">
      <c r="E20" t="s">
        <v>323</v>
      </c>
    </row>
    <row r="21" spans="5:5" x14ac:dyDescent="0.25">
      <c r="E21" t="s">
        <v>273</v>
      </c>
    </row>
    <row r="22" spans="5:5" x14ac:dyDescent="0.25">
      <c r="E22" t="s">
        <v>324</v>
      </c>
    </row>
    <row r="23" spans="5:5" x14ac:dyDescent="0.25">
      <c r="E23" t="s">
        <v>274</v>
      </c>
    </row>
    <row r="24" spans="5:5" x14ac:dyDescent="0.25">
      <c r="E24" t="s">
        <v>15</v>
      </c>
    </row>
    <row r="25" spans="5:5" x14ac:dyDescent="0.25">
      <c r="E25" t="s">
        <v>16</v>
      </c>
    </row>
    <row r="26" spans="5:5" x14ac:dyDescent="0.25">
      <c r="E26" t="s">
        <v>275</v>
      </c>
    </row>
    <row r="27" spans="5:5" x14ac:dyDescent="0.25">
      <c r="E27" t="s">
        <v>297</v>
      </c>
    </row>
    <row r="28" spans="5:5" x14ac:dyDescent="0.25">
      <c r="E28" t="s">
        <v>325</v>
      </c>
    </row>
    <row r="29" spans="5:5" x14ac:dyDescent="0.25">
      <c r="E29" t="s">
        <v>298</v>
      </c>
    </row>
    <row r="30" spans="5:5" x14ac:dyDescent="0.25">
      <c r="E30" t="s">
        <v>299</v>
      </c>
    </row>
    <row r="31" spans="5:5" x14ac:dyDescent="0.25">
      <c r="E31" t="s">
        <v>300</v>
      </c>
    </row>
    <row r="32" spans="5:5" x14ac:dyDescent="0.25">
      <c r="E32" t="s">
        <v>301</v>
      </c>
    </row>
    <row r="33" spans="5:5" x14ac:dyDescent="0.25">
      <c r="E33" t="s">
        <v>302</v>
      </c>
    </row>
    <row r="34" spans="5:5" x14ac:dyDescent="0.25">
      <c r="E34" t="s">
        <v>276</v>
      </c>
    </row>
    <row r="35" spans="5:5" x14ac:dyDescent="0.25">
      <c r="E35" t="s">
        <v>17</v>
      </c>
    </row>
    <row r="36" spans="5:5" x14ac:dyDescent="0.25">
      <c r="E36" t="s">
        <v>303</v>
      </c>
    </row>
    <row r="37" spans="5:5" x14ac:dyDescent="0.25">
      <c r="E37" t="s">
        <v>304</v>
      </c>
    </row>
    <row r="38" spans="5:5" x14ac:dyDescent="0.25">
      <c r="E38" t="s">
        <v>305</v>
      </c>
    </row>
    <row r="39" spans="5:5" x14ac:dyDescent="0.25">
      <c r="E39" t="s">
        <v>306</v>
      </c>
    </row>
    <row r="40" spans="5:5" x14ac:dyDescent="0.25">
      <c r="E40" t="s">
        <v>326</v>
      </c>
    </row>
    <row r="41" spans="5:5" x14ac:dyDescent="0.25">
      <c r="E41" t="s">
        <v>327</v>
      </c>
    </row>
    <row r="42" spans="5:5" x14ac:dyDescent="0.25">
      <c r="E42" t="s">
        <v>277</v>
      </c>
    </row>
    <row r="43" spans="5:5" x14ac:dyDescent="0.25">
      <c r="E43" t="s">
        <v>307</v>
      </c>
    </row>
    <row r="44" spans="5:5" x14ac:dyDescent="0.25">
      <c r="E44" t="s">
        <v>308</v>
      </c>
    </row>
    <row r="45" spans="5:5" x14ac:dyDescent="0.25">
      <c r="E45" t="s">
        <v>309</v>
      </c>
    </row>
    <row r="46" spans="5:5" x14ac:dyDescent="0.25">
      <c r="E46" t="s">
        <v>278</v>
      </c>
    </row>
    <row r="47" spans="5:5" x14ac:dyDescent="0.25">
      <c r="E47" t="s">
        <v>279</v>
      </c>
    </row>
    <row r="48" spans="5:5" x14ac:dyDescent="0.25">
      <c r="E48" t="s">
        <v>280</v>
      </c>
    </row>
    <row r="49" spans="5:5" x14ac:dyDescent="0.25">
      <c r="E49" t="s">
        <v>213</v>
      </c>
    </row>
    <row r="50" spans="5:5" x14ac:dyDescent="0.25">
      <c r="E50" t="s">
        <v>328</v>
      </c>
    </row>
    <row r="51" spans="5:5" x14ac:dyDescent="0.25">
      <c r="E51" t="s">
        <v>310</v>
      </c>
    </row>
    <row r="52" spans="5:5" x14ac:dyDescent="0.25">
      <c r="E52" t="s">
        <v>329</v>
      </c>
    </row>
    <row r="53" spans="5:5" x14ac:dyDescent="0.25">
      <c r="E53" t="s">
        <v>281</v>
      </c>
    </row>
    <row r="54" spans="5:5" x14ac:dyDescent="0.25">
      <c r="E54" t="s">
        <v>330</v>
      </c>
    </row>
    <row r="55" spans="5:5" x14ac:dyDescent="0.25">
      <c r="E55" t="s">
        <v>311</v>
      </c>
    </row>
    <row r="56" spans="5:5" x14ac:dyDescent="0.25">
      <c r="E56" t="s">
        <v>282</v>
      </c>
    </row>
    <row r="57" spans="5:5" x14ac:dyDescent="0.25">
      <c r="E57" t="s">
        <v>312</v>
      </c>
    </row>
    <row r="58" spans="5:5" x14ac:dyDescent="0.25">
      <c r="E58" t="s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FF88-9306-43DA-AE44-B7B37849FA59}">
  <dimension ref="A1:N15"/>
  <sheetViews>
    <sheetView workbookViewId="0"/>
  </sheetViews>
  <sheetFormatPr defaultRowHeight="15" x14ac:dyDescent="0.25"/>
  <cols>
    <col min="1" max="14" width="8.855468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f>IFERROR(YEAR(EOMONTH('PBA Summary'!$G$2,0)),"")</f>
        <v>2020</v>
      </c>
      <c r="B2" s="63" cm="1">
        <f t="array" ref="B2">IF($A2="","",IF(EOMONTH(DATE($A2,1,1),0)&gt;EOMONTH('PBA Summary'!$G$2,0),"",IF(EOMONTH(DATE($A2,1,1),0)&lt;'PBA Summary'!$F$2,"",_xll.ASPortfolioStatistic('PBA Summary'!$C$2,"Return Last 1 Month","OR",,,'PBA Summary'!$H$2,"M",,EOMONTH(DATE($A2,1,1),0)))))</f>
        <v>2.2341490212190562E-2</v>
      </c>
      <c r="C2" s="63" t="str" cm="1">
        <f t="array" ref="C2">IF($A2="","",IF(EOMONTH(DATE($A2,2,1),0)&gt;EOMONTH('PBA Summary'!$G$2,0),"",IF(EOMONTH(DATE($A2,2,1),0)&lt;'PBA Summary'!$F$2,"",_xll.ASPortfolioStatistic('PBA Summary'!$C$2,"Return Last 1 Month","OR",,,'PBA Summary'!$H$2,"M",,EOMONTH(DATE($A2,2,1),0)))))</f>
        <v/>
      </c>
      <c r="D2" s="63" t="str" cm="1">
        <f t="array" ref="D2">IF($A2="","",IF(EOMONTH(DATE($A2,3,1),0)&gt;EOMONTH('PBA Summary'!$G$2,0),"",IF(EOMONTH(DATE($A2,3,1),0)&lt;'PBA Summary'!$F$2,"",_xll.ASPortfolioStatistic('PBA Summary'!$C$2,"Return Last 1 Month","OR",,,'PBA Summary'!$H$2,"M",,EOMONTH(DATE($A2,3,1),0)))))</f>
        <v/>
      </c>
      <c r="E2" s="63" t="str" cm="1">
        <f t="array" ref="E2">IF($A2="","",IF(EOMONTH(DATE($A2,4,1),0)&gt;EOMONTH('PBA Summary'!$G$2,0),"",IF(EOMONTH(DATE($A2,4,1),0)&lt;'PBA Summary'!$F$2,"",_xll.ASPortfolioStatistic('PBA Summary'!$C$2,"Return Last 1 Month","OR",,,'PBA Summary'!$H$2,"M",,EOMONTH(DATE($A2,4,1),0)))))</f>
        <v/>
      </c>
      <c r="F2" s="63" t="str" cm="1">
        <f t="array" ref="F2">IF($A2="","",IF(EOMONTH(DATE($A2,5,1),0)&gt;EOMONTH('PBA Summary'!$G$2,0),"",IF(EOMONTH(DATE($A2,5,1),0)&lt;'PBA Summary'!$F$2,"",_xll.ASPortfolioStatistic('PBA Summary'!$C$2,"Return Last 1 Month","OR",,,'PBA Summary'!$H$2,"M",,EOMONTH(DATE($A2,5,1),0)))))</f>
        <v/>
      </c>
      <c r="G2" s="63" t="str" cm="1">
        <f t="array" ref="G2">IF($A2="","",IF(EOMONTH(DATE($A2,6,1),0)&gt;EOMONTH('PBA Summary'!$G$2,0),"",IF(EOMONTH(DATE($A2,6,1),0)&lt;'PBA Summary'!$F$2,"",_xll.ASPortfolioStatistic('PBA Summary'!$C$2,"Return Last 1 Month","OR",,,'PBA Summary'!$H$2,"M",,EOMONTH(DATE($A2,6,1),0)))))</f>
        <v/>
      </c>
      <c r="H2" s="63" t="str" cm="1">
        <f t="array" ref="H2">IF($A2="","",IF(EOMONTH(DATE($A2,7,1),0)&gt;EOMONTH('PBA Summary'!$G$2,0),"",IF(EOMONTH(DATE($A2,7,1),0)&lt;'PBA Summary'!$F$2,"",_xll.ASPortfolioStatistic('PBA Summary'!$C$2,"Return Last 1 Month","OR",,,'PBA Summary'!$H$2,"M",,EOMONTH(DATE($A2,7,1),0)))))</f>
        <v/>
      </c>
      <c r="I2" s="63" t="str" cm="1">
        <f t="array" ref="I2">IF($A2="","",IF(EOMONTH(DATE($A2,8,1),0)&gt;EOMONTH('PBA Summary'!$G$2,0),"",IF(EOMONTH(DATE($A2,8,1),0)&lt;'PBA Summary'!$F$2,"",_xll.ASPortfolioStatistic('PBA Summary'!$C$2,"Return Last 1 Month","OR",,,'PBA Summary'!$H$2,"M",,EOMONTH(DATE($A2,8,1),0)))))</f>
        <v/>
      </c>
      <c r="J2" s="63" t="str" cm="1">
        <f t="array" ref="J2">IF($A2="","",IF(EOMONTH(DATE($A2,9,1),0)&gt;EOMONTH('PBA Summary'!$G$2,0),"",IF(EOMONTH(DATE($A2,9,1),0)&lt;'PBA Summary'!$F$2,"",_xll.ASPortfolioStatistic('PBA Summary'!$C$2,"Return Last 1 Month","OR",,,'PBA Summary'!$H$2,"M",,EOMONTH(DATE($A2,9,1),0)))))</f>
        <v/>
      </c>
      <c r="K2" s="63" t="str" cm="1">
        <f t="array" ref="K2">IF($A2="","",IF(EOMONTH(DATE($A2,10,1),0)&gt;EOMONTH('PBA Summary'!$G$2,0),"",IF(EOMONTH(DATE($A2,10,1),0)&lt;'PBA Summary'!$F$2,"",_xll.ASPortfolioStatistic('PBA Summary'!$C$2,"Return Last 1 Month","OR",,,'PBA Summary'!$H$2,"M",,EOMONTH(DATE($A2,10,1),0)))))</f>
        <v/>
      </c>
      <c r="L2" s="63" t="str" cm="1">
        <f t="array" ref="L2">IF($A2="","",IF(EOMONTH(DATE($A2,11,1),0)&gt;EOMONTH('PBA Summary'!$G$2,0),"",IF(EOMONTH(DATE($A2,11,1),0)&lt;'PBA Summary'!$F$2,"",_xll.ASPortfolioStatistic('PBA Summary'!$C$2,"Return Last 1 Month","OR",,,'PBA Summary'!$H$2,"M",,EOMONTH(DATE($A2,11,1),0)))))</f>
        <v/>
      </c>
      <c r="M2" s="63" t="str" cm="1">
        <f t="array" ref="M2">IF($A2="","",IF(EOMONTH(DATE($A2,12,1),0)&gt;EOMONTH('PBA Summary'!$G$2,0),"",IF(EOMONTH(DATE($A2,12,1),0)&lt;'PBA Summary'!$F$2,"",_xll.ASPortfolioStatistic('PBA Summary'!$C$2,"Return Last 1 Month","OR",,,'PBA Summary'!$H$2,"M",,EOMONTH(DATE($A2,12,1),0)))))</f>
        <v/>
      </c>
      <c r="N2" s="63" cm="1">
        <f t="array" ref="N2">IF($A2="","",_xll.ASPortfolioStatistic('PBA Summary'!$C$2,"year-to-date return","OR",,,'PBA Summary'!$H$2,"M",'PBA Summary'!$F$2,IF(EOMONTH(DATE($A2,12,1),0)&gt;EOMONTH('PBA Summary'!$G$2,0),EOMONTH('PBA Summary'!$G$2,0),EOMONTH(DATE($A2,12,1),0))))</f>
        <v>2.2341490212190562E-2</v>
      </c>
    </row>
    <row r="3" spans="1:14" x14ac:dyDescent="0.25">
      <c r="A3">
        <f>IFERROR(IF(YEAR('PBA Summary'!$F$2)&lt;A2,A2-1,""),"")</f>
        <v>2019</v>
      </c>
      <c r="B3" s="63" cm="1">
        <f t="array" ref="B3">IF($A3="","",IF(EOMONTH(DATE($A3,1,1),0)&gt;EOMONTH('PBA Summary'!$G$2,0),"",IF(EOMONTH(DATE($A3,1,1),0)&lt;'PBA Summary'!$F$2,"",_xll.ASPortfolioStatistic('PBA Summary'!$C$2,"Return Last 1 Month","OR",,,'PBA Summary'!$H$2,"M",,EOMONTH(DATE($A3,1,1),0)))))</f>
        <v>4.0819613713054537E-3</v>
      </c>
      <c r="C3" s="63" cm="1">
        <f t="array" ref="C3">IF($A3="","",IF(EOMONTH(DATE($A3,2,1),0)&gt;EOMONTH('PBA Summary'!$G$2,0),"",IF(EOMONTH(DATE($A3,2,1),0)&lt;'PBA Summary'!$F$2,"",_xll.ASPortfolioStatistic('PBA Summary'!$C$2,"Return Last 1 Month","OR",,,'PBA Summary'!$H$2,"M",,EOMONTH(DATE($A3,2,1),0)))))</f>
        <v>1.2015486517918506E-2</v>
      </c>
      <c r="D3" s="63" cm="1">
        <f t="array" ref="D3">IF($A3="","",IF(EOMONTH(DATE($A3,3,1),0)&gt;EOMONTH('PBA Summary'!$G$2,0),"",IF(EOMONTH(DATE($A3,3,1),0)&lt;'PBA Summary'!$F$2,"",_xll.ASPortfolioStatistic('PBA Summary'!$C$2,"Return Last 1 Month","OR",,,'PBA Summary'!$H$2,"M",,EOMONTH(DATE($A3,3,1),0)))))</f>
        <v>3.4551861290019081E-2</v>
      </c>
      <c r="E3" s="63" cm="1">
        <f t="array" ref="E3">IF($A3="","",IF(EOMONTH(DATE($A3,4,1),0)&gt;EOMONTH('PBA Summary'!$G$2,0),"",IF(EOMONTH(DATE($A3,4,1),0)&lt;'PBA Summary'!$F$2,"",_xll.ASPortfolioStatistic('PBA Summary'!$C$2,"Return Last 1 Month","OR",,,'PBA Summary'!$H$2,"M",,EOMONTH(DATE($A3,4,1),0)))))</f>
        <v>-1.7699250649072296E-2</v>
      </c>
      <c r="F3" s="63" cm="1">
        <f t="array" ref="F3">IF($A3="","",IF(EOMONTH(DATE($A3,5,1),0)&gt;EOMONTH('PBA Summary'!$G$2,0),"",IF(EOMONTH(DATE($A3,5,1),0)&lt;'PBA Summary'!$F$2,"",_xll.ASPortfolioStatistic('PBA Summary'!$C$2,"Return Last 1 Month","OR",,,'PBA Summary'!$H$2,"M",,EOMONTH(DATE($A3,5,1),0)))))</f>
        <v>-3.6801373324479858E-3</v>
      </c>
      <c r="G3" s="63" cm="1">
        <f t="array" ref="G3">IF($A3="","",IF(EOMONTH(DATE($A3,6,1),0)&gt;EOMONTH('PBA Summary'!$G$2,0),"",IF(EOMONTH(DATE($A3,6,1),0)&lt;'PBA Summary'!$F$2,"",_xll.ASPortfolioStatistic('PBA Summary'!$C$2,"Return Last 1 Month","OR",,,'PBA Summary'!$H$2,"M",,EOMONTH(DATE($A3,6,1),0)))))</f>
        <v>1.2421115861439347E-2</v>
      </c>
      <c r="H3" s="63" cm="1">
        <f t="array" ref="H3">IF($A3="","",IF(EOMONTH(DATE($A3,7,1),0)&gt;EOMONTH('PBA Summary'!$G$2,0),"",IF(EOMONTH(DATE($A3,7,1),0)&lt;'PBA Summary'!$F$2,"",_xll.ASPortfolioStatistic('PBA Summary'!$C$2,"Return Last 1 Month","OR",,,'PBA Summary'!$H$2,"M",,EOMONTH(DATE($A3,7,1),0)))))</f>
        <v>7.9763252679221353E-3</v>
      </c>
      <c r="I3" s="63" cm="1">
        <f t="array" ref="I3">IF($A3="","",IF(EOMONTH(DATE($A3,8,1),0)&gt;EOMONTH('PBA Summary'!$G$2,0),"",IF(EOMONTH(DATE($A3,8,1),0)&lt;'PBA Summary'!$F$2,"",_xll.ASPortfolioStatistic('PBA Summary'!$C$2,"Return Last 1 Month","OR",,,'PBA Summary'!$H$2,"M",,EOMONTH(DATE($A3,8,1),0)))))</f>
        <v>1.1479112091279831E-2</v>
      </c>
      <c r="J3" s="63" cm="1">
        <f t="array" ref="J3">IF($A3="","",IF(EOMONTH(DATE($A3,9,1),0)&gt;EOMONTH('PBA Summary'!$G$2,0),"",IF(EOMONTH(DATE($A3,9,1),0)&lt;'PBA Summary'!$F$2,"",_xll.ASPortfolioStatistic('PBA Summary'!$C$2,"Return Last 1 Month","OR",,,'PBA Summary'!$H$2,"M",,EOMONTH(DATE($A3,9,1),0)))))</f>
        <v>-2.4102493664416635E-2</v>
      </c>
      <c r="K3" s="63" cm="1">
        <f t="array" ref="K3">IF($A3="","",IF(EOMONTH(DATE($A3,10,1),0)&gt;EOMONTH('PBA Summary'!$G$2,0),"",IF(EOMONTH(DATE($A3,10,1),0)&lt;'PBA Summary'!$F$2,"",_xll.ASPortfolioStatistic('PBA Summary'!$C$2,"Return Last 1 Month","OR",,,'PBA Summary'!$H$2,"M",,EOMONTH(DATE($A3,10,1),0)))))</f>
        <v>7.6749505513178384E-3</v>
      </c>
      <c r="L3" s="63" cm="1">
        <f t="array" ref="L3">IF($A3="","",IF(EOMONTH(DATE($A3,11,1),0)&gt;EOMONTH('PBA Summary'!$G$2,0),"",IF(EOMONTH(DATE($A3,11,1),0)&lt;'PBA Summary'!$F$2,"",_xll.ASPortfolioStatistic('PBA Summary'!$C$2,"Return Last 1 Month","OR",,,'PBA Summary'!$H$2,"M",,EOMONTH(DATE($A3,11,1),0)))))</f>
        <v>1.0104864892452881E-2</v>
      </c>
      <c r="M3" s="63" cm="1">
        <f t="array" ref="M3">IF($A3="","",IF(EOMONTH(DATE($A3,12,1),0)&gt;EOMONTH('PBA Summary'!$G$2,0),"",IF(EOMONTH(DATE($A3,12,1),0)&lt;'PBA Summary'!$F$2,"",_xll.ASPortfolioStatistic('PBA Summary'!$C$2,"Return Last 1 Month","OR",,,'PBA Summary'!$H$2,"M",,EOMONTH(DATE($A3,12,1),0)))))</f>
        <v>2.6118774663588695E-2</v>
      </c>
      <c r="N3" s="63" cm="1">
        <f t="array" ref="N3">IF($A3="","",_xll.ASPortfolioStatistic('PBA Summary'!$C$2,"year-to-date return","OR",,,'PBA Summary'!$H$2,"M",'PBA Summary'!$F$2,IF(EOMONTH(DATE($A3,12,1),0)&gt;EOMONTH('PBA Summary'!$G$2,0),EOMONTH('PBA Summary'!$G$2,0),EOMONTH(DATE($A3,12,1),0))))</f>
        <v>8.2453044400795816E-2</v>
      </c>
    </row>
    <row r="4" spans="1:14" x14ac:dyDescent="0.25">
      <c r="A4">
        <f>IFERROR(IF(YEAR('PBA Summary'!$F$2)&lt;A3,A3-1,""),"")</f>
        <v>2018</v>
      </c>
      <c r="B4" s="63" t="str" cm="1">
        <f t="array" ref="B4">IF($A4="","",IF(EOMONTH(DATE($A4,1,1),0)&gt;EOMONTH('PBA Summary'!$G$2,0),"",IF(EOMONTH(DATE($A4,1,1),0)&lt;'PBA Summary'!$F$2,"",_xll.ASPortfolioStatistic('PBA Summary'!$C$2,"Return Last 1 Month","OR",,,'PBA Summary'!$H$2,"M",,EOMONTH(DATE($A4,1,1),0)))))</f>
        <v/>
      </c>
      <c r="C4" s="63" t="str" cm="1">
        <f t="array" ref="C4">IF($A4="","",IF(EOMONTH(DATE($A4,2,1),0)&gt;EOMONTH('PBA Summary'!$G$2,0),"",IF(EOMONTH(DATE($A4,2,1),0)&lt;'PBA Summary'!$F$2,"",_xll.ASPortfolioStatistic('PBA Summary'!$C$2,"Return Last 1 Month","OR",,,'PBA Summary'!$H$2,"M",,EOMONTH(DATE($A4,2,1),0)))))</f>
        <v/>
      </c>
      <c r="D4" s="63" t="str" cm="1">
        <f t="array" ref="D4">IF($A4="","",IF(EOMONTH(DATE($A4,3,1),0)&gt;EOMONTH('PBA Summary'!$G$2,0),"",IF(EOMONTH(DATE($A4,3,1),0)&lt;'PBA Summary'!$F$2,"",_xll.ASPortfolioStatistic('PBA Summary'!$C$2,"Return Last 1 Month","OR",,,'PBA Summary'!$H$2,"M",,EOMONTH(DATE($A4,3,1),0)))))</f>
        <v/>
      </c>
      <c r="E4" s="63" t="str" cm="1">
        <f t="array" ref="E4">IF($A4="","",IF(EOMONTH(DATE($A4,4,1),0)&gt;EOMONTH('PBA Summary'!$G$2,0),"",IF(EOMONTH(DATE($A4,4,1),0)&lt;'PBA Summary'!$F$2,"",_xll.ASPortfolioStatistic('PBA Summary'!$C$2,"Return Last 1 Month","OR",,,'PBA Summary'!$H$2,"M",,EOMONTH(DATE($A4,4,1),0)))))</f>
        <v/>
      </c>
      <c r="F4" s="63" t="str" cm="1">
        <f t="array" ref="F4">IF($A4="","",IF(EOMONTH(DATE($A4,5,1),0)&gt;EOMONTH('PBA Summary'!$G$2,0),"",IF(EOMONTH(DATE($A4,5,1),0)&lt;'PBA Summary'!$F$2,"",_xll.ASPortfolioStatistic('PBA Summary'!$C$2,"Return Last 1 Month","OR",,,'PBA Summary'!$H$2,"M",,EOMONTH(DATE($A4,5,1),0)))))</f>
        <v/>
      </c>
      <c r="G4" s="63" t="str" cm="1">
        <f t="array" ref="G4">IF($A4="","",IF(EOMONTH(DATE($A4,6,1),0)&gt;EOMONTH('PBA Summary'!$G$2,0),"",IF(EOMONTH(DATE($A4,6,1),0)&lt;'PBA Summary'!$F$2,"",_xll.ASPortfolioStatistic('PBA Summary'!$C$2,"Return Last 1 Month","OR",,,'PBA Summary'!$H$2,"M",,EOMONTH(DATE($A4,6,1),0)))))</f>
        <v/>
      </c>
      <c r="H4" s="63" t="str" cm="1">
        <f t="array" ref="H4">IF($A4="","",IF(EOMONTH(DATE($A4,7,1),0)&gt;EOMONTH('PBA Summary'!$G$2,0),"",IF(EOMONTH(DATE($A4,7,1),0)&lt;'PBA Summary'!$F$2,"",_xll.ASPortfolioStatistic('PBA Summary'!$C$2,"Return Last 1 Month","OR",,,'PBA Summary'!$H$2,"M",,EOMONTH(DATE($A4,7,1),0)))))</f>
        <v/>
      </c>
      <c r="I4" s="63" t="str" cm="1">
        <f t="array" ref="I4">IF($A4="","",IF(EOMONTH(DATE($A4,8,1),0)&gt;EOMONTH('PBA Summary'!$G$2,0),"",IF(EOMONTH(DATE($A4,8,1),0)&lt;'PBA Summary'!$F$2,"",_xll.ASPortfolioStatistic('PBA Summary'!$C$2,"Return Last 1 Month","OR",,,'PBA Summary'!$H$2,"M",,EOMONTH(DATE($A4,8,1),0)))))</f>
        <v/>
      </c>
      <c r="J4" s="63" t="str" cm="1">
        <f t="array" ref="J4">IF($A4="","",IF(EOMONTH(DATE($A4,9,1),0)&gt;EOMONTH('PBA Summary'!$G$2,0),"",IF(EOMONTH(DATE($A4,9,1),0)&lt;'PBA Summary'!$F$2,"",_xll.ASPortfolioStatistic('PBA Summary'!$C$2,"Return Last 1 Month","OR",,,'PBA Summary'!$H$2,"M",,EOMONTH(DATE($A4,9,1),0)))))</f>
        <v/>
      </c>
      <c r="K4" s="63" t="str" cm="1">
        <f t="array" ref="K4">IF($A4="","",IF(EOMONTH(DATE($A4,10,1),0)&gt;EOMONTH('PBA Summary'!$G$2,0),"",IF(EOMONTH(DATE($A4,10,1),0)&lt;'PBA Summary'!$F$2,"",_xll.ASPortfolioStatistic('PBA Summary'!$C$2,"Return Last 1 Month","OR",,,'PBA Summary'!$H$2,"M",,EOMONTH(DATE($A4,10,1),0)))))</f>
        <v/>
      </c>
      <c r="L4" s="63" cm="1">
        <f t="array" ref="L4">IF($A4="","",IF(EOMONTH(DATE($A4,11,1),0)&gt;EOMONTH('PBA Summary'!$G$2,0),"",IF(EOMONTH(DATE($A4,11,1),0)&lt;'PBA Summary'!$F$2,"",_xll.ASPortfolioStatistic('PBA Summary'!$C$2,"Return Last 1 Month","OR",,,'PBA Summary'!$H$2,"M",,EOMONTH(DATE($A4,11,1),0)))))</f>
        <v>1.3564867932183589E-2</v>
      </c>
      <c r="M4" s="63" cm="1">
        <f t="array" ref="M4">IF($A4="","",IF(EOMONTH(DATE($A4,12,1),0)&gt;EOMONTH('PBA Summary'!$G$2,0),"",IF(EOMONTH(DATE($A4,12,1),0)&lt;'PBA Summary'!$F$2,"",_xll.ASPortfolioStatistic('PBA Summary'!$C$2,"Return Last 1 Month","OR",,,'PBA Summary'!$H$2,"M",,EOMONTH(DATE($A4,12,1),0)))))</f>
        <v>-5.9671604749701457E-3</v>
      </c>
      <c r="N4" s="63" cm="1">
        <f t="array" ref="N4">IF($A4="","",_xll.ASPortfolioStatistic('PBA Summary'!$C$2,"year-to-date return","OR",,,'PBA Summary'!$H$2,"M",'PBA Summary'!$F$2,IF(EOMONTH(DATE($A4,12,1),0)&gt;EOMONTH('PBA Summary'!$G$2,0),EOMONTH('PBA Summary'!$G$2,0),EOMONTH(DATE($A4,12,1),0))))</f>
        <v>7.5167637134403442E-3</v>
      </c>
    </row>
    <row r="5" spans="1:14" x14ac:dyDescent="0.25">
      <c r="A5" t="str">
        <f>IFERROR(IF(YEAR('PBA Summary'!$F$2)&lt;A4,A4-1,""),"")</f>
        <v/>
      </c>
      <c r="B5" s="63" t="str" cm="1">
        <f t="array" ref="B5">IF($A5="","",IF(EOMONTH(DATE($A5,1,1),0)&gt;EOMONTH('PBA Summary'!$G$2,0),"",IF(EOMONTH(DATE($A5,1,1),0)&lt;'PBA Summary'!$F$2,"",_xll.ASPortfolioStatistic('PBA Summary'!$C$2,"Return Last 1 Month","OR",,,'PBA Summary'!$H$2,"M",,EOMONTH(DATE($A5,1,1),0)))))</f>
        <v/>
      </c>
      <c r="C5" s="63" t="str" cm="1">
        <f t="array" ref="C5">IF($A5="","",IF(EOMONTH(DATE($A5,2,1),0)&gt;EOMONTH('PBA Summary'!$G$2,0),"",IF(EOMONTH(DATE($A5,2,1),0)&lt;'PBA Summary'!$F$2,"",_xll.ASPortfolioStatistic('PBA Summary'!$C$2,"Return Last 1 Month","OR",,,'PBA Summary'!$H$2,"M",,EOMONTH(DATE($A5,2,1),0)))))</f>
        <v/>
      </c>
      <c r="D5" s="63" t="str" cm="1">
        <f t="array" ref="D5">IF($A5="","",IF(EOMONTH(DATE($A5,3,1),0)&gt;EOMONTH('PBA Summary'!$G$2,0),"",IF(EOMONTH(DATE($A5,3,1),0)&lt;'PBA Summary'!$F$2,"",_xll.ASPortfolioStatistic('PBA Summary'!$C$2,"Return Last 1 Month","OR",,,'PBA Summary'!$H$2,"M",,EOMONTH(DATE($A5,3,1),0)))))</f>
        <v/>
      </c>
      <c r="E5" s="63" t="str" cm="1">
        <f t="array" ref="E5">IF($A5="","",IF(EOMONTH(DATE($A5,4,1),0)&gt;EOMONTH('PBA Summary'!$G$2,0),"",IF(EOMONTH(DATE($A5,4,1),0)&lt;'PBA Summary'!$F$2,"",_xll.ASPortfolioStatistic('PBA Summary'!$C$2,"Return Last 1 Month","OR",,,'PBA Summary'!$H$2,"M",,EOMONTH(DATE($A5,4,1),0)))))</f>
        <v/>
      </c>
      <c r="F5" s="63" t="str" cm="1">
        <f t="array" ref="F5">IF($A5="","",IF(EOMONTH(DATE($A5,5,1),0)&gt;EOMONTH('PBA Summary'!$G$2,0),"",IF(EOMONTH(DATE($A5,5,1),0)&lt;'PBA Summary'!$F$2,"",_xll.ASPortfolioStatistic('PBA Summary'!$C$2,"Return Last 1 Month","OR",,,'PBA Summary'!$H$2,"M",,EOMONTH(DATE($A5,5,1),0)))))</f>
        <v/>
      </c>
      <c r="G5" s="63" t="str" cm="1">
        <f t="array" ref="G5">IF($A5="","",IF(EOMONTH(DATE($A5,6,1),0)&gt;EOMONTH('PBA Summary'!$G$2,0),"",IF(EOMONTH(DATE($A5,6,1),0)&lt;'PBA Summary'!$F$2,"",_xll.ASPortfolioStatistic('PBA Summary'!$C$2,"Return Last 1 Month","OR",,,'PBA Summary'!$H$2,"M",,EOMONTH(DATE($A5,6,1),0)))))</f>
        <v/>
      </c>
      <c r="H5" s="63" t="str" cm="1">
        <f t="array" ref="H5">IF($A5="","",IF(EOMONTH(DATE($A5,7,1),0)&gt;EOMONTH('PBA Summary'!$G$2,0),"",IF(EOMONTH(DATE($A5,7,1),0)&lt;'PBA Summary'!$F$2,"",_xll.ASPortfolioStatistic('PBA Summary'!$C$2,"Return Last 1 Month","OR",,,'PBA Summary'!$H$2,"M",,EOMONTH(DATE($A5,7,1),0)))))</f>
        <v/>
      </c>
      <c r="I5" s="63" t="str" cm="1">
        <f t="array" ref="I5">IF($A5="","",IF(EOMONTH(DATE($A5,8,1),0)&gt;EOMONTH('PBA Summary'!$G$2,0),"",IF(EOMONTH(DATE($A5,8,1),0)&lt;'PBA Summary'!$F$2,"",_xll.ASPortfolioStatistic('PBA Summary'!$C$2,"Return Last 1 Month","OR",,,'PBA Summary'!$H$2,"M",,EOMONTH(DATE($A5,8,1),0)))))</f>
        <v/>
      </c>
      <c r="J5" s="63" t="str" cm="1">
        <f t="array" ref="J5">IF($A5="","",IF(EOMONTH(DATE($A5,9,1),0)&gt;EOMONTH('PBA Summary'!$G$2,0),"",IF(EOMONTH(DATE($A5,9,1),0)&lt;'PBA Summary'!$F$2,"",_xll.ASPortfolioStatistic('PBA Summary'!$C$2,"Return Last 1 Month","OR",,,'PBA Summary'!$H$2,"M",,EOMONTH(DATE($A5,9,1),0)))))</f>
        <v/>
      </c>
      <c r="K5" s="63" t="str" cm="1">
        <f t="array" ref="K5">IF($A5="","",IF(EOMONTH(DATE($A5,10,1),0)&gt;EOMONTH('PBA Summary'!$G$2,0),"",IF(EOMONTH(DATE($A5,10,1),0)&lt;'PBA Summary'!$F$2,"",_xll.ASPortfolioStatistic('PBA Summary'!$C$2,"Return Last 1 Month","OR",,,'PBA Summary'!$H$2,"M",,EOMONTH(DATE($A5,10,1),0)))))</f>
        <v/>
      </c>
      <c r="L5" s="63" t="str" cm="1">
        <f t="array" ref="L5">IF($A5="","",IF(EOMONTH(DATE($A5,11,1),0)&gt;EOMONTH('PBA Summary'!$G$2,0),"",IF(EOMONTH(DATE($A5,11,1),0)&lt;'PBA Summary'!$F$2,"",_xll.ASPortfolioStatistic('PBA Summary'!$C$2,"Return Last 1 Month","OR",,,'PBA Summary'!$H$2,"M",,EOMONTH(DATE($A5,11,1),0)))))</f>
        <v/>
      </c>
      <c r="M5" s="63" t="str" cm="1">
        <f t="array" ref="M5">IF($A5="","",IF(EOMONTH(DATE($A5,12,1),0)&gt;EOMONTH('PBA Summary'!$G$2,0),"",IF(EOMONTH(DATE($A5,12,1),0)&lt;'PBA Summary'!$F$2,"",_xll.ASPortfolioStatistic('PBA Summary'!$C$2,"Return Last 1 Month","OR",,,'PBA Summary'!$H$2,"M",,EOMONTH(DATE($A5,12,1),0)))))</f>
        <v/>
      </c>
      <c r="N5" s="63" t="str" cm="1">
        <f t="array" ref="N5">IF($A5="","",_xll.ASPortfolioStatistic('PBA Summary'!$C$2,"year-to-date return","OR",,,'PBA Summary'!$H$2,"M",'PBA Summary'!$F$2,IF(EOMONTH(DATE($A5,12,1),0)&gt;EOMONTH('PBA Summary'!$G$2,0),EOMONTH('PBA Summary'!$G$2,0),EOMONTH(DATE($A5,12,1),0))))</f>
        <v/>
      </c>
    </row>
    <row r="6" spans="1:14" x14ac:dyDescent="0.25">
      <c r="A6" t="str">
        <f>IFERROR(IF(YEAR('PBA Summary'!$F$2)&lt;A5,A5-1,""),"")</f>
        <v/>
      </c>
      <c r="B6" s="63" t="str" cm="1">
        <f t="array" ref="B6">IF($A6="","",IF(EOMONTH(DATE($A6,1,1),0)&gt;EOMONTH('PBA Summary'!$G$2,0),"",IF(EOMONTH(DATE($A6,1,1),0)&lt;'PBA Summary'!$F$2,"",_xll.ASPortfolioStatistic('PBA Summary'!$C$2,"Return Last 1 Month","OR",,,'PBA Summary'!$H$2,"M",,EOMONTH(DATE($A6,1,1),0)))))</f>
        <v/>
      </c>
      <c r="C6" s="63" t="str" cm="1">
        <f t="array" ref="C6">IF($A6="","",IF(EOMONTH(DATE($A6,2,1),0)&gt;EOMONTH('PBA Summary'!$G$2,0),"",IF(EOMONTH(DATE($A6,2,1),0)&lt;'PBA Summary'!$F$2,"",_xll.ASPortfolioStatistic('PBA Summary'!$C$2,"Return Last 1 Month","OR",,,'PBA Summary'!$H$2,"M",,EOMONTH(DATE($A6,2,1),0)))))</f>
        <v/>
      </c>
      <c r="D6" s="63" t="str" cm="1">
        <f t="array" ref="D6">IF($A6="","",IF(EOMONTH(DATE($A6,3,1),0)&gt;EOMONTH('PBA Summary'!$G$2,0),"",IF(EOMONTH(DATE($A6,3,1),0)&lt;'PBA Summary'!$F$2,"",_xll.ASPortfolioStatistic('PBA Summary'!$C$2,"Return Last 1 Month","OR",,,'PBA Summary'!$H$2,"M",,EOMONTH(DATE($A6,3,1),0)))))</f>
        <v/>
      </c>
      <c r="E6" s="63" t="str" cm="1">
        <f t="array" ref="E6">IF($A6="","",IF(EOMONTH(DATE($A6,4,1),0)&gt;EOMONTH('PBA Summary'!$G$2,0),"",IF(EOMONTH(DATE($A6,4,1),0)&lt;'PBA Summary'!$F$2,"",_xll.ASPortfolioStatistic('PBA Summary'!$C$2,"Return Last 1 Month","OR",,,'PBA Summary'!$H$2,"M",,EOMONTH(DATE($A6,4,1),0)))))</f>
        <v/>
      </c>
      <c r="F6" s="63" t="str" cm="1">
        <f t="array" ref="F6">IF($A6="","",IF(EOMONTH(DATE($A6,5,1),0)&gt;EOMONTH('PBA Summary'!$G$2,0),"",IF(EOMONTH(DATE($A6,5,1),0)&lt;'PBA Summary'!$F$2,"",_xll.ASPortfolioStatistic('PBA Summary'!$C$2,"Return Last 1 Month","OR",,,'PBA Summary'!$H$2,"M",,EOMONTH(DATE($A6,5,1),0)))))</f>
        <v/>
      </c>
      <c r="G6" s="63" t="str" cm="1">
        <f t="array" ref="G6">IF($A6="","",IF(EOMONTH(DATE($A6,6,1),0)&gt;EOMONTH('PBA Summary'!$G$2,0),"",IF(EOMONTH(DATE($A6,6,1),0)&lt;'PBA Summary'!$F$2,"",_xll.ASPortfolioStatistic('PBA Summary'!$C$2,"Return Last 1 Month","OR",,,'PBA Summary'!$H$2,"M",,EOMONTH(DATE($A6,6,1),0)))))</f>
        <v/>
      </c>
      <c r="H6" s="63" t="str" cm="1">
        <f t="array" ref="H6">IF($A6="","",IF(EOMONTH(DATE($A6,7,1),0)&gt;EOMONTH('PBA Summary'!$G$2,0),"",IF(EOMONTH(DATE($A6,7,1),0)&lt;'PBA Summary'!$F$2,"",_xll.ASPortfolioStatistic('PBA Summary'!$C$2,"Return Last 1 Month","OR",,,'PBA Summary'!$H$2,"M",,EOMONTH(DATE($A6,7,1),0)))))</f>
        <v/>
      </c>
      <c r="I6" s="63" t="str" cm="1">
        <f t="array" ref="I6">IF($A6="","",IF(EOMONTH(DATE($A6,8,1),0)&gt;EOMONTH('PBA Summary'!$G$2,0),"",IF(EOMONTH(DATE($A6,8,1),0)&lt;'PBA Summary'!$F$2,"",_xll.ASPortfolioStatistic('PBA Summary'!$C$2,"Return Last 1 Month","OR",,,'PBA Summary'!$H$2,"M",,EOMONTH(DATE($A6,8,1),0)))))</f>
        <v/>
      </c>
      <c r="J6" s="63" t="str" cm="1">
        <f t="array" ref="J6">IF($A6="","",IF(EOMONTH(DATE($A6,9,1),0)&gt;EOMONTH('PBA Summary'!$G$2,0),"",IF(EOMONTH(DATE($A6,9,1),0)&lt;'PBA Summary'!$F$2,"",_xll.ASPortfolioStatistic('PBA Summary'!$C$2,"Return Last 1 Month","OR",,,'PBA Summary'!$H$2,"M",,EOMONTH(DATE($A6,9,1),0)))))</f>
        <v/>
      </c>
      <c r="K6" s="63" t="str" cm="1">
        <f t="array" ref="K6">IF($A6="","",IF(EOMONTH(DATE($A6,10,1),0)&gt;EOMONTH('PBA Summary'!$G$2,0),"",IF(EOMONTH(DATE($A6,10,1),0)&lt;'PBA Summary'!$F$2,"",_xll.ASPortfolioStatistic('PBA Summary'!$C$2,"Return Last 1 Month","OR",,,'PBA Summary'!$H$2,"M",,EOMONTH(DATE($A6,10,1),0)))))</f>
        <v/>
      </c>
      <c r="L6" s="63" t="str" cm="1">
        <f t="array" ref="L6">IF($A6="","",IF(EOMONTH(DATE($A6,11,1),0)&gt;EOMONTH('PBA Summary'!$G$2,0),"",IF(EOMONTH(DATE($A6,11,1),0)&lt;'PBA Summary'!$F$2,"",_xll.ASPortfolioStatistic('PBA Summary'!$C$2,"Return Last 1 Month","OR",,,'PBA Summary'!$H$2,"M",,EOMONTH(DATE($A6,11,1),0)))))</f>
        <v/>
      </c>
      <c r="M6" s="63" t="str" cm="1">
        <f t="array" ref="M6">IF($A6="","",IF(EOMONTH(DATE($A6,12,1),0)&gt;EOMONTH('PBA Summary'!$G$2,0),"",IF(EOMONTH(DATE($A6,12,1),0)&lt;'PBA Summary'!$F$2,"",_xll.ASPortfolioStatistic('PBA Summary'!$C$2,"Return Last 1 Month","OR",,,'PBA Summary'!$H$2,"M",,EOMONTH(DATE($A6,12,1),0)))))</f>
        <v/>
      </c>
      <c r="N6" s="63" t="str" cm="1">
        <f t="array" ref="N6">IF($A6="","",_xll.ASPortfolioStatistic('PBA Summary'!$C$2,"year-to-date return","OR",,,'PBA Summary'!$H$2,"M",'PBA Summary'!$F$2,IF(EOMONTH(DATE($A6,12,1),0)&gt;EOMONTH('PBA Summary'!$G$2,0),EOMONTH('PBA Summary'!$G$2,0),EOMONTH(DATE($A6,12,1),0))))</f>
        <v/>
      </c>
    </row>
    <row r="7" spans="1:14" x14ac:dyDescent="0.25">
      <c r="A7" t="str">
        <f>IFERROR(IF(YEAR('PBA Summary'!$F$2)&lt;A6,A6-1,""),"")</f>
        <v/>
      </c>
      <c r="B7" s="63" t="str" cm="1">
        <f t="array" ref="B7">IF($A7="","",IF(EOMONTH(DATE($A7,1,1),0)&gt;EOMONTH('PBA Summary'!$G$2,0),"",IF(EOMONTH(DATE($A7,1,1),0)&lt;'PBA Summary'!$F$2,"",_xll.ASPortfolioStatistic('PBA Summary'!$C$2,"Return Last 1 Month","OR",,,'PBA Summary'!$H$2,"M",,EOMONTH(DATE($A7,1,1),0)))))</f>
        <v/>
      </c>
      <c r="C7" s="63" t="str" cm="1">
        <f t="array" ref="C7">IF($A7="","",IF(EOMONTH(DATE($A7,2,1),0)&gt;EOMONTH('PBA Summary'!$G$2,0),"",IF(EOMONTH(DATE($A7,2,1),0)&lt;'PBA Summary'!$F$2,"",_xll.ASPortfolioStatistic('PBA Summary'!$C$2,"Return Last 1 Month","OR",,,'PBA Summary'!$H$2,"M",,EOMONTH(DATE($A7,2,1),0)))))</f>
        <v/>
      </c>
      <c r="D7" s="63" t="str" cm="1">
        <f t="array" ref="D7">IF($A7="","",IF(EOMONTH(DATE($A7,3,1),0)&gt;EOMONTH('PBA Summary'!$G$2,0),"",IF(EOMONTH(DATE($A7,3,1),0)&lt;'PBA Summary'!$F$2,"",_xll.ASPortfolioStatistic('PBA Summary'!$C$2,"Return Last 1 Month","OR",,,'PBA Summary'!$H$2,"M",,EOMONTH(DATE($A7,3,1),0)))))</f>
        <v/>
      </c>
      <c r="E7" s="63" t="str" cm="1">
        <f t="array" ref="E7">IF($A7="","",IF(EOMONTH(DATE($A7,4,1),0)&gt;EOMONTH('PBA Summary'!$G$2,0),"",IF(EOMONTH(DATE($A7,4,1),0)&lt;'PBA Summary'!$F$2,"",_xll.ASPortfolioStatistic('PBA Summary'!$C$2,"Return Last 1 Month","OR",,,'PBA Summary'!$H$2,"M",,EOMONTH(DATE($A7,4,1),0)))))</f>
        <v/>
      </c>
      <c r="F7" s="63" t="str" cm="1">
        <f t="array" ref="F7">IF($A7="","",IF(EOMONTH(DATE($A7,5,1),0)&gt;EOMONTH('PBA Summary'!$G$2,0),"",IF(EOMONTH(DATE($A7,5,1),0)&lt;'PBA Summary'!$F$2,"",_xll.ASPortfolioStatistic('PBA Summary'!$C$2,"Return Last 1 Month","OR",,,'PBA Summary'!$H$2,"M",,EOMONTH(DATE($A7,5,1),0)))))</f>
        <v/>
      </c>
      <c r="G7" s="63" t="str" cm="1">
        <f t="array" ref="G7">IF($A7="","",IF(EOMONTH(DATE($A7,6,1),0)&gt;EOMONTH('PBA Summary'!$G$2,0),"",IF(EOMONTH(DATE($A7,6,1),0)&lt;'PBA Summary'!$F$2,"",_xll.ASPortfolioStatistic('PBA Summary'!$C$2,"Return Last 1 Month","OR",,,'PBA Summary'!$H$2,"M",,EOMONTH(DATE($A7,6,1),0)))))</f>
        <v/>
      </c>
      <c r="H7" s="63" t="str" cm="1">
        <f t="array" ref="H7">IF($A7="","",IF(EOMONTH(DATE($A7,7,1),0)&gt;EOMONTH('PBA Summary'!$G$2,0),"",IF(EOMONTH(DATE($A7,7,1),0)&lt;'PBA Summary'!$F$2,"",_xll.ASPortfolioStatistic('PBA Summary'!$C$2,"Return Last 1 Month","OR",,,'PBA Summary'!$H$2,"M",,EOMONTH(DATE($A7,7,1),0)))))</f>
        <v/>
      </c>
      <c r="I7" s="63" t="str" cm="1">
        <f t="array" ref="I7">IF($A7="","",IF(EOMONTH(DATE($A7,8,1),0)&gt;EOMONTH('PBA Summary'!$G$2,0),"",IF(EOMONTH(DATE($A7,8,1),0)&lt;'PBA Summary'!$F$2,"",_xll.ASPortfolioStatistic('PBA Summary'!$C$2,"Return Last 1 Month","OR",,,'PBA Summary'!$H$2,"M",,EOMONTH(DATE($A7,8,1),0)))))</f>
        <v/>
      </c>
      <c r="J7" s="63" t="str" cm="1">
        <f t="array" ref="J7">IF($A7="","",IF(EOMONTH(DATE($A7,9,1),0)&gt;EOMONTH('PBA Summary'!$G$2,0),"",IF(EOMONTH(DATE($A7,9,1),0)&lt;'PBA Summary'!$F$2,"",_xll.ASPortfolioStatistic('PBA Summary'!$C$2,"Return Last 1 Month","OR",,,'PBA Summary'!$H$2,"M",,EOMONTH(DATE($A7,9,1),0)))))</f>
        <v/>
      </c>
      <c r="K7" s="63" t="str" cm="1">
        <f t="array" ref="K7">IF($A7="","",IF(EOMONTH(DATE($A7,10,1),0)&gt;EOMONTH('PBA Summary'!$G$2,0),"",IF(EOMONTH(DATE($A7,10,1),0)&lt;'PBA Summary'!$F$2,"",_xll.ASPortfolioStatistic('PBA Summary'!$C$2,"Return Last 1 Month","OR",,,'PBA Summary'!$H$2,"M",,EOMONTH(DATE($A7,10,1),0)))))</f>
        <v/>
      </c>
      <c r="L7" s="63" t="str" cm="1">
        <f t="array" ref="L7">IF($A7="","",IF(EOMONTH(DATE($A7,11,1),0)&gt;EOMONTH('PBA Summary'!$G$2,0),"",IF(EOMONTH(DATE($A7,11,1),0)&lt;'PBA Summary'!$F$2,"",_xll.ASPortfolioStatistic('PBA Summary'!$C$2,"Return Last 1 Month","OR",,,'PBA Summary'!$H$2,"M",,EOMONTH(DATE($A7,11,1),0)))))</f>
        <v/>
      </c>
      <c r="M7" s="63" t="str" cm="1">
        <f t="array" ref="M7">IF($A7="","",IF(EOMONTH(DATE($A7,12,1),0)&gt;EOMONTH('PBA Summary'!$G$2,0),"",IF(EOMONTH(DATE($A7,12,1),0)&lt;'PBA Summary'!$F$2,"",_xll.ASPortfolioStatistic('PBA Summary'!$C$2,"Return Last 1 Month","OR",,,'PBA Summary'!$H$2,"M",,EOMONTH(DATE($A7,12,1),0)))))</f>
        <v/>
      </c>
      <c r="N7" s="63" t="str" cm="1">
        <f t="array" ref="N7">IF($A7="","",_xll.ASPortfolioStatistic('PBA Summary'!$C$2,"year-to-date return","OR",,,'PBA Summary'!$H$2,"M",'PBA Summary'!$F$2,IF(EOMONTH(DATE($A7,12,1),0)&gt;EOMONTH('PBA Summary'!$G$2,0),EOMONTH('PBA Summary'!$G$2,0),EOMONTH(DATE($A7,12,1),0))))</f>
        <v/>
      </c>
    </row>
    <row r="8" spans="1:14" x14ac:dyDescent="0.25">
      <c r="A8" t="str">
        <f>IFERROR(IF(YEAR('PBA Summary'!$F$2)&lt;A7,A7-1,""),"")</f>
        <v/>
      </c>
      <c r="B8" s="63" t="str" cm="1">
        <f t="array" ref="B8">IF($A8="","",IF(EOMONTH(DATE($A8,1,1),0)&gt;EOMONTH('PBA Summary'!$G$2,0),"",IF(EOMONTH(DATE($A8,1,1),0)&lt;'PBA Summary'!$F$2,"",_xll.ASPortfolioStatistic('PBA Summary'!$C$2,"Return Last 1 Month","OR",,,'PBA Summary'!$H$2,"M",,EOMONTH(DATE($A8,1,1),0)))))</f>
        <v/>
      </c>
      <c r="C8" s="63" t="str" cm="1">
        <f t="array" ref="C8">IF($A8="","",IF(EOMONTH(DATE($A8,2,1),0)&gt;EOMONTH('PBA Summary'!$G$2,0),"",IF(EOMONTH(DATE($A8,2,1),0)&lt;'PBA Summary'!$F$2,"",_xll.ASPortfolioStatistic('PBA Summary'!$C$2,"Return Last 1 Month","OR",,,'PBA Summary'!$H$2,"M",,EOMONTH(DATE($A8,2,1),0)))))</f>
        <v/>
      </c>
      <c r="D8" s="63" t="str" cm="1">
        <f t="array" ref="D8">IF($A8="","",IF(EOMONTH(DATE($A8,3,1),0)&gt;EOMONTH('PBA Summary'!$G$2,0),"",IF(EOMONTH(DATE($A8,3,1),0)&lt;'PBA Summary'!$F$2,"",_xll.ASPortfolioStatistic('PBA Summary'!$C$2,"Return Last 1 Month","OR",,,'PBA Summary'!$H$2,"M",,EOMONTH(DATE($A8,3,1),0)))))</f>
        <v/>
      </c>
      <c r="E8" s="63" t="str" cm="1">
        <f t="array" ref="E8">IF($A8="","",IF(EOMONTH(DATE($A8,4,1),0)&gt;EOMONTH('PBA Summary'!$G$2,0),"",IF(EOMONTH(DATE($A8,4,1),0)&lt;'PBA Summary'!$F$2,"",_xll.ASPortfolioStatistic('PBA Summary'!$C$2,"Return Last 1 Month","OR",,,'PBA Summary'!$H$2,"M",,EOMONTH(DATE($A8,4,1),0)))))</f>
        <v/>
      </c>
      <c r="F8" s="63" t="str" cm="1">
        <f t="array" ref="F8">IF($A8="","",IF(EOMONTH(DATE($A8,5,1),0)&gt;EOMONTH('PBA Summary'!$G$2,0),"",IF(EOMONTH(DATE($A8,5,1),0)&lt;'PBA Summary'!$F$2,"",_xll.ASPortfolioStatistic('PBA Summary'!$C$2,"Return Last 1 Month","OR",,,'PBA Summary'!$H$2,"M",,EOMONTH(DATE($A8,5,1),0)))))</f>
        <v/>
      </c>
      <c r="G8" s="63" t="str" cm="1">
        <f t="array" ref="G8">IF($A8="","",IF(EOMONTH(DATE($A8,6,1),0)&gt;EOMONTH('PBA Summary'!$G$2,0),"",IF(EOMONTH(DATE($A8,6,1),0)&lt;'PBA Summary'!$F$2,"",_xll.ASPortfolioStatistic('PBA Summary'!$C$2,"Return Last 1 Month","OR",,,'PBA Summary'!$H$2,"M",,EOMONTH(DATE($A8,6,1),0)))))</f>
        <v/>
      </c>
      <c r="H8" s="63" t="str" cm="1">
        <f t="array" ref="H8">IF($A8="","",IF(EOMONTH(DATE($A8,7,1),0)&gt;EOMONTH('PBA Summary'!$G$2,0),"",IF(EOMONTH(DATE($A8,7,1),0)&lt;'PBA Summary'!$F$2,"",_xll.ASPortfolioStatistic('PBA Summary'!$C$2,"Return Last 1 Month","OR",,,'PBA Summary'!$H$2,"M",,EOMONTH(DATE($A8,7,1),0)))))</f>
        <v/>
      </c>
      <c r="I8" s="63" t="str" cm="1">
        <f t="array" ref="I8">IF($A8="","",IF(EOMONTH(DATE($A8,8,1),0)&gt;EOMONTH('PBA Summary'!$G$2,0),"",IF(EOMONTH(DATE($A8,8,1),0)&lt;'PBA Summary'!$F$2,"",_xll.ASPortfolioStatistic('PBA Summary'!$C$2,"Return Last 1 Month","OR",,,'PBA Summary'!$H$2,"M",,EOMONTH(DATE($A8,8,1),0)))))</f>
        <v/>
      </c>
      <c r="J8" s="63" t="str" cm="1">
        <f t="array" ref="J8">IF($A8="","",IF(EOMONTH(DATE($A8,9,1),0)&gt;EOMONTH('PBA Summary'!$G$2,0),"",IF(EOMONTH(DATE($A8,9,1),0)&lt;'PBA Summary'!$F$2,"",_xll.ASPortfolioStatistic('PBA Summary'!$C$2,"Return Last 1 Month","OR",,,'PBA Summary'!$H$2,"M",,EOMONTH(DATE($A8,9,1),0)))))</f>
        <v/>
      </c>
      <c r="K8" s="63" t="str" cm="1">
        <f t="array" ref="K8">IF($A8="","",IF(EOMONTH(DATE($A8,10,1),0)&gt;EOMONTH('PBA Summary'!$G$2,0),"",IF(EOMONTH(DATE($A8,10,1),0)&lt;'PBA Summary'!$F$2,"",_xll.ASPortfolioStatistic('PBA Summary'!$C$2,"Return Last 1 Month","OR",,,'PBA Summary'!$H$2,"M",,EOMONTH(DATE($A8,10,1),0)))))</f>
        <v/>
      </c>
      <c r="L8" s="63" t="str" cm="1">
        <f t="array" ref="L8">IF($A8="","",IF(EOMONTH(DATE($A8,11,1),0)&gt;EOMONTH('PBA Summary'!$G$2,0),"",IF(EOMONTH(DATE($A8,11,1),0)&lt;'PBA Summary'!$F$2,"",_xll.ASPortfolioStatistic('PBA Summary'!$C$2,"Return Last 1 Month","OR",,,'PBA Summary'!$H$2,"M",,EOMONTH(DATE($A8,11,1),0)))))</f>
        <v/>
      </c>
      <c r="M8" s="63" t="str" cm="1">
        <f t="array" ref="M8">IF($A8="","",IF(EOMONTH(DATE($A8,12,1),0)&gt;EOMONTH('PBA Summary'!$G$2,0),"",IF(EOMONTH(DATE($A8,12,1),0)&lt;'PBA Summary'!$F$2,"",_xll.ASPortfolioStatistic('PBA Summary'!$C$2,"Return Last 1 Month","OR",,,'PBA Summary'!$H$2,"M",,EOMONTH(DATE($A8,12,1),0)))))</f>
        <v/>
      </c>
      <c r="N8" s="63" t="str" cm="1">
        <f t="array" ref="N8">IF($A8="","",_xll.ASPortfolioStatistic('PBA Summary'!$C$2,"year-to-date return","OR",,,'PBA Summary'!$H$2,"M",'PBA Summary'!$F$2,IF(EOMONTH(DATE($A8,12,1),0)&gt;EOMONTH('PBA Summary'!$G$2,0),EOMONTH('PBA Summary'!$G$2,0),EOMONTH(DATE($A8,12,1),0))))</f>
        <v/>
      </c>
    </row>
    <row r="9" spans="1:14" x14ac:dyDescent="0.25">
      <c r="A9" t="str">
        <f>IFERROR(IF(YEAR('PBA Summary'!$F$2)&lt;A8,A8-1,""),"")</f>
        <v/>
      </c>
      <c r="B9" s="63" t="str" cm="1">
        <f t="array" ref="B9">IF($A9="","",IF(EOMONTH(DATE($A9,1,1),0)&gt;EOMONTH('PBA Summary'!$G$2,0),"",IF(EOMONTH(DATE($A9,1,1),0)&lt;'PBA Summary'!$F$2,"",_xll.ASPortfolioStatistic('PBA Summary'!$C$2,"Return Last 1 Month","OR",,,'PBA Summary'!$H$2,"M",,EOMONTH(DATE($A9,1,1),0)))))</f>
        <v/>
      </c>
      <c r="C9" s="63" t="str" cm="1">
        <f t="array" ref="C9">IF($A9="","",IF(EOMONTH(DATE($A9,2,1),0)&gt;EOMONTH('PBA Summary'!$G$2,0),"",IF(EOMONTH(DATE($A9,2,1),0)&lt;'PBA Summary'!$F$2,"",_xll.ASPortfolioStatistic('PBA Summary'!$C$2,"Return Last 1 Month","OR",,,'PBA Summary'!$H$2,"M",,EOMONTH(DATE($A9,2,1),0)))))</f>
        <v/>
      </c>
      <c r="D9" s="63" t="str" cm="1">
        <f t="array" ref="D9">IF($A9="","",IF(EOMONTH(DATE($A9,3,1),0)&gt;EOMONTH('PBA Summary'!$G$2,0),"",IF(EOMONTH(DATE($A9,3,1),0)&lt;'PBA Summary'!$F$2,"",_xll.ASPortfolioStatistic('PBA Summary'!$C$2,"Return Last 1 Month","OR",,,'PBA Summary'!$H$2,"M",,EOMONTH(DATE($A9,3,1),0)))))</f>
        <v/>
      </c>
      <c r="E9" s="63" t="str" cm="1">
        <f t="array" ref="E9">IF($A9="","",IF(EOMONTH(DATE($A9,4,1),0)&gt;EOMONTH('PBA Summary'!$G$2,0),"",IF(EOMONTH(DATE($A9,4,1),0)&lt;'PBA Summary'!$F$2,"",_xll.ASPortfolioStatistic('PBA Summary'!$C$2,"Return Last 1 Month","OR",,,'PBA Summary'!$H$2,"M",,EOMONTH(DATE($A9,4,1),0)))))</f>
        <v/>
      </c>
      <c r="F9" s="63" t="str" cm="1">
        <f t="array" ref="F9">IF($A9="","",IF(EOMONTH(DATE($A9,5,1),0)&gt;EOMONTH('PBA Summary'!$G$2,0),"",IF(EOMONTH(DATE($A9,5,1),0)&lt;'PBA Summary'!$F$2,"",_xll.ASPortfolioStatistic('PBA Summary'!$C$2,"Return Last 1 Month","OR",,,'PBA Summary'!$H$2,"M",,EOMONTH(DATE($A9,5,1),0)))))</f>
        <v/>
      </c>
      <c r="G9" s="63" t="str" cm="1">
        <f t="array" ref="G9">IF($A9="","",IF(EOMONTH(DATE($A9,6,1),0)&gt;EOMONTH('PBA Summary'!$G$2,0),"",IF(EOMONTH(DATE($A9,6,1),0)&lt;'PBA Summary'!$F$2,"",_xll.ASPortfolioStatistic('PBA Summary'!$C$2,"Return Last 1 Month","OR",,,'PBA Summary'!$H$2,"M",,EOMONTH(DATE($A9,6,1),0)))))</f>
        <v/>
      </c>
      <c r="H9" s="63" t="str" cm="1">
        <f t="array" ref="H9">IF($A9="","",IF(EOMONTH(DATE($A9,7,1),0)&gt;EOMONTH('PBA Summary'!$G$2,0),"",IF(EOMONTH(DATE($A9,7,1),0)&lt;'PBA Summary'!$F$2,"",_xll.ASPortfolioStatistic('PBA Summary'!$C$2,"Return Last 1 Month","OR",,,'PBA Summary'!$H$2,"M",,EOMONTH(DATE($A9,7,1),0)))))</f>
        <v/>
      </c>
      <c r="I9" s="63" t="str" cm="1">
        <f t="array" ref="I9">IF($A9="","",IF(EOMONTH(DATE($A9,8,1),0)&gt;EOMONTH('PBA Summary'!$G$2,0),"",IF(EOMONTH(DATE($A9,8,1),0)&lt;'PBA Summary'!$F$2,"",_xll.ASPortfolioStatistic('PBA Summary'!$C$2,"Return Last 1 Month","OR",,,'PBA Summary'!$H$2,"M",,EOMONTH(DATE($A9,8,1),0)))))</f>
        <v/>
      </c>
      <c r="J9" s="63" t="str" cm="1">
        <f t="array" ref="J9">IF($A9="","",IF(EOMONTH(DATE($A9,9,1),0)&gt;EOMONTH('PBA Summary'!$G$2,0),"",IF(EOMONTH(DATE($A9,9,1),0)&lt;'PBA Summary'!$F$2,"",_xll.ASPortfolioStatistic('PBA Summary'!$C$2,"Return Last 1 Month","OR",,,'PBA Summary'!$H$2,"M",,EOMONTH(DATE($A9,9,1),0)))))</f>
        <v/>
      </c>
      <c r="K9" s="63" t="str" cm="1">
        <f t="array" ref="K9">IF($A9="","",IF(EOMONTH(DATE($A9,10,1),0)&gt;EOMONTH('PBA Summary'!$G$2,0),"",IF(EOMONTH(DATE($A9,10,1),0)&lt;'PBA Summary'!$F$2,"",_xll.ASPortfolioStatistic('PBA Summary'!$C$2,"Return Last 1 Month","OR",,,'PBA Summary'!$H$2,"M",,EOMONTH(DATE($A9,10,1),0)))))</f>
        <v/>
      </c>
      <c r="L9" s="63" t="str" cm="1">
        <f t="array" ref="L9">IF($A9="","",IF(EOMONTH(DATE($A9,11,1),0)&gt;EOMONTH('PBA Summary'!$G$2,0),"",IF(EOMONTH(DATE($A9,11,1),0)&lt;'PBA Summary'!$F$2,"",_xll.ASPortfolioStatistic('PBA Summary'!$C$2,"Return Last 1 Month","OR",,,'PBA Summary'!$H$2,"M",,EOMONTH(DATE($A9,11,1),0)))))</f>
        <v/>
      </c>
      <c r="M9" s="63" t="str" cm="1">
        <f t="array" ref="M9">IF($A9="","",IF(EOMONTH(DATE($A9,12,1),0)&gt;EOMONTH('PBA Summary'!$G$2,0),"",IF(EOMONTH(DATE($A9,12,1),0)&lt;'PBA Summary'!$F$2,"",_xll.ASPortfolioStatistic('PBA Summary'!$C$2,"Return Last 1 Month","OR",,,'PBA Summary'!$H$2,"M",,EOMONTH(DATE($A9,12,1),0)))))</f>
        <v/>
      </c>
      <c r="N9" s="63" t="str" cm="1">
        <f t="array" ref="N9">IF($A9="","",_xll.ASPortfolioStatistic('PBA Summary'!$C$2,"year-to-date return","OR",,,'PBA Summary'!$H$2,"M",'PBA Summary'!$F$2,IF(EOMONTH(DATE($A9,12,1),0)&gt;EOMONTH('PBA Summary'!$G$2,0),EOMONTH('PBA Summary'!$G$2,0),EOMONTH(DATE($A9,12,1),0))))</f>
        <v/>
      </c>
    </row>
    <row r="10" spans="1:14" x14ac:dyDescent="0.25">
      <c r="A10" t="str">
        <f>IFERROR(IF(YEAR('PBA Summary'!$F$2)&lt;A9,A9-1,""),"")</f>
        <v/>
      </c>
      <c r="B10" s="63" t="str" cm="1">
        <f t="array" ref="B10">IF($A10="","",IF(EOMONTH(DATE($A10,1,1),0)&gt;EOMONTH('PBA Summary'!$G$2,0),"",IF(EOMONTH(DATE($A10,1,1),0)&lt;'PBA Summary'!$F$2,"",_xll.ASPortfolioStatistic('PBA Summary'!$C$2,"Return Last 1 Month","OR",,,'PBA Summary'!$H$2,"M",,EOMONTH(DATE($A10,1,1),0)))))</f>
        <v/>
      </c>
      <c r="C10" s="63" t="str" cm="1">
        <f t="array" ref="C10">IF($A10="","",IF(EOMONTH(DATE($A10,2,1),0)&gt;EOMONTH('PBA Summary'!$G$2,0),"",IF(EOMONTH(DATE($A10,2,1),0)&lt;'PBA Summary'!$F$2,"",_xll.ASPortfolioStatistic('PBA Summary'!$C$2,"Return Last 1 Month","OR",,,'PBA Summary'!$H$2,"M",,EOMONTH(DATE($A10,2,1),0)))))</f>
        <v/>
      </c>
      <c r="D10" s="63" t="str" cm="1">
        <f t="array" ref="D10">IF($A10="","",IF(EOMONTH(DATE($A10,3,1),0)&gt;EOMONTH('PBA Summary'!$G$2,0),"",IF(EOMONTH(DATE($A10,3,1),0)&lt;'PBA Summary'!$F$2,"",_xll.ASPortfolioStatistic('PBA Summary'!$C$2,"Return Last 1 Month","OR",,,'PBA Summary'!$H$2,"M",,EOMONTH(DATE($A10,3,1),0)))))</f>
        <v/>
      </c>
      <c r="E10" s="63" t="str" cm="1">
        <f t="array" ref="E10">IF($A10="","",IF(EOMONTH(DATE($A10,4,1),0)&gt;EOMONTH('PBA Summary'!$G$2,0),"",IF(EOMONTH(DATE($A10,4,1),0)&lt;'PBA Summary'!$F$2,"",_xll.ASPortfolioStatistic('PBA Summary'!$C$2,"Return Last 1 Month","OR",,,'PBA Summary'!$H$2,"M",,EOMONTH(DATE($A10,4,1),0)))))</f>
        <v/>
      </c>
      <c r="F10" s="63" t="str" cm="1">
        <f t="array" ref="F10">IF($A10="","",IF(EOMONTH(DATE($A10,5,1),0)&gt;EOMONTH('PBA Summary'!$G$2,0),"",IF(EOMONTH(DATE($A10,5,1),0)&lt;'PBA Summary'!$F$2,"",_xll.ASPortfolioStatistic('PBA Summary'!$C$2,"Return Last 1 Month","OR",,,'PBA Summary'!$H$2,"M",,EOMONTH(DATE($A10,5,1),0)))))</f>
        <v/>
      </c>
      <c r="G10" s="63" t="str" cm="1">
        <f t="array" ref="G10">IF($A10="","",IF(EOMONTH(DATE($A10,6,1),0)&gt;EOMONTH('PBA Summary'!$G$2,0),"",IF(EOMONTH(DATE($A10,6,1),0)&lt;'PBA Summary'!$F$2,"",_xll.ASPortfolioStatistic('PBA Summary'!$C$2,"Return Last 1 Month","OR",,,'PBA Summary'!$H$2,"M",,EOMONTH(DATE($A10,6,1),0)))))</f>
        <v/>
      </c>
      <c r="H10" s="63" t="str" cm="1">
        <f t="array" ref="H10">IF($A10="","",IF(EOMONTH(DATE($A10,7,1),0)&gt;EOMONTH('PBA Summary'!$G$2,0),"",IF(EOMONTH(DATE($A10,7,1),0)&lt;'PBA Summary'!$F$2,"",_xll.ASPortfolioStatistic('PBA Summary'!$C$2,"Return Last 1 Month","OR",,,'PBA Summary'!$H$2,"M",,EOMONTH(DATE($A10,7,1),0)))))</f>
        <v/>
      </c>
      <c r="I10" s="63" t="str" cm="1">
        <f t="array" ref="I10">IF($A10="","",IF(EOMONTH(DATE($A10,8,1),0)&gt;EOMONTH('PBA Summary'!$G$2,0),"",IF(EOMONTH(DATE($A10,8,1),0)&lt;'PBA Summary'!$F$2,"",_xll.ASPortfolioStatistic('PBA Summary'!$C$2,"Return Last 1 Month","OR",,,'PBA Summary'!$H$2,"M",,EOMONTH(DATE($A10,8,1),0)))))</f>
        <v/>
      </c>
      <c r="J10" s="63" t="str" cm="1">
        <f t="array" ref="J10">IF($A10="","",IF(EOMONTH(DATE($A10,9,1),0)&gt;EOMONTH('PBA Summary'!$G$2,0),"",IF(EOMONTH(DATE($A10,9,1),0)&lt;'PBA Summary'!$F$2,"",_xll.ASPortfolioStatistic('PBA Summary'!$C$2,"Return Last 1 Month","OR",,,'PBA Summary'!$H$2,"M",,EOMONTH(DATE($A10,9,1),0)))))</f>
        <v/>
      </c>
      <c r="K10" s="63" t="str" cm="1">
        <f t="array" ref="K10">IF($A10="","",IF(EOMONTH(DATE($A10,10,1),0)&gt;EOMONTH('PBA Summary'!$G$2,0),"",IF(EOMONTH(DATE($A10,10,1),0)&lt;'PBA Summary'!$F$2,"",_xll.ASPortfolioStatistic('PBA Summary'!$C$2,"Return Last 1 Month","OR",,,'PBA Summary'!$H$2,"M",,EOMONTH(DATE($A10,10,1),0)))))</f>
        <v/>
      </c>
      <c r="L10" s="63" t="str" cm="1">
        <f t="array" ref="L10">IF($A10="","",IF(EOMONTH(DATE($A10,11,1),0)&gt;EOMONTH('PBA Summary'!$G$2,0),"",IF(EOMONTH(DATE($A10,11,1),0)&lt;'PBA Summary'!$F$2,"",_xll.ASPortfolioStatistic('PBA Summary'!$C$2,"Return Last 1 Month","OR",,,'PBA Summary'!$H$2,"M",,EOMONTH(DATE($A10,11,1),0)))))</f>
        <v/>
      </c>
      <c r="M10" s="63" t="str" cm="1">
        <f t="array" ref="M10">IF($A10="","",IF(EOMONTH(DATE($A10,12,1),0)&gt;EOMONTH('PBA Summary'!$G$2,0),"",IF(EOMONTH(DATE($A10,12,1),0)&lt;'PBA Summary'!$F$2,"",_xll.ASPortfolioStatistic('PBA Summary'!$C$2,"Return Last 1 Month","OR",,,'PBA Summary'!$H$2,"M",,EOMONTH(DATE($A10,12,1),0)))))</f>
        <v/>
      </c>
      <c r="N10" s="63" t="str" cm="1">
        <f t="array" ref="N10">IF($A10="","",_xll.ASPortfolioStatistic('PBA Summary'!$C$2,"year-to-date return","OR",,,'PBA Summary'!$H$2,"M",'PBA Summary'!$F$2,IF(EOMONTH(DATE($A10,12,1),0)&gt;EOMONTH('PBA Summary'!$G$2,0),EOMONTH('PBA Summary'!$G$2,0),EOMONTH(DATE($A10,12,1),0))))</f>
        <v/>
      </c>
    </row>
    <row r="11" spans="1:14" x14ac:dyDescent="0.25">
      <c r="A11" t="str">
        <f>IFERROR(IF(YEAR('PBA Summary'!$F$2)&lt;A10,A10-1,""),"")</f>
        <v/>
      </c>
      <c r="B11" s="63" t="str" cm="1">
        <f t="array" ref="B11">IF($A11="","",IF(EOMONTH(DATE($A11,1,1),0)&gt;EOMONTH('PBA Summary'!$G$2,0),"",IF(EOMONTH(DATE($A11,1,1),0)&lt;'PBA Summary'!$F$2,"",_xll.ASPortfolioStatistic('PBA Summary'!$C$2,"Return Last 1 Month","OR",,,'PBA Summary'!$H$2,"M",,EOMONTH(DATE($A11,1,1),0)))))</f>
        <v/>
      </c>
      <c r="C11" s="63" t="str" cm="1">
        <f t="array" ref="C11">IF($A11="","",IF(EOMONTH(DATE($A11,2,1),0)&gt;EOMONTH('PBA Summary'!$G$2,0),"",IF(EOMONTH(DATE($A11,2,1),0)&lt;'PBA Summary'!$F$2,"",_xll.ASPortfolioStatistic('PBA Summary'!$C$2,"Return Last 1 Month","OR",,,'PBA Summary'!$H$2,"M",,EOMONTH(DATE($A11,2,1),0)))))</f>
        <v/>
      </c>
      <c r="D11" s="63" t="str" cm="1">
        <f t="array" ref="D11">IF($A11="","",IF(EOMONTH(DATE($A11,3,1),0)&gt;EOMONTH('PBA Summary'!$G$2,0),"",IF(EOMONTH(DATE($A11,3,1),0)&lt;'PBA Summary'!$F$2,"",_xll.ASPortfolioStatistic('PBA Summary'!$C$2,"Return Last 1 Month","OR",,,'PBA Summary'!$H$2,"M",,EOMONTH(DATE($A11,3,1),0)))))</f>
        <v/>
      </c>
      <c r="E11" s="63" t="str" cm="1">
        <f t="array" ref="E11">IF($A11="","",IF(EOMONTH(DATE($A11,4,1),0)&gt;EOMONTH('PBA Summary'!$G$2,0),"",IF(EOMONTH(DATE($A11,4,1),0)&lt;'PBA Summary'!$F$2,"",_xll.ASPortfolioStatistic('PBA Summary'!$C$2,"Return Last 1 Month","OR",,,'PBA Summary'!$H$2,"M",,EOMONTH(DATE($A11,4,1),0)))))</f>
        <v/>
      </c>
      <c r="F11" s="63" t="str" cm="1">
        <f t="array" ref="F11">IF($A11="","",IF(EOMONTH(DATE($A11,5,1),0)&gt;EOMONTH('PBA Summary'!$G$2,0),"",IF(EOMONTH(DATE($A11,5,1),0)&lt;'PBA Summary'!$F$2,"",_xll.ASPortfolioStatistic('PBA Summary'!$C$2,"Return Last 1 Month","OR",,,'PBA Summary'!$H$2,"M",,EOMONTH(DATE($A11,5,1),0)))))</f>
        <v/>
      </c>
      <c r="G11" s="63" t="str" cm="1">
        <f t="array" ref="G11">IF($A11="","",IF(EOMONTH(DATE($A11,6,1),0)&gt;EOMONTH('PBA Summary'!$G$2,0),"",IF(EOMONTH(DATE($A11,6,1),0)&lt;'PBA Summary'!$F$2,"",_xll.ASPortfolioStatistic('PBA Summary'!$C$2,"Return Last 1 Month","OR",,,'PBA Summary'!$H$2,"M",,EOMONTH(DATE($A11,6,1),0)))))</f>
        <v/>
      </c>
      <c r="H11" s="63" t="str" cm="1">
        <f t="array" ref="H11">IF($A11="","",IF(EOMONTH(DATE($A11,7,1),0)&gt;EOMONTH('PBA Summary'!$G$2,0),"",IF(EOMONTH(DATE($A11,7,1),0)&lt;'PBA Summary'!$F$2,"",_xll.ASPortfolioStatistic('PBA Summary'!$C$2,"Return Last 1 Month","OR",,,'PBA Summary'!$H$2,"M",,EOMONTH(DATE($A11,7,1),0)))))</f>
        <v/>
      </c>
      <c r="I11" s="63" t="str" cm="1">
        <f t="array" ref="I11">IF($A11="","",IF(EOMONTH(DATE($A11,8,1),0)&gt;EOMONTH('PBA Summary'!$G$2,0),"",IF(EOMONTH(DATE($A11,8,1),0)&lt;'PBA Summary'!$F$2,"",_xll.ASPortfolioStatistic('PBA Summary'!$C$2,"Return Last 1 Month","OR",,,'PBA Summary'!$H$2,"M",,EOMONTH(DATE($A11,8,1),0)))))</f>
        <v/>
      </c>
      <c r="J11" s="63" t="str" cm="1">
        <f t="array" ref="J11">IF($A11="","",IF(EOMONTH(DATE($A11,9,1),0)&gt;EOMONTH('PBA Summary'!$G$2,0),"",IF(EOMONTH(DATE($A11,9,1),0)&lt;'PBA Summary'!$F$2,"",_xll.ASPortfolioStatistic('PBA Summary'!$C$2,"Return Last 1 Month","OR",,,'PBA Summary'!$H$2,"M",,EOMONTH(DATE($A11,9,1),0)))))</f>
        <v/>
      </c>
      <c r="K11" s="63" t="str" cm="1">
        <f t="array" ref="K11">IF($A11="","",IF(EOMONTH(DATE($A11,10,1),0)&gt;EOMONTH('PBA Summary'!$G$2,0),"",IF(EOMONTH(DATE($A11,10,1),0)&lt;'PBA Summary'!$F$2,"",_xll.ASPortfolioStatistic('PBA Summary'!$C$2,"Return Last 1 Month","OR",,,'PBA Summary'!$H$2,"M",,EOMONTH(DATE($A11,10,1),0)))))</f>
        <v/>
      </c>
      <c r="L11" s="63" t="str" cm="1">
        <f t="array" ref="L11">IF($A11="","",IF(EOMONTH(DATE($A11,11,1),0)&gt;EOMONTH('PBA Summary'!$G$2,0),"",IF(EOMONTH(DATE($A11,11,1),0)&lt;'PBA Summary'!$F$2,"",_xll.ASPortfolioStatistic('PBA Summary'!$C$2,"Return Last 1 Month","OR",,,'PBA Summary'!$H$2,"M",,EOMONTH(DATE($A11,11,1),0)))))</f>
        <v/>
      </c>
      <c r="M11" s="63" t="str" cm="1">
        <f t="array" ref="M11">IF($A11="","",IF(EOMONTH(DATE($A11,12,1),0)&gt;EOMONTH('PBA Summary'!$G$2,0),"",IF(EOMONTH(DATE($A11,12,1),0)&lt;'PBA Summary'!$F$2,"",_xll.ASPortfolioStatistic('PBA Summary'!$C$2,"Return Last 1 Month","OR",,,'PBA Summary'!$H$2,"M",,EOMONTH(DATE($A11,12,1),0)))))</f>
        <v/>
      </c>
      <c r="N11" s="63" t="str" cm="1">
        <f t="array" ref="N11">IF($A11="","",_xll.ASPortfolioStatistic('PBA Summary'!$C$2,"year-to-date return","OR",,,'PBA Summary'!$H$2,"M",'PBA Summary'!$F$2,IF(EOMONTH(DATE($A11,12,1),0)&gt;EOMONTH('PBA Summary'!$G$2,0),EOMONTH('PBA Summary'!$G$2,0),EOMONTH(DATE($A11,12,1),0))))</f>
        <v/>
      </c>
    </row>
    <row r="12" spans="1:14" x14ac:dyDescent="0.25">
      <c r="A12" t="str">
        <f>IFERROR(IF(YEAR('PBA Summary'!$F$2)&lt;A11,A11-1,""),"")</f>
        <v/>
      </c>
      <c r="B12" s="63" t="str" cm="1">
        <f t="array" ref="B12">IF($A12="","",IF(EOMONTH(DATE($A12,1,1),0)&gt;EOMONTH('PBA Summary'!$G$2,0),"",IF(EOMONTH(DATE($A12,1,1),0)&lt;'PBA Summary'!$F$2,"",_xll.ASPortfolioStatistic('PBA Summary'!$C$2,"Return Last 1 Month","OR",,,'PBA Summary'!$H$2,"M",,EOMONTH(DATE($A12,1,1),0)))))</f>
        <v/>
      </c>
      <c r="C12" s="63" t="str" cm="1">
        <f t="array" ref="C12">IF($A12="","",IF(EOMONTH(DATE($A12,2,1),0)&gt;EOMONTH('PBA Summary'!$G$2,0),"",IF(EOMONTH(DATE($A12,2,1),0)&lt;'PBA Summary'!$F$2,"",_xll.ASPortfolioStatistic('PBA Summary'!$C$2,"Return Last 1 Month","OR",,,'PBA Summary'!$H$2,"M",,EOMONTH(DATE($A12,2,1),0)))))</f>
        <v/>
      </c>
      <c r="D12" s="63" t="str" cm="1">
        <f t="array" ref="D12">IF($A12="","",IF(EOMONTH(DATE($A12,3,1),0)&gt;EOMONTH('PBA Summary'!$G$2,0),"",IF(EOMONTH(DATE($A12,3,1),0)&lt;'PBA Summary'!$F$2,"",_xll.ASPortfolioStatistic('PBA Summary'!$C$2,"Return Last 1 Month","OR",,,'PBA Summary'!$H$2,"M",,EOMONTH(DATE($A12,3,1),0)))))</f>
        <v/>
      </c>
      <c r="E12" s="63" t="str" cm="1">
        <f t="array" ref="E12">IF($A12="","",IF(EOMONTH(DATE($A12,4,1),0)&gt;EOMONTH('PBA Summary'!$G$2,0),"",IF(EOMONTH(DATE($A12,4,1),0)&lt;'PBA Summary'!$F$2,"",_xll.ASPortfolioStatistic('PBA Summary'!$C$2,"Return Last 1 Month","OR",,,'PBA Summary'!$H$2,"M",,EOMONTH(DATE($A12,4,1),0)))))</f>
        <v/>
      </c>
      <c r="F12" s="63" t="str" cm="1">
        <f t="array" ref="F12">IF($A12="","",IF(EOMONTH(DATE($A12,5,1),0)&gt;EOMONTH('PBA Summary'!$G$2,0),"",IF(EOMONTH(DATE($A12,5,1),0)&lt;'PBA Summary'!$F$2,"",_xll.ASPortfolioStatistic('PBA Summary'!$C$2,"Return Last 1 Month","OR",,,'PBA Summary'!$H$2,"M",,EOMONTH(DATE($A12,5,1),0)))))</f>
        <v/>
      </c>
      <c r="G12" s="63" t="str" cm="1">
        <f t="array" ref="G12">IF($A12="","",IF(EOMONTH(DATE($A12,6,1),0)&gt;EOMONTH('PBA Summary'!$G$2,0),"",IF(EOMONTH(DATE($A12,6,1),0)&lt;'PBA Summary'!$F$2,"",_xll.ASPortfolioStatistic('PBA Summary'!$C$2,"Return Last 1 Month","OR",,,'PBA Summary'!$H$2,"M",,EOMONTH(DATE($A12,6,1),0)))))</f>
        <v/>
      </c>
      <c r="H12" s="63" t="str" cm="1">
        <f t="array" ref="H12">IF($A12="","",IF(EOMONTH(DATE($A12,7,1),0)&gt;EOMONTH('PBA Summary'!$G$2,0),"",IF(EOMONTH(DATE($A12,7,1),0)&lt;'PBA Summary'!$F$2,"",_xll.ASPortfolioStatistic('PBA Summary'!$C$2,"Return Last 1 Month","OR",,,'PBA Summary'!$H$2,"M",,EOMONTH(DATE($A12,7,1),0)))))</f>
        <v/>
      </c>
      <c r="I12" s="63" t="str" cm="1">
        <f t="array" ref="I12">IF($A12="","",IF(EOMONTH(DATE($A12,8,1),0)&gt;EOMONTH('PBA Summary'!$G$2,0),"",IF(EOMONTH(DATE($A12,8,1),0)&lt;'PBA Summary'!$F$2,"",_xll.ASPortfolioStatistic('PBA Summary'!$C$2,"Return Last 1 Month","OR",,,'PBA Summary'!$H$2,"M",,EOMONTH(DATE($A12,8,1),0)))))</f>
        <v/>
      </c>
      <c r="J12" s="63" t="str" cm="1">
        <f t="array" ref="J12">IF($A12="","",IF(EOMONTH(DATE($A12,9,1),0)&gt;EOMONTH('PBA Summary'!$G$2,0),"",IF(EOMONTH(DATE($A12,9,1),0)&lt;'PBA Summary'!$F$2,"",_xll.ASPortfolioStatistic('PBA Summary'!$C$2,"Return Last 1 Month","OR",,,'PBA Summary'!$H$2,"M",,EOMONTH(DATE($A12,9,1),0)))))</f>
        <v/>
      </c>
      <c r="K12" s="63" t="str" cm="1">
        <f t="array" ref="K12">IF($A12="","",IF(EOMONTH(DATE($A12,10,1),0)&gt;EOMONTH('PBA Summary'!$G$2,0),"",IF(EOMONTH(DATE($A12,10,1),0)&lt;'PBA Summary'!$F$2,"",_xll.ASPortfolioStatistic('PBA Summary'!$C$2,"Return Last 1 Month","OR",,,'PBA Summary'!$H$2,"M",,EOMONTH(DATE($A12,10,1),0)))))</f>
        <v/>
      </c>
      <c r="L12" s="63" t="str" cm="1">
        <f t="array" ref="L12">IF($A12="","",IF(EOMONTH(DATE($A12,11,1),0)&gt;EOMONTH('PBA Summary'!$G$2,0),"",IF(EOMONTH(DATE($A12,11,1),0)&lt;'PBA Summary'!$F$2,"",_xll.ASPortfolioStatistic('PBA Summary'!$C$2,"Return Last 1 Month","OR",,,'PBA Summary'!$H$2,"M",,EOMONTH(DATE($A12,11,1),0)))))</f>
        <v/>
      </c>
      <c r="M12" s="63" t="str" cm="1">
        <f t="array" ref="M12">IF($A12="","",IF(EOMONTH(DATE($A12,12,1),0)&gt;EOMONTH('PBA Summary'!$G$2,0),"",IF(EOMONTH(DATE($A12,12,1),0)&lt;'PBA Summary'!$F$2,"",_xll.ASPortfolioStatistic('PBA Summary'!$C$2,"Return Last 1 Month","OR",,,'PBA Summary'!$H$2,"M",,EOMONTH(DATE($A12,12,1),0)))))</f>
        <v/>
      </c>
      <c r="N12" s="63" t="str" cm="1">
        <f t="array" ref="N12">IF($A12="","",_xll.ASPortfolioStatistic('PBA Summary'!$C$2,"year-to-date return","OR",,,'PBA Summary'!$H$2,"M",'PBA Summary'!$F$2,IF(EOMONTH(DATE($A12,12,1),0)&gt;EOMONTH('PBA Summary'!$G$2,0),EOMONTH('PBA Summary'!$G$2,0),EOMONTH(DATE($A12,12,1),0))))</f>
        <v/>
      </c>
    </row>
    <row r="13" spans="1:14" x14ac:dyDescent="0.25">
      <c r="A13" t="str">
        <f>IFERROR(IF(YEAR('PBA Summary'!$F$2)&lt;A12,A12-1,""),"")</f>
        <v/>
      </c>
      <c r="B13" s="63" t="str" cm="1">
        <f t="array" ref="B13">IF($A13="","",IF(EOMONTH(DATE($A13,1,1),0)&gt;EOMONTH('PBA Summary'!$G$2,0),"",IF(EOMONTH(DATE($A13,1,1),0)&lt;'PBA Summary'!$F$2,"",_xll.ASPortfolioStatistic('PBA Summary'!$C$2,"Return Last 1 Month","OR",,,'PBA Summary'!$H$2,"M",,EOMONTH(DATE($A13,1,1),0)))))</f>
        <v/>
      </c>
      <c r="C13" s="63" t="str" cm="1">
        <f t="array" ref="C13">IF($A13="","",IF(EOMONTH(DATE($A13,2,1),0)&gt;EOMONTH('PBA Summary'!$G$2,0),"",IF(EOMONTH(DATE($A13,2,1),0)&lt;'PBA Summary'!$F$2,"",_xll.ASPortfolioStatistic('PBA Summary'!$C$2,"Return Last 1 Month","OR",,,'PBA Summary'!$H$2,"M",,EOMONTH(DATE($A13,2,1),0)))))</f>
        <v/>
      </c>
      <c r="D13" s="63" t="str" cm="1">
        <f t="array" ref="D13">IF($A13="","",IF(EOMONTH(DATE($A13,3,1),0)&gt;EOMONTH('PBA Summary'!$G$2,0),"",IF(EOMONTH(DATE($A13,3,1),0)&lt;'PBA Summary'!$F$2,"",_xll.ASPortfolioStatistic('PBA Summary'!$C$2,"Return Last 1 Month","OR",,,'PBA Summary'!$H$2,"M",,EOMONTH(DATE($A13,3,1),0)))))</f>
        <v/>
      </c>
      <c r="E13" s="63" t="str" cm="1">
        <f t="array" ref="E13">IF($A13="","",IF(EOMONTH(DATE($A13,4,1),0)&gt;EOMONTH('PBA Summary'!$G$2,0),"",IF(EOMONTH(DATE($A13,4,1),0)&lt;'PBA Summary'!$F$2,"",_xll.ASPortfolioStatistic('PBA Summary'!$C$2,"Return Last 1 Month","OR",,,'PBA Summary'!$H$2,"M",,EOMONTH(DATE($A13,4,1),0)))))</f>
        <v/>
      </c>
      <c r="F13" s="63" t="str" cm="1">
        <f t="array" ref="F13">IF($A13="","",IF(EOMONTH(DATE($A13,5,1),0)&gt;EOMONTH('PBA Summary'!$G$2,0),"",IF(EOMONTH(DATE($A13,5,1),0)&lt;'PBA Summary'!$F$2,"",_xll.ASPortfolioStatistic('PBA Summary'!$C$2,"Return Last 1 Month","OR",,,'PBA Summary'!$H$2,"M",,EOMONTH(DATE($A13,5,1),0)))))</f>
        <v/>
      </c>
      <c r="G13" s="63" t="str" cm="1">
        <f t="array" ref="G13">IF($A13="","",IF(EOMONTH(DATE($A13,6,1),0)&gt;EOMONTH('PBA Summary'!$G$2,0),"",IF(EOMONTH(DATE($A13,6,1),0)&lt;'PBA Summary'!$F$2,"",_xll.ASPortfolioStatistic('PBA Summary'!$C$2,"Return Last 1 Month","OR",,,'PBA Summary'!$H$2,"M",,EOMONTH(DATE($A13,6,1),0)))))</f>
        <v/>
      </c>
      <c r="H13" s="63" t="str" cm="1">
        <f t="array" ref="H13">IF($A13="","",IF(EOMONTH(DATE($A13,7,1),0)&gt;EOMONTH('PBA Summary'!$G$2,0),"",IF(EOMONTH(DATE($A13,7,1),0)&lt;'PBA Summary'!$F$2,"",_xll.ASPortfolioStatistic('PBA Summary'!$C$2,"Return Last 1 Month","OR",,,'PBA Summary'!$H$2,"M",,EOMONTH(DATE($A13,7,1),0)))))</f>
        <v/>
      </c>
      <c r="I13" s="63" t="str" cm="1">
        <f t="array" ref="I13">IF($A13="","",IF(EOMONTH(DATE($A13,8,1),0)&gt;EOMONTH('PBA Summary'!$G$2,0),"",IF(EOMONTH(DATE($A13,8,1),0)&lt;'PBA Summary'!$F$2,"",_xll.ASPortfolioStatistic('PBA Summary'!$C$2,"Return Last 1 Month","OR",,,'PBA Summary'!$H$2,"M",,EOMONTH(DATE($A13,8,1),0)))))</f>
        <v/>
      </c>
      <c r="J13" s="63" t="str" cm="1">
        <f t="array" ref="J13">IF($A13="","",IF(EOMONTH(DATE($A13,9,1),0)&gt;EOMONTH('PBA Summary'!$G$2,0),"",IF(EOMONTH(DATE($A13,9,1),0)&lt;'PBA Summary'!$F$2,"",_xll.ASPortfolioStatistic('PBA Summary'!$C$2,"Return Last 1 Month","OR",,,'PBA Summary'!$H$2,"M",,EOMONTH(DATE($A13,9,1),0)))))</f>
        <v/>
      </c>
      <c r="K13" s="63" t="str" cm="1">
        <f t="array" ref="K13">IF($A13="","",IF(EOMONTH(DATE($A13,10,1),0)&gt;EOMONTH('PBA Summary'!$G$2,0),"",IF(EOMONTH(DATE($A13,10,1),0)&lt;'PBA Summary'!$F$2,"",_xll.ASPortfolioStatistic('PBA Summary'!$C$2,"Return Last 1 Month","OR",,,'PBA Summary'!$H$2,"M",,EOMONTH(DATE($A13,10,1),0)))))</f>
        <v/>
      </c>
      <c r="L13" s="63" t="str" cm="1">
        <f t="array" ref="L13">IF($A13="","",IF(EOMONTH(DATE($A13,11,1),0)&gt;EOMONTH('PBA Summary'!$G$2,0),"",IF(EOMONTH(DATE($A13,11,1),0)&lt;'PBA Summary'!$F$2,"",_xll.ASPortfolioStatistic('PBA Summary'!$C$2,"Return Last 1 Month","OR",,,'PBA Summary'!$H$2,"M",,EOMONTH(DATE($A13,11,1),0)))))</f>
        <v/>
      </c>
      <c r="M13" s="63" t="str" cm="1">
        <f t="array" ref="M13">IF($A13="","",IF(EOMONTH(DATE($A13,12,1),0)&gt;EOMONTH('PBA Summary'!$G$2,0),"",IF(EOMONTH(DATE($A13,12,1),0)&lt;'PBA Summary'!$F$2,"",_xll.ASPortfolioStatistic('PBA Summary'!$C$2,"Return Last 1 Month","OR",,,'PBA Summary'!$H$2,"M",,EOMONTH(DATE($A13,12,1),0)))))</f>
        <v/>
      </c>
      <c r="N13" s="63" t="str" cm="1">
        <f t="array" ref="N13">IF($A13="","",_xll.ASPortfolioStatistic('PBA Summary'!$C$2,"year-to-date return","OR",,,'PBA Summary'!$H$2,"M",'PBA Summary'!$F$2,IF(EOMONTH(DATE($A13,12,1),0)&gt;EOMONTH('PBA Summary'!$G$2,0),EOMONTH('PBA Summary'!$G$2,0),EOMONTH(DATE($A13,12,1),0))))</f>
        <v/>
      </c>
    </row>
    <row r="14" spans="1:14" x14ac:dyDescent="0.25">
      <c r="A14" t="str">
        <f>IFERROR(IF(YEAR('PBA Summary'!$F$2)&lt;A13,A13-1,""),"")</f>
        <v/>
      </c>
      <c r="B14" s="63" t="str" cm="1">
        <f t="array" ref="B14">IF($A14="","",IF(EOMONTH(DATE($A14,1,1),0)&gt;EOMONTH('PBA Summary'!$G$2,0),"",IF(EOMONTH(DATE($A14,1,1),0)&lt;'PBA Summary'!$F$2,"",_xll.ASPortfolioStatistic('PBA Summary'!$C$2,"Return Last 1 Month","OR",,,'PBA Summary'!$H$2,"M",,EOMONTH(DATE($A14,1,1),0)))))</f>
        <v/>
      </c>
      <c r="C14" s="63" t="str" cm="1">
        <f t="array" ref="C14">IF($A14="","",IF(EOMONTH(DATE($A14,2,1),0)&gt;EOMONTH('PBA Summary'!$G$2,0),"",IF(EOMONTH(DATE($A14,2,1),0)&lt;'PBA Summary'!$F$2,"",_xll.ASPortfolioStatistic('PBA Summary'!$C$2,"Return Last 1 Month","OR",,,'PBA Summary'!$H$2,"M",,EOMONTH(DATE($A14,2,1),0)))))</f>
        <v/>
      </c>
      <c r="D14" s="63" t="str" cm="1">
        <f t="array" ref="D14">IF($A14="","",IF(EOMONTH(DATE($A14,3,1),0)&gt;EOMONTH('PBA Summary'!$G$2,0),"",IF(EOMONTH(DATE($A14,3,1),0)&lt;'PBA Summary'!$F$2,"",_xll.ASPortfolioStatistic('PBA Summary'!$C$2,"Return Last 1 Month","OR",,,'PBA Summary'!$H$2,"M",,EOMONTH(DATE($A14,3,1),0)))))</f>
        <v/>
      </c>
      <c r="E14" s="63" t="str" cm="1">
        <f t="array" ref="E14">IF($A14="","",IF(EOMONTH(DATE($A14,4,1),0)&gt;EOMONTH('PBA Summary'!$G$2,0),"",IF(EOMONTH(DATE($A14,4,1),0)&lt;'PBA Summary'!$F$2,"",_xll.ASPortfolioStatistic('PBA Summary'!$C$2,"Return Last 1 Month","OR",,,'PBA Summary'!$H$2,"M",,EOMONTH(DATE($A14,4,1),0)))))</f>
        <v/>
      </c>
      <c r="F14" s="63" t="str" cm="1">
        <f t="array" ref="F14">IF($A14="","",IF(EOMONTH(DATE($A14,5,1),0)&gt;EOMONTH('PBA Summary'!$G$2,0),"",IF(EOMONTH(DATE($A14,5,1),0)&lt;'PBA Summary'!$F$2,"",_xll.ASPortfolioStatistic('PBA Summary'!$C$2,"Return Last 1 Month","OR",,,'PBA Summary'!$H$2,"M",,EOMONTH(DATE($A14,5,1),0)))))</f>
        <v/>
      </c>
      <c r="G14" s="63" t="str" cm="1">
        <f t="array" ref="G14">IF($A14="","",IF(EOMONTH(DATE($A14,6,1),0)&gt;EOMONTH('PBA Summary'!$G$2,0),"",IF(EOMONTH(DATE($A14,6,1),0)&lt;'PBA Summary'!$F$2,"",_xll.ASPortfolioStatistic('PBA Summary'!$C$2,"Return Last 1 Month","OR",,,'PBA Summary'!$H$2,"M",,EOMONTH(DATE($A14,6,1),0)))))</f>
        <v/>
      </c>
      <c r="H14" s="63" t="str" cm="1">
        <f t="array" ref="H14">IF($A14="","",IF(EOMONTH(DATE($A14,7,1),0)&gt;EOMONTH('PBA Summary'!$G$2,0),"",IF(EOMONTH(DATE($A14,7,1),0)&lt;'PBA Summary'!$F$2,"",_xll.ASPortfolioStatistic('PBA Summary'!$C$2,"Return Last 1 Month","OR",,,'PBA Summary'!$H$2,"M",,EOMONTH(DATE($A14,7,1),0)))))</f>
        <v/>
      </c>
      <c r="I14" s="63" t="str" cm="1">
        <f t="array" ref="I14">IF($A14="","",IF(EOMONTH(DATE($A14,8,1),0)&gt;EOMONTH('PBA Summary'!$G$2,0),"",IF(EOMONTH(DATE($A14,8,1),0)&lt;'PBA Summary'!$F$2,"",_xll.ASPortfolioStatistic('PBA Summary'!$C$2,"Return Last 1 Month","OR",,,'PBA Summary'!$H$2,"M",,EOMONTH(DATE($A14,8,1),0)))))</f>
        <v/>
      </c>
      <c r="J14" s="63" t="str" cm="1">
        <f t="array" ref="J14">IF($A14="","",IF(EOMONTH(DATE($A14,9,1),0)&gt;EOMONTH('PBA Summary'!$G$2,0),"",IF(EOMONTH(DATE($A14,9,1),0)&lt;'PBA Summary'!$F$2,"",_xll.ASPortfolioStatistic('PBA Summary'!$C$2,"Return Last 1 Month","OR",,,'PBA Summary'!$H$2,"M",,EOMONTH(DATE($A14,9,1),0)))))</f>
        <v/>
      </c>
      <c r="K14" s="63" t="str" cm="1">
        <f t="array" ref="K14">IF($A14="","",IF(EOMONTH(DATE($A14,10,1),0)&gt;EOMONTH('PBA Summary'!$G$2,0),"",IF(EOMONTH(DATE($A14,10,1),0)&lt;'PBA Summary'!$F$2,"",_xll.ASPortfolioStatistic('PBA Summary'!$C$2,"Return Last 1 Month","OR",,,'PBA Summary'!$H$2,"M",,EOMONTH(DATE($A14,10,1),0)))))</f>
        <v/>
      </c>
      <c r="L14" s="63" t="str" cm="1">
        <f t="array" ref="L14">IF($A14="","",IF(EOMONTH(DATE($A14,11,1),0)&gt;EOMONTH('PBA Summary'!$G$2,0),"",IF(EOMONTH(DATE($A14,11,1),0)&lt;'PBA Summary'!$F$2,"",_xll.ASPortfolioStatistic('PBA Summary'!$C$2,"Return Last 1 Month","OR",,,'PBA Summary'!$H$2,"M",,EOMONTH(DATE($A14,11,1),0)))))</f>
        <v/>
      </c>
      <c r="M14" s="63" t="str" cm="1">
        <f t="array" ref="M14">IF($A14="","",IF(EOMONTH(DATE($A14,12,1),0)&gt;EOMONTH('PBA Summary'!$G$2,0),"",IF(EOMONTH(DATE($A14,12,1),0)&lt;'PBA Summary'!$F$2,"",_xll.ASPortfolioStatistic('PBA Summary'!$C$2,"Return Last 1 Month","OR",,,'PBA Summary'!$H$2,"M",,EOMONTH(DATE($A14,12,1),0)))))</f>
        <v/>
      </c>
      <c r="N14" s="63" t="str" cm="1">
        <f t="array" ref="N14">IF($A14="","",_xll.ASPortfolioStatistic('PBA Summary'!$C$2,"year-to-date return","OR",,,'PBA Summary'!$H$2,"M",'PBA Summary'!$F$2,IF(EOMONTH(DATE($A14,12,1),0)&gt;EOMONTH('PBA Summary'!$G$2,0),EOMONTH('PBA Summary'!$G$2,0),EOMONTH(DATE($A14,12,1),0))))</f>
        <v/>
      </c>
    </row>
    <row r="15" spans="1:14" x14ac:dyDescent="0.25">
      <c r="A15" t="str">
        <f>IFERROR(IF(YEAR('PBA Summary'!$F$2)&lt;A14,A14-1,""),"")</f>
        <v/>
      </c>
      <c r="B15" s="63" t="str" cm="1">
        <f t="array" ref="B15">IF($A15="","",IF(EOMONTH(DATE($A15,1,1),0)&gt;EOMONTH('PBA Summary'!$G$2,0),"",IF(EOMONTH(DATE($A15,1,1),0)&lt;'PBA Summary'!$F$2,"",_xll.ASPortfolioStatistic('PBA Summary'!$C$2,"Return Last 1 Month","OR",,,'PBA Summary'!$H$2,"M",,EOMONTH(DATE($A15,1,1),0)))))</f>
        <v/>
      </c>
      <c r="C15" s="63" t="str" cm="1">
        <f t="array" ref="C15">IF($A15="","",IF(EOMONTH(DATE($A15,2,1),0)&gt;EOMONTH('PBA Summary'!$G$2,0),"",IF(EOMONTH(DATE($A15,2,1),0)&lt;'PBA Summary'!$F$2,"",_xll.ASPortfolioStatistic('PBA Summary'!$C$2,"Return Last 1 Month","OR",,,'PBA Summary'!$H$2,"M",,EOMONTH(DATE($A15,2,1),0)))))</f>
        <v/>
      </c>
      <c r="D15" s="63" t="str" cm="1">
        <f t="array" ref="D15">IF($A15="","",IF(EOMONTH(DATE($A15,3,1),0)&gt;EOMONTH('PBA Summary'!$G$2,0),"",IF(EOMONTH(DATE($A15,3,1),0)&lt;'PBA Summary'!$F$2,"",_xll.ASPortfolioStatistic('PBA Summary'!$C$2,"Return Last 1 Month","OR",,,'PBA Summary'!$H$2,"M",,EOMONTH(DATE($A15,3,1),0)))))</f>
        <v/>
      </c>
      <c r="E15" s="63" t="str" cm="1">
        <f t="array" ref="E15">IF($A15="","",IF(EOMONTH(DATE($A15,4,1),0)&gt;EOMONTH('PBA Summary'!$G$2,0),"",IF(EOMONTH(DATE($A15,4,1),0)&lt;'PBA Summary'!$F$2,"",_xll.ASPortfolioStatistic('PBA Summary'!$C$2,"Return Last 1 Month","OR",,,'PBA Summary'!$H$2,"M",,EOMONTH(DATE($A15,4,1),0)))))</f>
        <v/>
      </c>
      <c r="F15" s="63" t="str" cm="1">
        <f t="array" ref="F15">IF($A15="","",IF(EOMONTH(DATE($A15,5,1),0)&gt;EOMONTH('PBA Summary'!$G$2,0),"",IF(EOMONTH(DATE($A15,5,1),0)&lt;'PBA Summary'!$F$2,"",_xll.ASPortfolioStatistic('PBA Summary'!$C$2,"Return Last 1 Month","OR",,,'PBA Summary'!$H$2,"M",,EOMONTH(DATE($A15,5,1),0)))))</f>
        <v/>
      </c>
      <c r="G15" s="63" t="str" cm="1">
        <f t="array" ref="G15">IF($A15="","",IF(EOMONTH(DATE($A15,6,1),0)&gt;EOMONTH('PBA Summary'!$G$2,0),"",IF(EOMONTH(DATE($A15,6,1),0)&lt;'PBA Summary'!$F$2,"",_xll.ASPortfolioStatistic('PBA Summary'!$C$2,"Return Last 1 Month","OR",,,'PBA Summary'!$H$2,"M",,EOMONTH(DATE($A15,6,1),0)))))</f>
        <v/>
      </c>
      <c r="H15" s="63" t="str" cm="1">
        <f t="array" ref="H15">IF($A15="","",IF(EOMONTH(DATE($A15,7,1),0)&gt;EOMONTH('PBA Summary'!$G$2,0),"",IF(EOMONTH(DATE($A15,7,1),0)&lt;'PBA Summary'!$F$2,"",_xll.ASPortfolioStatistic('PBA Summary'!$C$2,"Return Last 1 Month","OR",,,'PBA Summary'!$H$2,"M",,EOMONTH(DATE($A15,7,1),0)))))</f>
        <v/>
      </c>
      <c r="I15" s="63" t="str" cm="1">
        <f t="array" ref="I15">IF($A15="","",IF(EOMONTH(DATE($A15,8,1),0)&gt;EOMONTH('PBA Summary'!$G$2,0),"",IF(EOMONTH(DATE($A15,8,1),0)&lt;'PBA Summary'!$F$2,"",_xll.ASPortfolioStatistic('PBA Summary'!$C$2,"Return Last 1 Month","OR",,,'PBA Summary'!$H$2,"M",,EOMONTH(DATE($A15,8,1),0)))))</f>
        <v/>
      </c>
      <c r="J15" s="63" t="str" cm="1">
        <f t="array" ref="J15">IF($A15="","",IF(EOMONTH(DATE($A15,9,1),0)&gt;EOMONTH('PBA Summary'!$G$2,0),"",IF(EOMONTH(DATE($A15,9,1),0)&lt;'PBA Summary'!$F$2,"",_xll.ASPortfolioStatistic('PBA Summary'!$C$2,"Return Last 1 Month","OR",,,'PBA Summary'!$H$2,"M",,EOMONTH(DATE($A15,9,1),0)))))</f>
        <v/>
      </c>
      <c r="K15" s="63" t="str" cm="1">
        <f t="array" ref="K15">IF($A15="","",IF(EOMONTH(DATE($A15,10,1),0)&gt;EOMONTH('PBA Summary'!$G$2,0),"",IF(EOMONTH(DATE($A15,10,1),0)&lt;'PBA Summary'!$F$2,"",_xll.ASPortfolioStatistic('PBA Summary'!$C$2,"Return Last 1 Month","OR",,,'PBA Summary'!$H$2,"M",,EOMONTH(DATE($A15,10,1),0)))))</f>
        <v/>
      </c>
      <c r="L15" s="63" t="str" cm="1">
        <f t="array" ref="L15">IF($A15="","",IF(EOMONTH(DATE($A15,11,1),0)&gt;EOMONTH('PBA Summary'!$G$2,0),"",IF(EOMONTH(DATE($A15,11,1),0)&lt;'PBA Summary'!$F$2,"",_xll.ASPortfolioStatistic('PBA Summary'!$C$2,"Return Last 1 Month","OR",,,'PBA Summary'!$H$2,"M",,EOMONTH(DATE($A15,11,1),0)))))</f>
        <v/>
      </c>
      <c r="M15" s="63" t="str" cm="1">
        <f t="array" ref="M15">IF($A15="","",IF(EOMONTH(DATE($A15,12,1),0)&gt;EOMONTH('PBA Summary'!$G$2,0),"",IF(EOMONTH(DATE($A15,12,1),0)&lt;'PBA Summary'!$F$2,"",_xll.ASPortfolioStatistic('PBA Summary'!$C$2,"Return Last 1 Month","OR",,,'PBA Summary'!$H$2,"M",,EOMONTH(DATE($A15,12,1),0)))))</f>
        <v/>
      </c>
      <c r="N15" s="63" t="str" cm="1">
        <f t="array" ref="N15">IF($A15="","",_xll.ASPortfolioStatistic('PBA Summary'!$C$2,"year-to-date return","OR",,,'PBA Summary'!$H$2,"M",'PBA Summary'!$F$2,IF(EOMONTH(DATE($A15,12,1),0)&gt;EOMONTH('PBA Summary'!$G$2,0),EOMONTH('PBA Summary'!$G$2,0),EOMONTH(DATE($A15,12,1),0))))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489A-8DB5-4435-9B96-7A89A3F88274}">
  <dimension ref="A1:D166"/>
  <sheetViews>
    <sheetView workbookViewId="0"/>
  </sheetViews>
  <sheetFormatPr defaultRowHeight="15" x14ac:dyDescent="0.25"/>
  <cols>
    <col min="1" max="1" width="13.140625" customWidth="1"/>
    <col min="2" max="3" width="29.7109375" customWidth="1"/>
    <col min="4" max="4" width="34.7109375" customWidth="1"/>
  </cols>
  <sheetData>
    <row r="1" spans="1:4" s="6" customFormat="1" x14ac:dyDescent="0.25">
      <c r="B1" s="68" t="s">
        <v>314</v>
      </c>
      <c r="C1" s="6" t="str" cm="1">
        <f t="array" ref="C1">_xll.ASPortfolioInfo('PBA Summary'!$C$2,"Benchmark 1")</f>
        <v>S&amp;P 500 Index</v>
      </c>
      <c r="D1" s="6" t="str" cm="1">
        <f t="array" ref="D1">_xll.ASPortfolioInfo('PBA Summary'!$C$2,"Benchmark 2")</f>
        <v>S&amp;P 500 Index</v>
      </c>
    </row>
    <row r="2" spans="1:4" x14ac:dyDescent="0.25">
      <c r="A2" s="2" cm="1">
        <f t="array" ref="A2">_xll.ASPortfolioTSVector('PBA Summary'!$C$2,"OR",1,"M",'PBA Summary'!$F$2,'PBA Summary'!$G$2,"FIT",1)</f>
        <v>43434</v>
      </c>
      <c r="B2">
        <v>1.3564867932183589E-2</v>
      </c>
      <c r="C2" cm="1">
        <f t="array" ref="C2">_xll.ASAssetTSVector(Returns_PB!C$1,0,"ROR","M",'PBA Summary'!$F$2,'PBA Summary'!$G$2,"FIT",1)</f>
        <v>2.0375419145245655E-2</v>
      </c>
      <c r="D2" cm="1">
        <f t="array" ref="D2">_xll.ASAssetTSVector(Returns_PB!D$1,0,"ROR","M",'PBA Summary'!$F$2,'PBA Summary'!$G$2,"FIT",1)</f>
        <v>2.0375419145245655E-2</v>
      </c>
    </row>
    <row r="3" spans="1:4" x14ac:dyDescent="0.25">
      <c r="A3" s="2">
        <v>43465</v>
      </c>
      <c r="B3">
        <v>-5.9671604749701457E-3</v>
      </c>
      <c r="C3">
        <v>-9.0331686534528943E-2</v>
      </c>
      <c r="D3">
        <v>-9.0331686534528943E-2</v>
      </c>
    </row>
    <row r="4" spans="1:4" x14ac:dyDescent="0.25">
      <c r="A4" s="4">
        <v>43496</v>
      </c>
      <c r="B4">
        <v>4.0819613713054537E-3</v>
      </c>
      <c r="C4">
        <v>8.0134362974829454E-2</v>
      </c>
      <c r="D4">
        <v>8.0134362974829454E-2</v>
      </c>
    </row>
    <row r="5" spans="1:4" x14ac:dyDescent="0.25">
      <c r="A5" s="4">
        <v>43524</v>
      </c>
      <c r="B5">
        <v>1.2015486517918506E-2</v>
      </c>
      <c r="C5">
        <v>3.210794178203269E-2</v>
      </c>
      <c r="D5">
        <v>3.210794178203269E-2</v>
      </c>
    </row>
    <row r="6" spans="1:4" x14ac:dyDescent="0.25">
      <c r="A6" s="4">
        <v>43555</v>
      </c>
      <c r="B6">
        <v>3.4551861290019081E-2</v>
      </c>
      <c r="C6">
        <v>1.9432310270014463E-2</v>
      </c>
      <c r="D6">
        <v>1.9432310270014463E-2</v>
      </c>
    </row>
    <row r="7" spans="1:4" x14ac:dyDescent="0.25">
      <c r="A7" s="4">
        <v>43585</v>
      </c>
      <c r="B7">
        <v>-1.7699250649072296E-2</v>
      </c>
      <c r="C7">
        <v>4.0489279422384339E-2</v>
      </c>
      <c r="D7">
        <v>4.0489279422384339E-2</v>
      </c>
    </row>
    <row r="8" spans="1:4" x14ac:dyDescent="0.25">
      <c r="A8" s="4">
        <v>43616</v>
      </c>
      <c r="B8">
        <v>-3.6801373324479858E-3</v>
      </c>
      <c r="C8">
        <v>-6.3548887398839127E-2</v>
      </c>
      <c r="D8">
        <v>-6.3548887398839127E-2</v>
      </c>
    </row>
    <row r="9" spans="1:4" x14ac:dyDescent="0.25">
      <c r="A9" s="4">
        <v>43646</v>
      </c>
      <c r="B9">
        <v>1.2421115861439347E-2</v>
      </c>
      <c r="C9">
        <v>7.0477169180054311E-2</v>
      </c>
      <c r="D9">
        <v>7.0477169180054311E-2</v>
      </c>
    </row>
    <row r="10" spans="1:4" x14ac:dyDescent="0.25">
      <c r="A10" s="4">
        <v>43677</v>
      </c>
      <c r="B10">
        <v>7.9763252679221353E-3</v>
      </c>
      <c r="C10">
        <v>1.4372716811661856E-2</v>
      </c>
      <c r="D10">
        <v>1.4372716811661856E-2</v>
      </c>
    </row>
    <row r="11" spans="1:4" x14ac:dyDescent="0.25">
      <c r="A11" s="4">
        <v>43708</v>
      </c>
      <c r="B11">
        <v>1.1479112091279831E-2</v>
      </c>
      <c r="C11">
        <v>-1.5840064282094835E-2</v>
      </c>
      <c r="D11">
        <v>-1.5840064282094835E-2</v>
      </c>
    </row>
    <row r="12" spans="1:4" x14ac:dyDescent="0.25">
      <c r="A12" s="4">
        <v>43738</v>
      </c>
      <c r="B12">
        <v>-2.4102493664416635E-2</v>
      </c>
      <c r="C12">
        <v>1.8710731816609094E-2</v>
      </c>
      <c r="D12">
        <v>1.8710731816609094E-2</v>
      </c>
    </row>
    <row r="13" spans="1:4" x14ac:dyDescent="0.25">
      <c r="A13" s="4">
        <v>43769</v>
      </c>
      <c r="B13">
        <v>7.6749505513178384E-3</v>
      </c>
      <c r="C13">
        <v>2.1657284064674709E-2</v>
      </c>
      <c r="D13">
        <v>2.1657284064674709E-2</v>
      </c>
    </row>
    <row r="14" spans="1:4" x14ac:dyDescent="0.25">
      <c r="A14" s="4">
        <v>43799</v>
      </c>
      <c r="B14">
        <v>1.0104864892452881E-2</v>
      </c>
      <c r="C14">
        <v>3.6299920059138957E-2</v>
      </c>
      <c r="D14">
        <v>3.6299920059138957E-2</v>
      </c>
    </row>
    <row r="15" spans="1:4" x14ac:dyDescent="0.25">
      <c r="A15" s="4">
        <v>43830</v>
      </c>
      <c r="B15">
        <v>2.6118774663588695E-2</v>
      </c>
      <c r="C15">
        <v>3.0115029789878456E-2</v>
      </c>
      <c r="D15">
        <v>3.0115029789878456E-2</v>
      </c>
    </row>
    <row r="16" spans="1:4" x14ac:dyDescent="0.25">
      <c r="A16" s="4">
        <v>43861</v>
      </c>
      <c r="B16">
        <v>2.2341490212190562E-2</v>
      </c>
      <c r="C16">
        <v>-4.3937345812949946E-4</v>
      </c>
      <c r="D16">
        <v>-4.3937345812949946E-4</v>
      </c>
    </row>
    <row r="17" spans="1:4" x14ac:dyDescent="0.25">
      <c r="A17" s="4">
        <v>39568</v>
      </c>
      <c r="B17">
        <v>6.6793715424338096E-3</v>
      </c>
      <c r="C17">
        <v>5.6436609238069257E-2</v>
      </c>
      <c r="D17">
        <v>2.5503103882591915E-2</v>
      </c>
    </row>
    <row r="18" spans="1:4" x14ac:dyDescent="0.25">
      <c r="A18" s="4">
        <v>39599</v>
      </c>
      <c r="B18">
        <v>1.3073047927377512E-2</v>
      </c>
      <c r="C18">
        <v>1.6732531252605209E-2</v>
      </c>
      <c r="D18">
        <v>3.7666276113554886E-3</v>
      </c>
    </row>
    <row r="19" spans="1:4" x14ac:dyDescent="0.25">
      <c r="A19" s="4">
        <v>39629</v>
      </c>
      <c r="B19">
        <v>2.4360712802895534E-4</v>
      </c>
      <c r="C19">
        <v>-8.1769690426994335E-2</v>
      </c>
      <c r="D19">
        <v>-4.2472065962028682E-2</v>
      </c>
    </row>
    <row r="20" spans="1:4" x14ac:dyDescent="0.25">
      <c r="A20" s="4">
        <v>39660</v>
      </c>
      <c r="B20">
        <v>9.9109611214556192E-3</v>
      </c>
      <c r="C20">
        <v>-2.5695586215247701E-2</v>
      </c>
      <c r="D20">
        <v>-9.1412423864726255E-3</v>
      </c>
    </row>
    <row r="21" spans="1:4" x14ac:dyDescent="0.25">
      <c r="A21" s="4">
        <v>39691</v>
      </c>
      <c r="B21">
        <v>5.3823555846097548E-3</v>
      </c>
      <c r="C21">
        <v>-2.1142814204272775E-2</v>
      </c>
      <c r="D21">
        <v>-5.5973135976407073E-3</v>
      </c>
    </row>
    <row r="22" spans="1:4" x14ac:dyDescent="0.25">
      <c r="A22" s="4">
        <v>39721</v>
      </c>
      <c r="B22">
        <v>-1.6002218615250863E-3</v>
      </c>
      <c r="C22">
        <v>-0.12460739254622144</v>
      </c>
      <c r="D22">
        <v>-6.6831233807468138E-2</v>
      </c>
    </row>
    <row r="23" spans="1:4" x14ac:dyDescent="0.25">
      <c r="A23" s="4">
        <v>39752</v>
      </c>
      <c r="B23">
        <v>-5.7068453046013046E-3</v>
      </c>
      <c r="C23">
        <v>-0.19793225184116159</v>
      </c>
      <c r="D23">
        <v>-0.10224791659367582</v>
      </c>
    </row>
    <row r="24" spans="1:4" x14ac:dyDescent="0.25">
      <c r="A24" s="4">
        <v>39782</v>
      </c>
      <c r="B24">
        <v>-1.854967029722987E-4</v>
      </c>
      <c r="C24">
        <v>-6.50853841879665E-2</v>
      </c>
      <c r="D24">
        <v>-1.8979898993982669E-2</v>
      </c>
    </row>
    <row r="25" spans="1:4" x14ac:dyDescent="0.25">
      <c r="A25" s="4">
        <v>39813</v>
      </c>
      <c r="B25">
        <v>1.5546071524607852E-2</v>
      </c>
      <c r="C25">
        <v>3.687119072343914E-2</v>
      </c>
      <c r="D25">
        <v>3.1150257896535916E-2</v>
      </c>
    </row>
    <row r="26" spans="1:4" x14ac:dyDescent="0.25">
      <c r="A26" s="4">
        <v>39844</v>
      </c>
      <c r="B26">
        <v>3.7750889011589628E-3</v>
      </c>
      <c r="C26">
        <v>-8.5284186357109992E-2</v>
      </c>
      <c r="D26">
        <v>-4.6939781761279331E-2</v>
      </c>
    </row>
    <row r="27" spans="1:4" x14ac:dyDescent="0.25">
      <c r="A27" s="4">
        <v>39872</v>
      </c>
      <c r="B27">
        <v>-4.0216024382093707E-3</v>
      </c>
      <c r="C27">
        <v>-9.7347708664865418E-2</v>
      </c>
      <c r="D27">
        <v>-4.8736242762519644E-2</v>
      </c>
    </row>
    <row r="28" spans="1:4" x14ac:dyDescent="0.25">
      <c r="A28" s="4">
        <v>39903</v>
      </c>
      <c r="B28">
        <v>5.9432687206044665E-3</v>
      </c>
      <c r="C28">
        <v>8.3026451830252812E-2</v>
      </c>
      <c r="D28">
        <v>4.5885707034338363E-2</v>
      </c>
    </row>
    <row r="29" spans="1:4" x14ac:dyDescent="0.25">
      <c r="A29" s="4">
        <v>39933</v>
      </c>
      <c r="B29">
        <v>8.7322596851648893E-3</v>
      </c>
      <c r="C29">
        <v>0.11887652518186775</v>
      </c>
      <c r="D29">
        <v>6.1532624709257577E-2</v>
      </c>
    </row>
    <row r="30" spans="1:4" x14ac:dyDescent="0.25">
      <c r="A30" s="4">
        <v>39964</v>
      </c>
      <c r="B30">
        <v>2.5275189557876887E-2</v>
      </c>
      <c r="C30">
        <v>0.10070485764004578</v>
      </c>
      <c r="D30">
        <v>5.1158843315419977E-2</v>
      </c>
    </row>
    <row r="31" spans="1:4" x14ac:dyDescent="0.25">
      <c r="A31" s="4">
        <v>39994</v>
      </c>
      <c r="B31">
        <v>1.658055747614906E-3</v>
      </c>
      <c r="C31">
        <v>-5.1930523440816279E-3</v>
      </c>
      <c r="D31">
        <v>1.9881773397341096E-3</v>
      </c>
    </row>
    <row r="32" spans="1:4" x14ac:dyDescent="0.25">
      <c r="A32" s="4">
        <v>40025</v>
      </c>
      <c r="B32">
        <v>2.6951833412211856E-2</v>
      </c>
      <c r="C32">
        <v>8.829803613748588E-2</v>
      </c>
      <c r="D32">
        <v>5.0806536112642853E-2</v>
      </c>
    </row>
    <row r="33" spans="1:4" x14ac:dyDescent="0.25">
      <c r="A33" s="4">
        <v>40056</v>
      </c>
      <c r="B33">
        <v>1.5543920447522952E-2</v>
      </c>
      <c r="C33">
        <v>3.616709165274079E-2</v>
      </c>
      <c r="D33">
        <v>2.321308322758231E-2</v>
      </c>
    </row>
    <row r="34" spans="1:4" x14ac:dyDescent="0.25">
      <c r="A34" s="4">
        <v>40086</v>
      </c>
      <c r="B34">
        <v>2.0787414779891655E-2</v>
      </c>
      <c r="C34">
        <v>4.6159509530948162E-2</v>
      </c>
      <c r="D34">
        <v>2.7303969477034506E-2</v>
      </c>
    </row>
    <row r="35" spans="1:4" x14ac:dyDescent="0.25">
      <c r="A35" s="4">
        <v>40117</v>
      </c>
      <c r="B35">
        <v>9.7552357411356816E-4</v>
      </c>
      <c r="C35">
        <v>-1.525841210047596E-2</v>
      </c>
      <c r="D35">
        <v>-6.5751326945501232E-3</v>
      </c>
    </row>
    <row r="36" spans="1:4" x14ac:dyDescent="0.25">
      <c r="A36" s="4">
        <v>40147</v>
      </c>
      <c r="B36">
        <v>2.0096468268706813E-2</v>
      </c>
      <c r="C36">
        <v>4.1543756209408977E-2</v>
      </c>
      <c r="D36">
        <v>2.5808847241655553E-2</v>
      </c>
    </row>
    <row r="37" spans="1:4" x14ac:dyDescent="0.25">
      <c r="A37" s="4">
        <v>40178</v>
      </c>
      <c r="B37">
        <v>2.0033361788351911E-3</v>
      </c>
      <c r="C37">
        <v>2.1189909505118232E-2</v>
      </c>
      <c r="D37">
        <v>6.0067897863191888E-3</v>
      </c>
    </row>
    <row r="38" spans="1:4" x14ac:dyDescent="0.25">
      <c r="A38" s="4">
        <v>40209</v>
      </c>
      <c r="B38">
        <v>1.2004307802966352E-3</v>
      </c>
      <c r="C38">
        <v>-4.3111315373401182E-2</v>
      </c>
      <c r="D38">
        <v>-1.6433993641633116E-2</v>
      </c>
    </row>
    <row r="39" spans="1:4" x14ac:dyDescent="0.25">
      <c r="A39" s="4">
        <v>40237</v>
      </c>
      <c r="B39">
        <v>6.7384798505707444E-3</v>
      </c>
      <c r="C39">
        <v>1.3048178755018736E-2</v>
      </c>
      <c r="D39">
        <v>8.8856723823491635E-3</v>
      </c>
    </row>
    <row r="40" spans="1:4" x14ac:dyDescent="0.25">
      <c r="A40" s="4">
        <v>40268</v>
      </c>
      <c r="B40">
        <v>1.6555142854115079E-2</v>
      </c>
      <c r="C40">
        <v>6.482806388916873E-2</v>
      </c>
      <c r="D40">
        <v>3.3378405139627976E-2</v>
      </c>
    </row>
    <row r="41" spans="1:4" x14ac:dyDescent="0.25">
      <c r="A41" s="4">
        <v>40298</v>
      </c>
      <c r="B41">
        <v>1.3590833532805657E-2</v>
      </c>
      <c r="C41">
        <v>2.1270481655926154E-3</v>
      </c>
      <c r="D41">
        <v>3.8496954335642819E-3</v>
      </c>
    </row>
    <row r="42" spans="1:4" x14ac:dyDescent="0.25">
      <c r="A42" s="4">
        <v>40329</v>
      </c>
      <c r="B42">
        <v>-3.5080699830890572E-3</v>
      </c>
      <c r="C42">
        <v>-9.4060166004507062E-2</v>
      </c>
      <c r="D42">
        <v>-4.3159247340556095E-2</v>
      </c>
    </row>
    <row r="43" spans="1:4" x14ac:dyDescent="0.25">
      <c r="A43" s="4">
        <v>40359</v>
      </c>
      <c r="B43">
        <v>1.0310451024068579E-2</v>
      </c>
      <c r="C43">
        <v>-3.0300841762473829E-2</v>
      </c>
      <c r="D43">
        <v>-1.058704740905847E-2</v>
      </c>
    </row>
    <row r="44" spans="1:4" x14ac:dyDescent="0.25">
      <c r="A44" s="4">
        <v>40390</v>
      </c>
      <c r="B44">
        <v>1.3948803693286438E-2</v>
      </c>
      <c r="C44">
        <v>8.1601661007278281E-2</v>
      </c>
      <c r="D44">
        <v>4.4867885635140325E-2</v>
      </c>
    </row>
    <row r="45" spans="1:4" x14ac:dyDescent="0.25">
      <c r="A45" s="4">
        <v>40421</v>
      </c>
      <c r="B45">
        <v>1.0443180107508221E-2</v>
      </c>
      <c r="C45">
        <v>-3.4612239946444023E-2</v>
      </c>
      <c r="D45">
        <v>-9.0066774222742341E-3</v>
      </c>
    </row>
    <row r="46" spans="1:4" x14ac:dyDescent="0.25">
      <c r="A46" s="4">
        <v>40451</v>
      </c>
      <c r="B46">
        <v>2.7504331813270388E-2</v>
      </c>
      <c r="C46">
        <v>9.6028605514636878E-2</v>
      </c>
      <c r="D46">
        <v>4.6897619692702452E-2</v>
      </c>
    </row>
    <row r="47" spans="1:4" x14ac:dyDescent="0.25">
      <c r="A47" s="4">
        <v>40482</v>
      </c>
      <c r="B47">
        <v>2.1421301111229862E-2</v>
      </c>
      <c r="C47">
        <v>3.6481799392862557E-2</v>
      </c>
      <c r="D47">
        <v>1.7793177125939197E-2</v>
      </c>
    </row>
    <row r="48" spans="1:4" x14ac:dyDescent="0.25">
      <c r="A48" s="4">
        <v>40512</v>
      </c>
      <c r="B48">
        <v>4.0327706221574555E-3</v>
      </c>
      <c r="C48">
        <v>-2.1896120928931118E-2</v>
      </c>
      <c r="D48">
        <v>-1.6326414050534477E-2</v>
      </c>
    </row>
    <row r="49" spans="1:4" x14ac:dyDescent="0.25">
      <c r="A49" s="4">
        <v>40543</v>
      </c>
      <c r="B49">
        <v>2.1100428162664997E-2</v>
      </c>
      <c r="C49">
        <v>7.3731921129089217E-2</v>
      </c>
      <c r="D49">
        <v>3.4521678143217605E-2</v>
      </c>
    </row>
    <row r="50" spans="1:4" x14ac:dyDescent="0.25">
      <c r="A50" s="4">
        <v>40574</v>
      </c>
      <c r="B50">
        <v>4.8131541556184487E-3</v>
      </c>
      <c r="C50">
        <v>1.5791218525047945E-2</v>
      </c>
      <c r="D50">
        <v>6.3467055153245688E-3</v>
      </c>
    </row>
    <row r="51" spans="1:4" x14ac:dyDescent="0.25">
      <c r="A51" s="4">
        <v>40602</v>
      </c>
      <c r="B51">
        <v>1.6875003143972167E-2</v>
      </c>
      <c r="C51">
        <v>2.943201259908923E-2</v>
      </c>
      <c r="D51">
        <v>1.5626949511483579E-2</v>
      </c>
    </row>
    <row r="52" spans="1:4" x14ac:dyDescent="0.25">
      <c r="A52" s="4">
        <v>40633</v>
      </c>
      <c r="B52">
        <v>1.2119741731122513E-3</v>
      </c>
      <c r="C52">
        <v>-5.6719554004347472E-4</v>
      </c>
      <c r="D52">
        <v>-6.6256170505574197E-4</v>
      </c>
    </row>
    <row r="53" spans="1:4" x14ac:dyDescent="0.25">
      <c r="A53" s="4">
        <v>40663</v>
      </c>
      <c r="B53">
        <v>1.8672558942477213E-2</v>
      </c>
      <c r="C53">
        <v>4.1234643676290039E-2</v>
      </c>
      <c r="D53">
        <v>2.5150555080392767E-2</v>
      </c>
    </row>
    <row r="54" spans="1:4" x14ac:dyDescent="0.25">
      <c r="A54" s="4">
        <v>40694</v>
      </c>
      <c r="B54">
        <v>-9.2458621583708656E-3</v>
      </c>
      <c r="C54">
        <v>-2.0794532752747785E-2</v>
      </c>
      <c r="D54">
        <v>-5.5425443183050316E-3</v>
      </c>
    </row>
    <row r="55" spans="1:4" x14ac:dyDescent="0.25">
      <c r="A55" s="4">
        <v>40724</v>
      </c>
      <c r="B55">
        <v>-3.9818812188326946E-3</v>
      </c>
      <c r="C55">
        <v>-1.5353565470600739E-2</v>
      </c>
      <c r="D55">
        <v>-8.6696840049413915E-3</v>
      </c>
    </row>
    <row r="56" spans="1:4" x14ac:dyDescent="0.25">
      <c r="A56" s="4">
        <v>40755</v>
      </c>
      <c r="B56">
        <v>8.968839732042877E-3</v>
      </c>
      <c r="C56">
        <v>-1.5983826095971376E-2</v>
      </c>
      <c r="D56">
        <v>-2.3723035666263215E-3</v>
      </c>
    </row>
    <row r="57" spans="1:4" x14ac:dyDescent="0.25">
      <c r="A57" s="4">
        <v>40786</v>
      </c>
      <c r="B57">
        <v>2.7815622288960284E-3</v>
      </c>
      <c r="C57">
        <v>-7.2677875280340976E-2</v>
      </c>
      <c r="D57">
        <v>-3.0236705286060928E-2</v>
      </c>
    </row>
    <row r="58" spans="1:4" x14ac:dyDescent="0.25">
      <c r="A58" s="4">
        <v>40816</v>
      </c>
      <c r="B58">
        <v>-1.0427805518029243E-2</v>
      </c>
      <c r="C58">
        <v>-9.4011423387646009E-2</v>
      </c>
      <c r="D58">
        <v>-4.4020042035710749E-2</v>
      </c>
    </row>
    <row r="59" spans="1:4" x14ac:dyDescent="0.25">
      <c r="A59" s="4">
        <v>40847</v>
      </c>
      <c r="B59">
        <v>1.2389375384937118E-2</v>
      </c>
      <c r="C59">
        <v>0.10727120940480872</v>
      </c>
      <c r="D59">
        <v>5.3144620809711718E-2</v>
      </c>
    </row>
    <row r="60" spans="1:4" x14ac:dyDescent="0.25">
      <c r="A60" s="4">
        <v>40877</v>
      </c>
      <c r="B60">
        <v>-3.7049558748702971E-4</v>
      </c>
      <c r="C60">
        <v>-2.9444733090391639E-2</v>
      </c>
      <c r="D60">
        <v>-1.74358017874916E-2</v>
      </c>
    </row>
    <row r="61" spans="1:4" x14ac:dyDescent="0.25">
      <c r="A61" s="4">
        <v>40908</v>
      </c>
      <c r="B61">
        <v>7.1408004744077935E-4</v>
      </c>
      <c r="C61">
        <v>-1.5043286785663135E-3</v>
      </c>
      <c r="D61">
        <v>6.8526984861045914E-3</v>
      </c>
    </row>
    <row r="62" spans="1:4" x14ac:dyDescent="0.25">
      <c r="A62" s="4">
        <v>40939</v>
      </c>
      <c r="B62">
        <v>2.2076191275965051E-2</v>
      </c>
      <c r="C62">
        <v>5.829087604434946E-2</v>
      </c>
      <c r="D62">
        <v>3.408609001197771E-2</v>
      </c>
    </row>
    <row r="63" spans="1:4" x14ac:dyDescent="0.25">
      <c r="A63" s="4">
        <v>40968</v>
      </c>
      <c r="B63">
        <v>1.805118366246683E-2</v>
      </c>
      <c r="C63">
        <v>5.0737935620855268E-2</v>
      </c>
      <c r="D63">
        <v>2.7176519702160729E-2</v>
      </c>
    </row>
    <row r="64" spans="1:4" x14ac:dyDescent="0.25">
      <c r="A64" s="4">
        <v>40999</v>
      </c>
      <c r="B64">
        <v>1.2456694744753527E-3</v>
      </c>
      <c r="C64">
        <v>7.1434529643612521E-3</v>
      </c>
      <c r="D64">
        <v>2.8481760161556124E-3</v>
      </c>
    </row>
    <row r="65" spans="1:4" x14ac:dyDescent="0.25">
      <c r="A65" s="4">
        <v>41029</v>
      </c>
      <c r="B65">
        <v>5.7442251839878722E-4</v>
      </c>
      <c r="C65">
        <v>-1.1124627424265454E-2</v>
      </c>
      <c r="D65">
        <v>-2.4462192832266361E-3</v>
      </c>
    </row>
    <row r="66" spans="1:4" x14ac:dyDescent="0.25">
      <c r="A66" s="4">
        <v>41060</v>
      </c>
      <c r="B66">
        <v>7.0453743099248012E-3</v>
      </c>
      <c r="C66">
        <v>-8.8915262442449516E-2</v>
      </c>
      <c r="D66">
        <v>-3.9252802337039316E-2</v>
      </c>
    </row>
    <row r="67" spans="1:4" x14ac:dyDescent="0.25">
      <c r="A67" s="2">
        <v>41090</v>
      </c>
      <c r="B67">
        <v>-2.9992141483491386E-3</v>
      </c>
      <c r="C67">
        <v>4.9862520178415304E-2</v>
      </c>
      <c r="D67">
        <v>2.411121715358866E-2</v>
      </c>
    </row>
    <row r="68" spans="1:4" x14ac:dyDescent="0.25">
      <c r="A68" s="2">
        <v>41121</v>
      </c>
      <c r="B68">
        <v>8.3246622999662012E-3</v>
      </c>
      <c r="C68">
        <v>1.3972630028162847E-2</v>
      </c>
      <c r="D68">
        <v>1.3762143872935173E-2</v>
      </c>
    </row>
    <row r="69" spans="1:4" x14ac:dyDescent="0.25">
      <c r="A69" s="2">
        <v>41152</v>
      </c>
      <c r="B69">
        <v>1.14127395318806E-2</v>
      </c>
      <c r="C69">
        <v>2.2230694731878886E-2</v>
      </c>
      <c r="D69">
        <v>1.2302974300377745E-2</v>
      </c>
    </row>
    <row r="70" spans="1:4" x14ac:dyDescent="0.25">
      <c r="A70" s="2">
        <v>41182</v>
      </c>
      <c r="B70">
        <v>9.5898403625671591E-3</v>
      </c>
      <c r="C70">
        <v>3.1886108099226762E-2</v>
      </c>
      <c r="D70">
        <v>1.7925141008801493E-2</v>
      </c>
    </row>
    <row r="71" spans="1:4" x14ac:dyDescent="0.25">
      <c r="A71" s="2">
        <v>41213</v>
      </c>
      <c r="B71">
        <v>-6.3697218070917216E-3</v>
      </c>
      <c r="C71">
        <v>-6.4329681687703699E-3</v>
      </c>
      <c r="D71">
        <v>-1.8053373242108428E-3</v>
      </c>
    </row>
    <row r="72" spans="1:4" x14ac:dyDescent="0.25">
      <c r="A72" s="2">
        <v>41243</v>
      </c>
      <c r="B72">
        <v>1.1256216698944943E-2</v>
      </c>
      <c r="C72">
        <v>1.3241956834223689E-2</v>
      </c>
      <c r="D72">
        <v>9.1416655532428059E-3</v>
      </c>
    </row>
    <row r="73" spans="1:4" x14ac:dyDescent="0.25">
      <c r="A73" s="2">
        <v>41274</v>
      </c>
      <c r="B73">
        <v>9.5358509316492146E-3</v>
      </c>
      <c r="C73">
        <v>2.3293391832969856E-2</v>
      </c>
      <c r="D73">
        <v>1.2160516839942348E-2</v>
      </c>
    </row>
    <row r="74" spans="1:4" x14ac:dyDescent="0.25">
      <c r="A74" s="2">
        <v>41305</v>
      </c>
      <c r="B74">
        <v>1.8323225601033721E-2</v>
      </c>
      <c r="C74">
        <v>4.6237179517745197E-2</v>
      </c>
      <c r="D74">
        <v>2.0377259379988688E-2</v>
      </c>
    </row>
    <row r="75" spans="1:4" x14ac:dyDescent="0.25">
      <c r="A75" s="2">
        <v>41333</v>
      </c>
      <c r="B75">
        <v>-4.1935694355998976E-4</v>
      </c>
      <c r="C75">
        <v>2.2407559323078807E-4</v>
      </c>
      <c r="D75">
        <v>3.1438070859235445E-3</v>
      </c>
    </row>
    <row r="76" spans="1:4" x14ac:dyDescent="0.25">
      <c r="A76" s="2">
        <v>41364</v>
      </c>
      <c r="B76">
        <v>8.7977543742565611E-3</v>
      </c>
      <c r="C76">
        <v>1.8837308201987923E-2</v>
      </c>
      <c r="D76">
        <v>1.2002796505315771E-2</v>
      </c>
    </row>
    <row r="77" spans="1:4" x14ac:dyDescent="0.25">
      <c r="A77" s="2">
        <v>41394</v>
      </c>
      <c r="B77">
        <v>8.9684762900290593E-3</v>
      </c>
      <c r="C77">
        <v>2.8866029712953267E-2</v>
      </c>
      <c r="D77">
        <v>1.9919655595567409E-2</v>
      </c>
    </row>
    <row r="78" spans="1:4" x14ac:dyDescent="0.25">
      <c r="A78" s="2">
        <v>41425</v>
      </c>
      <c r="B78">
        <v>3.274544959973591E-3</v>
      </c>
      <c r="C78">
        <v>-2.0451371846583744E-3</v>
      </c>
      <c r="D78">
        <v>-8.1483640630346521E-3</v>
      </c>
    </row>
    <row r="79" spans="1:4" x14ac:dyDescent="0.25">
      <c r="A79" s="2">
        <v>41455</v>
      </c>
      <c r="B79">
        <v>-1.1479819039540984E-2</v>
      </c>
      <c r="C79">
        <v>-2.8844133080755174E-2</v>
      </c>
      <c r="D79">
        <v>-2.1381067212327687E-2</v>
      </c>
    </row>
    <row r="80" spans="1:4" x14ac:dyDescent="0.25">
      <c r="A80" s="2">
        <v>41486</v>
      </c>
      <c r="B80">
        <v>1.5617674793600322E-2</v>
      </c>
      <c r="C80">
        <v>4.82777205109024E-2</v>
      </c>
      <c r="D80">
        <v>2.6119271703731517E-2</v>
      </c>
    </row>
    <row r="81" spans="1:4" x14ac:dyDescent="0.25">
      <c r="A81" s="2">
        <v>41517</v>
      </c>
      <c r="B81">
        <v>-2.3795181599571835E-3</v>
      </c>
      <c r="C81">
        <v>-2.0431923951948927E-2</v>
      </c>
      <c r="D81">
        <v>-1.2114333145049838E-2</v>
      </c>
    </row>
    <row r="82" spans="1:4" x14ac:dyDescent="0.25">
      <c r="A82" s="2">
        <v>41547</v>
      </c>
      <c r="B82">
        <v>1.4215625476875271E-2</v>
      </c>
      <c r="C82">
        <v>5.2085818595558164E-2</v>
      </c>
      <c r="D82">
        <v>3.0100964978279743E-2</v>
      </c>
    </row>
    <row r="83" spans="1:4" x14ac:dyDescent="0.25">
      <c r="A83" s="2">
        <v>41578</v>
      </c>
      <c r="B83">
        <v>1.4905939543080837E-2</v>
      </c>
      <c r="C83">
        <v>4.0449748395590124E-2</v>
      </c>
      <c r="D83">
        <v>2.4717752746107546E-2</v>
      </c>
    </row>
    <row r="84" spans="1:4" x14ac:dyDescent="0.25">
      <c r="A84" s="2">
        <v>41608</v>
      </c>
      <c r="B84">
        <v>6.834221381089689E-3</v>
      </c>
      <c r="C84">
        <v>1.4516513290317556E-2</v>
      </c>
      <c r="D84">
        <v>6.5732608065898201E-3</v>
      </c>
    </row>
    <row r="85" spans="1:4" x14ac:dyDescent="0.25">
      <c r="A85" s="2">
        <v>41639</v>
      </c>
      <c r="B85">
        <v>8.802611415636763E-3</v>
      </c>
      <c r="C85">
        <v>1.7768993417027978E-2</v>
      </c>
      <c r="D85">
        <v>6.1828308650002661E-3</v>
      </c>
    </row>
    <row r="86" spans="1:4" x14ac:dyDescent="0.25">
      <c r="A86" s="2">
        <v>41670</v>
      </c>
      <c r="B86">
        <v>1.1859637991188832E-2</v>
      </c>
      <c r="C86">
        <v>-3.9803628904356514E-2</v>
      </c>
      <c r="D86">
        <v>-1.2719578752683036E-2</v>
      </c>
    </row>
    <row r="87" spans="1:4" x14ac:dyDescent="0.25">
      <c r="A87" s="2">
        <v>41698</v>
      </c>
      <c r="B87">
        <v>2.219986700828902E-2</v>
      </c>
      <c r="C87">
        <v>4.8721032443797441E-2</v>
      </c>
      <c r="D87">
        <v>2.6817820065801801E-2</v>
      </c>
    </row>
    <row r="88" spans="1:4" x14ac:dyDescent="0.25">
      <c r="A88" s="2">
        <v>41729</v>
      </c>
      <c r="B88">
        <v>-1.5597640956132142E-2</v>
      </c>
      <c r="C88">
        <v>5.0591386768434887E-3</v>
      </c>
      <c r="D88">
        <v>3.0211566483231422E-3</v>
      </c>
    </row>
    <row r="89" spans="1:4" x14ac:dyDescent="0.25">
      <c r="A89" s="2">
        <v>41759</v>
      </c>
      <c r="B89">
        <v>6.7829675701513992E-5</v>
      </c>
      <c r="C89">
        <v>9.8818439214658493E-3</v>
      </c>
      <c r="D89">
        <v>8.4008249991951445E-3</v>
      </c>
    </row>
    <row r="90" spans="1:4" x14ac:dyDescent="0.25">
      <c r="A90" s="2">
        <v>41790</v>
      </c>
      <c r="B90">
        <v>8.7843538507978991E-3</v>
      </c>
      <c r="C90">
        <v>2.1916155608973975E-2</v>
      </c>
      <c r="D90">
        <v>1.5781204857244546E-2</v>
      </c>
    </row>
    <row r="91" spans="1:4" x14ac:dyDescent="0.25">
      <c r="A91" s="2">
        <v>41820</v>
      </c>
      <c r="B91">
        <v>3.1203675625817162E-3</v>
      </c>
      <c r="C91">
        <v>1.920716545432688E-2</v>
      </c>
      <c r="D91">
        <v>1.1302613970757047E-2</v>
      </c>
    </row>
    <row r="92" spans="1:4" x14ac:dyDescent="0.25">
      <c r="A92" s="2">
        <v>41851</v>
      </c>
      <c r="B92">
        <v>-2.606977434844282E-3</v>
      </c>
      <c r="C92">
        <v>-1.1818200930893252E-2</v>
      </c>
      <c r="D92">
        <v>-4.832775506597109E-3</v>
      </c>
    </row>
    <row r="93" spans="1:4" x14ac:dyDescent="0.25">
      <c r="A93" s="2">
        <v>41882</v>
      </c>
      <c r="B93">
        <v>1.1123832332893713E-2</v>
      </c>
      <c r="C93">
        <v>2.2502965931317842E-2</v>
      </c>
      <c r="D93">
        <v>1.734431611951992E-2</v>
      </c>
    </row>
    <row r="94" spans="1:4" x14ac:dyDescent="0.25">
      <c r="A94" s="2">
        <v>41912</v>
      </c>
      <c r="B94">
        <v>2.7835607766524273E-3</v>
      </c>
      <c r="C94">
        <v>-3.2027664290405267E-2</v>
      </c>
      <c r="D94">
        <v>-1.7487284714664986E-2</v>
      </c>
    </row>
    <row r="95" spans="1:4" x14ac:dyDescent="0.25">
      <c r="A95" s="2">
        <v>41943</v>
      </c>
      <c r="B95">
        <v>1.2424476232197668E-2</v>
      </c>
      <c r="C95">
        <v>7.3026451714273133E-3</v>
      </c>
      <c r="D95">
        <v>7.2952845497653573E-3</v>
      </c>
    </row>
    <row r="96" spans="1:4" x14ac:dyDescent="0.25">
      <c r="A96" s="2">
        <v>41973</v>
      </c>
      <c r="B96">
        <v>1.3225694751784367E-2</v>
      </c>
      <c r="C96">
        <v>1.7164887376440063E-2</v>
      </c>
      <c r="D96">
        <v>1.3277575357364846E-2</v>
      </c>
    </row>
    <row r="97" spans="1:4" x14ac:dyDescent="0.25">
      <c r="A97" s="2">
        <v>42004</v>
      </c>
      <c r="B97">
        <v>4.3513723394126291E-3</v>
      </c>
      <c r="C97">
        <v>-1.8785435318224741E-2</v>
      </c>
      <c r="D97">
        <v>-6.8042086817113878E-3</v>
      </c>
    </row>
    <row r="98" spans="1:4" x14ac:dyDescent="0.25">
      <c r="A98" s="2">
        <v>42035</v>
      </c>
      <c r="B98">
        <v>1.3069482635114094E-2</v>
      </c>
      <c r="C98">
        <v>-1.5382272546181186E-2</v>
      </c>
      <c r="D98">
        <v>1.6337747001946568E-3</v>
      </c>
    </row>
    <row r="99" spans="1:4" x14ac:dyDescent="0.25">
      <c r="A99" s="2">
        <v>42063</v>
      </c>
      <c r="B99">
        <v>7.8951029850173882E-3</v>
      </c>
      <c r="C99">
        <v>5.6068201950010721E-2</v>
      </c>
      <c r="D99">
        <v>2.507989884903683E-2</v>
      </c>
    </row>
    <row r="100" spans="1:4" x14ac:dyDescent="0.25">
      <c r="A100" s="2">
        <v>42094</v>
      </c>
      <c r="B100">
        <v>3.7539813424627422E-3</v>
      </c>
      <c r="C100">
        <v>-1.4821560494695407E-2</v>
      </c>
      <c r="D100">
        <v>-4.5457547804546028E-3</v>
      </c>
    </row>
    <row r="101" spans="1:4" x14ac:dyDescent="0.25">
      <c r="A101" s="2">
        <v>42124</v>
      </c>
      <c r="B101">
        <v>1.2171824258180308E-2</v>
      </c>
      <c r="C101">
        <v>2.9326289962445573E-2</v>
      </c>
      <c r="D101">
        <v>1.186760941404863E-2</v>
      </c>
    </row>
    <row r="102" spans="1:4" x14ac:dyDescent="0.25">
      <c r="A102" s="2">
        <v>42155</v>
      </c>
      <c r="B102">
        <v>1.3540033272769758E-2</v>
      </c>
      <c r="C102">
        <v>-7.3216694281619255E-4</v>
      </c>
      <c r="D102">
        <v>-2.4386808561810414E-3</v>
      </c>
    </row>
    <row r="103" spans="1:4" x14ac:dyDescent="0.25">
      <c r="A103" s="2">
        <v>42185</v>
      </c>
      <c r="B103">
        <v>-8.7592945071437445E-3</v>
      </c>
      <c r="C103">
        <v>-2.3097894517863038E-2</v>
      </c>
      <c r="D103">
        <v>-1.7729445839583136E-2</v>
      </c>
    </row>
    <row r="104" spans="1:4" x14ac:dyDescent="0.25">
      <c r="A104" s="2">
        <v>42216</v>
      </c>
      <c r="B104">
        <v>7.2729733001914987E-3</v>
      </c>
      <c r="C104">
        <v>9.0169170867728798E-3</v>
      </c>
      <c r="D104">
        <v>9.4606121433238322E-3</v>
      </c>
    </row>
    <row r="105" spans="1:4" x14ac:dyDescent="0.25">
      <c r="A105" s="2">
        <v>42247</v>
      </c>
      <c r="B105">
        <v>-1.0337201161905507E-2</v>
      </c>
      <c r="C105">
        <v>-6.8157522688517047E-2</v>
      </c>
      <c r="D105">
        <v>-3.5430393765459312E-2</v>
      </c>
    </row>
    <row r="106" spans="1:4" x14ac:dyDescent="0.25">
      <c r="A106" s="2">
        <v>42277</v>
      </c>
      <c r="B106">
        <v>-3.6889957190721079E-3</v>
      </c>
      <c r="C106">
        <v>-3.5732835676668628E-2</v>
      </c>
      <c r="D106">
        <v>-1.4900947707145673E-2</v>
      </c>
    </row>
    <row r="107" spans="1:4" x14ac:dyDescent="0.25">
      <c r="A107" s="2">
        <v>42308</v>
      </c>
      <c r="B107">
        <v>1.0152631457489569E-2</v>
      </c>
      <c r="C107">
        <v>7.8765649463554244E-2</v>
      </c>
      <c r="D107">
        <v>4.1004446128136252E-2</v>
      </c>
    </row>
    <row r="108" spans="1:4" x14ac:dyDescent="0.25">
      <c r="A108" s="2">
        <v>42338</v>
      </c>
      <c r="B108">
        <v>3.1784504436020988E-3</v>
      </c>
      <c r="C108">
        <v>-7.8095480521814808E-3</v>
      </c>
      <c r="D108">
        <v>-3.6745451513811034E-3</v>
      </c>
    </row>
    <row r="109" spans="1:4" x14ac:dyDescent="0.25">
      <c r="A109" s="2">
        <v>42369</v>
      </c>
      <c r="B109">
        <v>-7.8581011754341734E-4</v>
      </c>
      <c r="C109">
        <v>-1.7567922998837471E-2</v>
      </c>
      <c r="D109">
        <v>-1.0136984579594777E-2</v>
      </c>
    </row>
    <row r="110" spans="1:4" x14ac:dyDescent="0.25">
      <c r="A110" s="2">
        <v>42400</v>
      </c>
      <c r="B110">
        <v>-3.2360319277153771E-3</v>
      </c>
      <c r="C110">
        <v>-6.005964818947962E-2</v>
      </c>
      <c r="D110">
        <v>-2.2715539784059047E-2</v>
      </c>
    </row>
    <row r="111" spans="1:4" x14ac:dyDescent="0.25">
      <c r="A111" s="2">
        <v>42429</v>
      </c>
      <c r="B111">
        <v>4.4990958691375482E-3</v>
      </c>
      <c r="C111">
        <v>-6.3744710314689312E-3</v>
      </c>
      <c r="D111">
        <v>1.6186507871509548E-3</v>
      </c>
    </row>
    <row r="112" spans="1:4" x14ac:dyDescent="0.25">
      <c r="A112" s="2">
        <v>42460</v>
      </c>
      <c r="B112">
        <v>9.7274617501930116E-4</v>
      </c>
      <c r="C112">
        <v>7.4772701373249095E-2</v>
      </c>
      <c r="D112">
        <v>4.1502621075183654E-2</v>
      </c>
    </row>
    <row r="113" spans="1:4" x14ac:dyDescent="0.25">
      <c r="A113" s="2">
        <v>42490</v>
      </c>
      <c r="B113">
        <v>9.1425151356516743E-4</v>
      </c>
      <c r="C113">
        <v>1.5217353623346641E-2</v>
      </c>
      <c r="D113">
        <v>8.4576983156496865E-3</v>
      </c>
    </row>
    <row r="114" spans="1:4" x14ac:dyDescent="0.25">
      <c r="A114" s="2">
        <v>42521</v>
      </c>
      <c r="B114">
        <v>6.748802561269196E-3</v>
      </c>
      <c r="C114">
        <v>1.9585244418711678E-3</v>
      </c>
      <c r="D114">
        <v>3.0928356298098869E-3</v>
      </c>
    </row>
    <row r="115" spans="1:4" x14ac:dyDescent="0.25">
      <c r="A115" s="2">
        <v>42551</v>
      </c>
      <c r="B115">
        <v>3.2901111195413613E-3</v>
      </c>
      <c r="C115">
        <v>-5.5587486506106787E-3</v>
      </c>
      <c r="D115">
        <v>6.7386047363227064E-3</v>
      </c>
    </row>
    <row r="116" spans="1:4" x14ac:dyDescent="0.25">
      <c r="A116" s="2">
        <v>42582</v>
      </c>
      <c r="B116">
        <v>1.0227526673514786E-2</v>
      </c>
      <c r="C116">
        <v>4.3557225658034548E-2</v>
      </c>
      <c r="D116">
        <v>2.4765909225012761E-2</v>
      </c>
    </row>
    <row r="117" spans="1:4" x14ac:dyDescent="0.25">
      <c r="A117" s="2">
        <v>42613</v>
      </c>
      <c r="B117">
        <v>-6.0490017635215221E-3</v>
      </c>
      <c r="C117">
        <v>3.8270693075130868E-3</v>
      </c>
      <c r="D117">
        <v>1.6586691461284442E-3</v>
      </c>
    </row>
    <row r="118" spans="1:4" x14ac:dyDescent="0.25">
      <c r="A118" s="2">
        <v>42643</v>
      </c>
      <c r="B118">
        <v>1.3436456411963782E-4</v>
      </c>
      <c r="C118">
        <v>6.5440354477552809E-3</v>
      </c>
      <c r="D118">
        <v>3.2122776002596609E-3</v>
      </c>
    </row>
    <row r="119" spans="1:4" x14ac:dyDescent="0.25">
      <c r="A119" s="2">
        <v>42674</v>
      </c>
      <c r="B119">
        <v>2.7000584118552773E-4</v>
      </c>
      <c r="C119">
        <v>-1.6710879098532083E-2</v>
      </c>
      <c r="D119">
        <v>-1.3203475174671242E-2</v>
      </c>
    </row>
    <row r="120" spans="1:4" x14ac:dyDescent="0.25">
      <c r="A120" s="2">
        <v>42704</v>
      </c>
      <c r="B120">
        <v>-1.6145961098098516E-3</v>
      </c>
      <c r="C120">
        <v>8.1405378475534196E-3</v>
      </c>
      <c r="D120">
        <v>-4.187744551544359E-3</v>
      </c>
    </row>
    <row r="121" spans="1:4" x14ac:dyDescent="0.25">
      <c r="A121" s="2">
        <v>42735</v>
      </c>
      <c r="B121">
        <v>1.7406054372013591E-2</v>
      </c>
      <c r="C121">
        <v>2.2018622871636584E-2</v>
      </c>
      <c r="D121">
        <v>1.2379392857570615E-2</v>
      </c>
    </row>
    <row r="122" spans="1:4" x14ac:dyDescent="0.25">
      <c r="A122" s="2">
        <v>42766</v>
      </c>
      <c r="B122">
        <v>4.0097357469028871E-3</v>
      </c>
      <c r="C122">
        <v>2.7560088313440811E-2</v>
      </c>
      <c r="D122">
        <v>1.1958828298635149E-2</v>
      </c>
    </row>
    <row r="123" spans="1:4" x14ac:dyDescent="0.25">
      <c r="A123" s="2">
        <v>42794</v>
      </c>
      <c r="B123">
        <v>1.8523911903025603E-3</v>
      </c>
      <c r="C123">
        <v>2.8460564078108819E-2</v>
      </c>
      <c r="D123">
        <v>1.8510595811488839E-2</v>
      </c>
    </row>
    <row r="124" spans="1:4" x14ac:dyDescent="0.25">
      <c r="A124" s="2">
        <v>42825</v>
      </c>
      <c r="B124">
        <v>7.2048592158218128E-3</v>
      </c>
      <c r="C124">
        <v>1.2946700409394829E-2</v>
      </c>
      <c r="D124">
        <v>6.2426827297477061E-3</v>
      </c>
    </row>
    <row r="125" spans="1:4" x14ac:dyDescent="0.25">
      <c r="A125" s="2">
        <v>42855</v>
      </c>
      <c r="B125">
        <v>1.3158690787539395E-2</v>
      </c>
      <c r="C125">
        <v>1.5995600231220042E-2</v>
      </c>
      <c r="D125">
        <v>1.1388532194343881E-2</v>
      </c>
    </row>
    <row r="126" spans="1:4" x14ac:dyDescent="0.25">
      <c r="A126" s="2">
        <v>42886</v>
      </c>
      <c r="B126">
        <v>2.8313787441989202E-3</v>
      </c>
      <c r="C126">
        <v>2.2723032965584533E-2</v>
      </c>
      <c r="D126">
        <v>1.4279881667568883E-2</v>
      </c>
    </row>
    <row r="127" spans="1:4" x14ac:dyDescent="0.25">
      <c r="A127" s="2">
        <v>42916</v>
      </c>
      <c r="B127">
        <v>1.0387696181392014E-2</v>
      </c>
      <c r="C127">
        <v>4.970658692826424E-3</v>
      </c>
      <c r="D127">
        <v>1.0859015997457533E-3</v>
      </c>
    </row>
    <row r="128" spans="1:4" x14ac:dyDescent="0.25">
      <c r="A128" s="2">
        <v>42947</v>
      </c>
      <c r="B128">
        <v>9.5566221745380098E-3</v>
      </c>
      <c r="C128">
        <v>2.8301209926430593E-2</v>
      </c>
      <c r="D128">
        <v>1.5794335480255661E-2</v>
      </c>
    </row>
    <row r="129" spans="1:4" x14ac:dyDescent="0.25">
      <c r="A129" s="2">
        <v>42978</v>
      </c>
      <c r="B129">
        <v>8.1153140250318501E-3</v>
      </c>
      <c r="C129">
        <v>4.3244257136751951E-3</v>
      </c>
      <c r="D129">
        <v>6.7188001412143983E-3</v>
      </c>
    </row>
    <row r="130" spans="1:4" x14ac:dyDescent="0.25">
      <c r="A130" s="2">
        <v>43008</v>
      </c>
      <c r="B130">
        <v>4.3935341120064919E-3</v>
      </c>
      <c r="C130">
        <v>1.9687437920505424E-2</v>
      </c>
      <c r="D130">
        <v>7.5355904320495437E-3</v>
      </c>
    </row>
    <row r="131" spans="1:4" x14ac:dyDescent="0.25">
      <c r="A131" s="2">
        <v>43039</v>
      </c>
      <c r="B131">
        <v>6.8675255091095178E-3</v>
      </c>
      <c r="C131">
        <v>2.0975869586486562E-2</v>
      </c>
      <c r="D131">
        <v>1.2596748317234674E-2</v>
      </c>
    </row>
    <row r="132" spans="1:4" x14ac:dyDescent="0.25">
      <c r="A132" s="2">
        <v>43069</v>
      </c>
      <c r="B132">
        <v>-3.0690649520153102E-3</v>
      </c>
      <c r="C132">
        <v>1.9799692120751056E-2</v>
      </c>
      <c r="D132">
        <v>1.0674453830449515E-2</v>
      </c>
    </row>
    <row r="133" spans="1:4" x14ac:dyDescent="0.25">
      <c r="A133" s="2">
        <v>43100</v>
      </c>
      <c r="B133">
        <v>9.9135344866698727E-3</v>
      </c>
      <c r="C133">
        <v>1.6533261711365599E-2</v>
      </c>
      <c r="D133">
        <v>9.3843299460765195E-3</v>
      </c>
    </row>
    <row r="134" spans="1:4" x14ac:dyDescent="0.25">
      <c r="A134" s="2">
        <v>43131</v>
      </c>
      <c r="B134">
        <v>1.5860280609064192E-2</v>
      </c>
      <c r="C134">
        <v>5.6600033612483225E-2</v>
      </c>
      <c r="D134">
        <v>2.4730599109836326E-2</v>
      </c>
    </row>
    <row r="135" spans="1:4" x14ac:dyDescent="0.25">
      <c r="A135" s="2">
        <v>43159</v>
      </c>
      <c r="B135">
        <v>-4.7292311842240808E-3</v>
      </c>
      <c r="C135">
        <v>-4.1654523138895394E-2</v>
      </c>
      <c r="D135">
        <v>-2.1954597036999202E-2</v>
      </c>
    </row>
    <row r="136" spans="1:4" x14ac:dyDescent="0.25">
      <c r="A136" s="2">
        <v>43190</v>
      </c>
      <c r="B136">
        <v>2.4400821986483301E-3</v>
      </c>
      <c r="C136">
        <v>-2.0751914561733753E-2</v>
      </c>
      <c r="D136">
        <v>-6.2304697890384064E-3</v>
      </c>
    </row>
    <row r="137" spans="1:4" x14ac:dyDescent="0.25">
      <c r="A137" s="2">
        <v>43220</v>
      </c>
      <c r="B137">
        <v>7.5623351303759634E-3</v>
      </c>
      <c r="C137">
        <v>1.0016076440762189E-2</v>
      </c>
      <c r="D137">
        <v>3.1476489454540513E-3</v>
      </c>
    </row>
    <row r="138" spans="1:4" x14ac:dyDescent="0.25">
      <c r="A138" s="2">
        <v>43251</v>
      </c>
      <c r="B138">
        <v>6.6830668507633639E-3</v>
      </c>
      <c r="C138">
        <v>1.8610770273956856E-3</v>
      </c>
      <c r="D138">
        <v>2.7985593139709941E-3</v>
      </c>
    </row>
    <row r="139" spans="1:4" x14ac:dyDescent="0.25">
      <c r="A139" s="2">
        <v>43281</v>
      </c>
      <c r="B139">
        <v>2.7311112068597598E-3</v>
      </c>
      <c r="C139">
        <v>-5.0116433577946928E-3</v>
      </c>
      <c r="D139">
        <v>-1.5738770814905934E-3</v>
      </c>
    </row>
    <row r="140" spans="1:4" x14ac:dyDescent="0.25">
      <c r="A140" s="2">
        <v>43312</v>
      </c>
      <c r="B140">
        <v>5.3376923031884793E-3</v>
      </c>
      <c r="C140">
        <v>3.048341562590795E-2</v>
      </c>
      <c r="D140">
        <v>1.53787291535179E-2</v>
      </c>
    </row>
    <row r="141" spans="1:4" x14ac:dyDescent="0.25">
      <c r="A141" s="2">
        <v>43343</v>
      </c>
      <c r="B141">
        <v>-5.8110032209436335E-3</v>
      </c>
      <c r="C141">
        <v>8.2797005508294941E-3</v>
      </c>
      <c r="D141">
        <v>5.6764765012795593E-3</v>
      </c>
    </row>
    <row r="142" spans="1:4" x14ac:dyDescent="0.25">
      <c r="A142" s="2">
        <v>43373</v>
      </c>
      <c r="B142">
        <v>8.533770051467604E-3</v>
      </c>
      <c r="C142">
        <v>4.7283303773115737E-3</v>
      </c>
      <c r="D142">
        <v>4.5149343340322723E-4</v>
      </c>
    </row>
    <row r="143" spans="1:4" x14ac:dyDescent="0.25">
      <c r="A143" s="2">
        <v>43404</v>
      </c>
      <c r="B143">
        <v>-3.0493547295699086E-3</v>
      </c>
      <c r="C143">
        <v>-7.4729904348206477E-2</v>
      </c>
      <c r="D143">
        <v>-3.8341962886633052E-2</v>
      </c>
    </row>
    <row r="144" spans="1:4" x14ac:dyDescent="0.25">
      <c r="A144" s="2">
        <v>43434</v>
      </c>
      <c r="B144">
        <v>-1.0515486528329676E-3</v>
      </c>
      <c r="C144">
        <v>1.508313749177792E-2</v>
      </c>
      <c r="D144">
        <v>9.9879041490831266E-3</v>
      </c>
    </row>
    <row r="145" spans="1:4" x14ac:dyDescent="0.25">
      <c r="A145" s="2">
        <v>43465</v>
      </c>
      <c r="B145">
        <v>-6.7736420077069148E-5</v>
      </c>
      <c r="C145">
        <v>-7.0005860521484387E-2</v>
      </c>
      <c r="D145">
        <v>-2.7780642595263583E-2</v>
      </c>
    </row>
    <row r="146" spans="1:4" x14ac:dyDescent="0.25">
      <c r="A146" s="2">
        <v>43496</v>
      </c>
      <c r="B146">
        <v>2.2097460421056425E-2</v>
      </c>
      <c r="C146">
        <v>7.9270137013668807E-2</v>
      </c>
      <c r="D146">
        <v>4.4930967732532245E-2</v>
      </c>
    </row>
    <row r="147" spans="1:4" x14ac:dyDescent="0.25">
      <c r="A147" s="2">
        <v>43524</v>
      </c>
      <c r="B147">
        <v>6.759270111379001E-3</v>
      </c>
      <c r="C147">
        <v>2.718243713694668E-2</v>
      </c>
      <c r="D147">
        <v>1.4192099697007521E-2</v>
      </c>
    </row>
    <row r="148" spans="1:4" x14ac:dyDescent="0.25">
      <c r="A148" s="2">
        <v>43555</v>
      </c>
      <c r="B148">
        <v>2.2504841807240439E-3</v>
      </c>
      <c r="C148">
        <v>1.3240459604513477E-2</v>
      </c>
      <c r="D148">
        <v>1.5575438187695578E-2</v>
      </c>
    </row>
    <row r="149" spans="1:4" x14ac:dyDescent="0.25">
      <c r="A149" s="2">
        <v>43585</v>
      </c>
      <c r="B149">
        <v>-1.9467790712890398E-3</v>
      </c>
      <c r="C149">
        <v>3.4207505608903732E-2</v>
      </c>
      <c r="D149">
        <v>1.740165883934397E-2</v>
      </c>
    </row>
    <row r="150" spans="1:4" x14ac:dyDescent="0.25">
      <c r="A150" s="2">
        <v>43616</v>
      </c>
      <c r="B150">
        <v>-3.5587854691363496E-3</v>
      </c>
      <c r="C150">
        <v>-5.8606755374714936E-2</v>
      </c>
      <c r="D150">
        <v>-2.210877842751835E-2</v>
      </c>
    </row>
    <row r="151" spans="1:4" x14ac:dyDescent="0.25">
      <c r="A151" s="2">
        <v>43646</v>
      </c>
      <c r="B151">
        <v>8.4544191598345808E-3</v>
      </c>
      <c r="C151">
        <v>6.5945186101838971E-2</v>
      </c>
      <c r="D151">
        <v>3.9983652712068052E-2</v>
      </c>
    </row>
    <row r="152" spans="1:4" x14ac:dyDescent="0.25">
      <c r="A152" s="2">
        <v>43677</v>
      </c>
      <c r="B152">
        <v>5.1678373669823419E-3</v>
      </c>
      <c r="C152">
        <v>3.2733682150150045E-3</v>
      </c>
      <c r="D152">
        <v>5.5710149343446425E-3</v>
      </c>
    </row>
    <row r="153" spans="1:4" x14ac:dyDescent="0.25">
      <c r="A153" s="2">
        <v>43708</v>
      </c>
      <c r="B153">
        <v>1.5210407516250246E-2</v>
      </c>
      <c r="C153">
        <v>-2.3268577414550462E-2</v>
      </c>
      <c r="D153">
        <v>-2.9509853680764753E-4</v>
      </c>
    </row>
    <row r="154" spans="1:4" x14ac:dyDescent="0.25">
      <c r="A154" s="2">
        <v>43738</v>
      </c>
      <c r="B154">
        <v>-1.1414293153297228E-2</v>
      </c>
      <c r="C154">
        <v>2.1473570235485795E-2</v>
      </c>
      <c r="D154">
        <v>8.4198803745254569E-3</v>
      </c>
    </row>
    <row r="155" spans="1:4" x14ac:dyDescent="0.25">
      <c r="A155" s="2">
        <v>43769</v>
      </c>
      <c r="B155">
        <v>4.371721207581114E-3</v>
      </c>
      <c r="C155">
        <v>2.7603152181425061E-2</v>
      </c>
      <c r="D155">
        <v>1.2938427697678723E-2</v>
      </c>
    </row>
    <row r="156" spans="1:4" x14ac:dyDescent="0.25">
      <c r="A156" s="2">
        <v>43799</v>
      </c>
      <c r="B156">
        <v>-2.8172958651836444E-3</v>
      </c>
      <c r="C156">
        <v>2.4845701214478266E-2</v>
      </c>
      <c r="D156">
        <v>1.1836337247963513E-2</v>
      </c>
    </row>
    <row r="157" spans="1:4" x14ac:dyDescent="0.25">
      <c r="A157" s="2">
        <v>43830</v>
      </c>
      <c r="B157">
        <v>8.8672178955495617E-3</v>
      </c>
      <c r="C157">
        <v>3.5602371189729531E-2</v>
      </c>
      <c r="D157">
        <v>1.6776047565370433E-2</v>
      </c>
    </row>
    <row r="158" spans="1:4" x14ac:dyDescent="0.25">
      <c r="A158" s="2">
        <v>43861</v>
      </c>
      <c r="B158">
        <v>2.5768601557694115E-3</v>
      </c>
      <c r="C158">
        <v>-1.0777789068534216E-2</v>
      </c>
      <c r="D158">
        <v>3.6342819507100277E-3</v>
      </c>
    </row>
    <row r="159" spans="1:4" x14ac:dyDescent="0.25">
      <c r="A159" s="2">
        <v>43890</v>
      </c>
      <c r="B159">
        <v>4.2315638800785038E-3</v>
      </c>
      <c r="C159">
        <v>-8.0482845050492191E-2</v>
      </c>
      <c r="D159">
        <v>-3.4121857669646927E-2</v>
      </c>
    </row>
    <row r="160" spans="1:4" x14ac:dyDescent="0.25">
      <c r="A160" s="2">
        <v>43921</v>
      </c>
      <c r="B160">
        <v>6.1318269051506835E-3</v>
      </c>
      <c r="C160">
        <v>-0.13452880135605239</v>
      </c>
      <c r="D160">
        <v>-7.5046062693198579E-2</v>
      </c>
    </row>
    <row r="161" spans="1:4" x14ac:dyDescent="0.25">
      <c r="A161" s="2">
        <v>43951</v>
      </c>
      <c r="B161">
        <v>2.0753212222526907E-2</v>
      </c>
      <c r="C161">
        <v>0.10780904611501874</v>
      </c>
      <c r="D161">
        <v>6.1998922781940191E-2</v>
      </c>
    </row>
    <row r="162" spans="1:4" x14ac:dyDescent="0.25">
      <c r="A162" s="2">
        <v>43982</v>
      </c>
      <c r="B162">
        <v>1.4100651199479231E-2</v>
      </c>
      <c r="C162">
        <v>4.405747407595495E-2</v>
      </c>
      <c r="D162">
        <v>2.3445834483435846E-2</v>
      </c>
    </row>
    <row r="163" spans="1:4" x14ac:dyDescent="0.25">
      <c r="A163" s="2">
        <v>44012</v>
      </c>
      <c r="B163">
        <v>4.7825465411106549E-3</v>
      </c>
      <c r="C163">
        <v>3.2352919511458689E-2</v>
      </c>
      <c r="D163">
        <v>1.8671799239351028E-2</v>
      </c>
    </row>
    <row r="164" spans="1:4" x14ac:dyDescent="0.25">
      <c r="A164" s="2">
        <v>44043</v>
      </c>
      <c r="B164">
        <v>1.4415883607365343E-2</v>
      </c>
      <c r="C164">
        <v>5.3283022730615137E-2</v>
      </c>
      <c r="D164">
        <v>3.2105372642293517E-2</v>
      </c>
    </row>
    <row r="165" spans="1:4" x14ac:dyDescent="0.25">
      <c r="A165" s="2">
        <v>44074</v>
      </c>
      <c r="B165">
        <v>5.6077319113894131E-3</v>
      </c>
      <c r="C165">
        <v>6.1590762383336495E-2</v>
      </c>
      <c r="D165">
        <v>2.7172214094142388E-2</v>
      </c>
    </row>
    <row r="166" spans="1:4" x14ac:dyDescent="0.25">
      <c r="A166" s="2">
        <v>44104</v>
      </c>
      <c r="B166">
        <v>-3.8533925709159922E-3</v>
      </c>
      <c r="C166">
        <v>-3.2027031436620446E-2</v>
      </c>
      <c r="D166">
        <v>-1.4186974121603524E-2</v>
      </c>
    </row>
  </sheetData>
  <phoneticPr fontId="3" type="noConversion"/>
  <conditionalFormatting sqref="A2:A66">
    <cfRule type="notContainsBlanks" dxfId="7" priority="2" stopIfTrue="1">
      <formula>LEN(TRIM(A2))&gt;0</formula>
    </cfRule>
  </conditionalFormatting>
  <conditionalFormatting sqref="A67:A166">
    <cfRule type="notContainsBlanks" dxfId="6" priority="1" stopIfTrue="1">
      <formula>LEN(TRIM(A67))&gt;0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BBE4-0382-478B-A4F2-E654774DB085}">
  <dimension ref="A1:BF166"/>
  <sheetViews>
    <sheetView workbookViewId="0"/>
  </sheetViews>
  <sheetFormatPr defaultRowHeight="15" x14ac:dyDescent="0.25"/>
  <cols>
    <col min="1" max="1" width="8.7109375" style="1"/>
    <col min="2" max="2" width="18.7109375" style="12" customWidth="1"/>
    <col min="3" max="3" width="17.42578125" style="12" customWidth="1"/>
    <col min="4" max="13" width="12.85546875" style="12" customWidth="1"/>
    <col min="14" max="17" width="12.85546875" customWidth="1"/>
  </cols>
  <sheetData>
    <row r="1" spans="1:58" s="6" customFormat="1" ht="17.45" customHeight="1" x14ac:dyDescent="0.25">
      <c r="A1" s="44"/>
      <c r="B1" s="6" t="str" cm="1">
        <f t="array" ref="B1">_xll.ASGetAssetsVector("Portfolios\"&amp;'PBA Summary'!C2,0,0,250,0,0)</f>
        <v>Alexion Pharmaceuticals Inc</v>
      </c>
      <c r="C1" s="6" t="s">
        <v>316</v>
      </c>
      <c r="D1" s="6" t="s">
        <v>288</v>
      </c>
      <c r="E1" s="6" t="s">
        <v>317</v>
      </c>
      <c r="F1" s="6" t="s">
        <v>289</v>
      </c>
      <c r="G1" s="6" t="s">
        <v>290</v>
      </c>
      <c r="H1" s="6" t="s">
        <v>291</v>
      </c>
      <c r="I1" s="6" t="s">
        <v>292</v>
      </c>
      <c r="J1" s="6" t="s">
        <v>293</v>
      </c>
      <c r="K1" s="6" t="s">
        <v>294</v>
      </c>
      <c r="L1" s="6" t="s">
        <v>272</v>
      </c>
      <c r="M1" s="6" t="s">
        <v>318</v>
      </c>
      <c r="N1" s="6" t="s">
        <v>319</v>
      </c>
      <c r="O1" s="6" t="s">
        <v>295</v>
      </c>
      <c r="P1" s="6" t="s">
        <v>320</v>
      </c>
      <c r="Q1" s="6" t="s">
        <v>296</v>
      </c>
      <c r="R1" s="6" t="s">
        <v>321</v>
      </c>
      <c r="S1" s="6" t="s">
        <v>322</v>
      </c>
      <c r="T1" s="6" t="s">
        <v>323</v>
      </c>
      <c r="U1" s="6" t="s">
        <v>273</v>
      </c>
      <c r="V1" s="6" t="s">
        <v>324</v>
      </c>
      <c r="W1" s="6" t="s">
        <v>274</v>
      </c>
      <c r="X1" s="6" t="s">
        <v>15</v>
      </c>
      <c r="Y1" s="6" t="s">
        <v>16</v>
      </c>
      <c r="Z1" s="6" t="s">
        <v>275</v>
      </c>
      <c r="AA1" s="6" t="s">
        <v>297</v>
      </c>
      <c r="AB1" s="6" t="s">
        <v>325</v>
      </c>
      <c r="AC1" s="6" t="s">
        <v>298</v>
      </c>
      <c r="AD1" s="6" t="s">
        <v>299</v>
      </c>
      <c r="AE1" s="6" t="s">
        <v>300</v>
      </c>
      <c r="AF1" s="6" t="s">
        <v>301</v>
      </c>
      <c r="AG1" s="6" t="s">
        <v>302</v>
      </c>
      <c r="AH1" s="6" t="s">
        <v>276</v>
      </c>
      <c r="AI1" s="6" t="s">
        <v>17</v>
      </c>
      <c r="AJ1" s="6" t="s">
        <v>303</v>
      </c>
      <c r="AK1" s="6" t="s">
        <v>304</v>
      </c>
      <c r="AL1" s="6" t="s">
        <v>305</v>
      </c>
      <c r="AM1" s="6" t="s">
        <v>306</v>
      </c>
      <c r="AN1" s="6" t="s">
        <v>326</v>
      </c>
      <c r="AO1" s="6" t="s">
        <v>327</v>
      </c>
      <c r="AP1" s="6" t="s">
        <v>277</v>
      </c>
      <c r="AQ1" s="6" t="s">
        <v>307</v>
      </c>
      <c r="AR1" s="6" t="s">
        <v>308</v>
      </c>
      <c r="AS1" s="6" t="s">
        <v>309</v>
      </c>
      <c r="AT1" s="6" t="s">
        <v>278</v>
      </c>
      <c r="AU1" s="6" t="s">
        <v>279</v>
      </c>
      <c r="AV1" s="6" t="s">
        <v>280</v>
      </c>
      <c r="AW1" s="6" t="s">
        <v>213</v>
      </c>
      <c r="AX1" s="6" t="s">
        <v>328</v>
      </c>
      <c r="AY1" s="6" t="s">
        <v>310</v>
      </c>
      <c r="AZ1" s="6" t="s">
        <v>329</v>
      </c>
      <c r="BA1" s="6" t="s">
        <v>281</v>
      </c>
      <c r="BB1" s="6" t="s">
        <v>330</v>
      </c>
      <c r="BC1" s="6" t="s">
        <v>311</v>
      </c>
      <c r="BD1" s="6" t="s">
        <v>282</v>
      </c>
      <c r="BE1" s="6" t="s">
        <v>312</v>
      </c>
      <c r="BF1" s="6" t="s">
        <v>313</v>
      </c>
    </row>
    <row r="2" spans="1:58" x14ac:dyDescent="0.25">
      <c r="A2" s="2" cm="1">
        <f t="array" ref="A2">_xll.ASAssetTSVector(Returns_A!B$1,1,"ROR","M",'PBA Summary'!$F$2,'PBA Summary'!$G$2,"FIT",1)</f>
        <v>43434</v>
      </c>
      <c r="B2">
        <v>9.8866779691264561E-2</v>
      </c>
      <c r="C2" cm="1">
        <f t="array" ref="C2">_xll.ASAssetTSVector(Returns_A!C$1,0,"ROR","M",'PBA Summary'!$F$2,'PBA Summary'!$G$2,"FIT",1)</f>
        <v>-2.3375331564986834E-2</v>
      </c>
      <c r="D2" cm="1">
        <f t="array" ref="D2">_xll.ASAssetTSVector(Returns_A!D$1,0,"ROR","M",'PBA Summary'!$F$2,'PBA Summary'!$G$2,"FIT",1)</f>
        <v>-4.1539860775877679E-3</v>
      </c>
      <c r="E2" cm="1">
        <f t="array" ref="E2">_xll.ASAssetTSVector(Returns_A!E$1,0,"ROR","M",'PBA Summary'!$F$2,'PBA Summary'!$G$2,"FIT",1)</f>
        <v>2.5920901349837155E-2</v>
      </c>
      <c r="F2" cm="1">
        <f t="array" ref="F2">_xll.ASAssetTSVector(Returns_A!F$1,0,"ROR","M",'PBA Summary'!$F$2,'PBA Summary'!$G$2,"FIT",1)</f>
        <v>4.3915471109317261E-2</v>
      </c>
      <c r="G2" cm="1">
        <f t="array" ref="G2">_xll.ASAssetTSVector(Returns_A!G$1,0,"ROR","M",'PBA Summary'!$F$2,'PBA Summary'!$G$2,"FIT",1)</f>
        <v>-2.9999999999998916E-3</v>
      </c>
      <c r="H2" cm="1">
        <f t="array" ref="H2">_xll.ASAssetTSVector(Returns_A!H$1,0,"ROR","M",'PBA Summary'!$F$2,'PBA Summary'!$G$2,"FIT",1)</f>
        <v>4.9116294795858995E-3</v>
      </c>
      <c r="I2" cm="1">
        <f t="array" ref="I2">_xll.ASAssetTSVector(Returns_A!I$1,0,"ROR","M",'PBA Summary'!$F$2,'PBA Summary'!$G$2,"FIT",1)</f>
        <v>-1.2505862122873523E-3</v>
      </c>
      <c r="J2" cm="1">
        <f t="array" ref="J2">_xll.ASAssetTSVector(Returns_A!J$1,0,"ROR","M",'PBA Summary'!$F$2,'PBA Summary'!$G$2,"FIT",1)</f>
        <v>-8.8223334099470918E-3</v>
      </c>
      <c r="K2" cm="1">
        <f t="array" ref="K2">_xll.ASAssetTSVector(Returns_A!K$1,0,"ROR","M",'PBA Summary'!$F$2,'PBA Summary'!$G$2,"FIT",1)</f>
        <v>2.8635062042634551E-3</v>
      </c>
      <c r="L2" cm="1">
        <f t="array" ref="L2">_xll.ASAssetTSVector(Returns_A!L$1,0,"ROR","M",'PBA Summary'!$F$2,'PBA Summary'!$G$2,"FIT",1)</f>
        <v>-4.5999999999999999E-2</v>
      </c>
      <c r="M2" cm="1">
        <f t="array" ref="M2">_xll.ASAssetTSVector(Returns_A!M$1,0,"ROR","M",'PBA Summary'!$F$2,'PBA Summary'!$G$2,"FIT",1)</f>
        <v>1.0078951789014079E-2</v>
      </c>
    </row>
    <row r="3" spans="1:58" x14ac:dyDescent="0.25">
      <c r="A3" s="2">
        <v>43465</v>
      </c>
      <c r="B3">
        <v>-0.20941940722695884</v>
      </c>
      <c r="C3">
        <v>4.5832626039719049E-3</v>
      </c>
      <c r="D3">
        <v>-0.13735769965956235</v>
      </c>
      <c r="E3">
        <v>-9.362674910042168E-2</v>
      </c>
      <c r="F3">
        <v>-0.13647127320758989</v>
      </c>
      <c r="G3">
        <v>-7.0000000000000062E-3</v>
      </c>
      <c r="H3">
        <v>9.0812314622559231E-3</v>
      </c>
      <c r="I3">
        <v>2.2695257473785979E-3</v>
      </c>
      <c r="J3">
        <v>8.2052013841811267E-3</v>
      </c>
      <c r="K3">
        <v>-7.2969543147208049E-2</v>
      </c>
      <c r="L3">
        <v>-5.2000000000000005E-2</v>
      </c>
      <c r="M3">
        <v>8.3901546648927461E-2</v>
      </c>
    </row>
    <row r="4" spans="1:58" x14ac:dyDescent="0.25">
      <c r="A4" s="4">
        <v>43496</v>
      </c>
      <c r="B4">
        <v>0.26294165981922846</v>
      </c>
      <c r="C4">
        <v>4.5623521459952743E-2</v>
      </c>
      <c r="D4">
        <v>0.13894704694684368</v>
      </c>
      <c r="E4">
        <v>-4.6090617386371102E-2</v>
      </c>
      <c r="F4">
        <v>0.15756860653510563</v>
      </c>
      <c r="G4">
        <v>8.0000000000000071E-3</v>
      </c>
      <c r="H4">
        <v>2.2714981070849127E-2</v>
      </c>
      <c r="I4">
        <v>1.811509330834693E-2</v>
      </c>
      <c r="J4">
        <v>1.6188386822830525E-2</v>
      </c>
      <c r="K4">
        <v>0.12936344969199198</v>
      </c>
      <c r="L4">
        <v>0.123701509819092</v>
      </c>
      <c r="M4">
        <v>1.8411967779061733E-3</v>
      </c>
    </row>
    <row r="5" spans="1:58" x14ac:dyDescent="0.25">
      <c r="A5" s="4">
        <v>43524</v>
      </c>
      <c r="B5">
        <v>0.10060182173064458</v>
      </c>
      <c r="C5">
        <v>1.3170652876535183E-2</v>
      </c>
      <c r="D5">
        <v>7.5818878447870608E-2</v>
      </c>
      <c r="E5">
        <v>-5.5480027190211167E-3</v>
      </c>
      <c r="F5">
        <v>8.153396433500304E-2</v>
      </c>
      <c r="G5">
        <v>4.9999999999998934E-3</v>
      </c>
      <c r="H5">
        <v>1.3401589559883353E-2</v>
      </c>
      <c r="I5">
        <v>4.5248868778280382E-3</v>
      </c>
      <c r="J5">
        <v>1.3588801643539927E-2</v>
      </c>
      <c r="K5">
        <v>0.1166666666666667</v>
      </c>
      <c r="L5">
        <v>5.2150565639250503E-2</v>
      </c>
      <c r="M5">
        <v>3.859407305306739E-2</v>
      </c>
    </row>
    <row r="6" spans="1:58" x14ac:dyDescent="0.25">
      <c r="A6" s="4">
        <v>43555</v>
      </c>
      <c r="B6">
        <v>-1.1084016847708877E-3</v>
      </c>
      <c r="C6">
        <v>2.1532817609062338E-3</v>
      </c>
      <c r="D6">
        <v>4.9306267135617698E-2</v>
      </c>
      <c r="E6">
        <v>-2.1148091930452306E-2</v>
      </c>
      <c r="F6">
        <v>3.65130719610951E-3</v>
      </c>
      <c r="G6">
        <v>9.9999999999988987E-4</v>
      </c>
      <c r="H6">
        <v>2.1154348393836786E-2</v>
      </c>
      <c r="I6">
        <v>1.610932966865164E-2</v>
      </c>
      <c r="J6">
        <v>1.6919311203675624E-2</v>
      </c>
      <c r="K6">
        <v>2.7408412483039379E-2</v>
      </c>
      <c r="L6">
        <v>1.3206714973671201E-2</v>
      </c>
      <c r="M6">
        <v>-9.0319250903193038E-2</v>
      </c>
    </row>
    <row r="7" spans="1:58" x14ac:dyDescent="0.25">
      <c r="A7" s="4">
        <v>43585</v>
      </c>
      <c r="B7">
        <v>7.0276668146176391E-3</v>
      </c>
      <c r="C7">
        <v>3.0876969600509119E-2</v>
      </c>
      <c r="D7">
        <v>-5.5833557670483147E-2</v>
      </c>
      <c r="E7">
        <v>1.7926858281287483E-2</v>
      </c>
      <c r="F7">
        <v>1.0485597070359454E-2</v>
      </c>
      <c r="G7">
        <v>9.9999999999988987E-4</v>
      </c>
      <c r="H7">
        <v>6.8130803638277726E-3</v>
      </c>
      <c r="I7">
        <v>4.0574047636943167E-3</v>
      </c>
      <c r="J7">
        <v>9.6364173810223885E-3</v>
      </c>
      <c r="K7">
        <v>2.0602218700475294E-2</v>
      </c>
      <c r="L7">
        <v>3.7088827332798897E-2</v>
      </c>
      <c r="M7">
        <v>-9.9205705949100054E-2</v>
      </c>
    </row>
    <row r="8" spans="1:58" x14ac:dyDescent="0.25">
      <c r="A8" s="4">
        <v>43616</v>
      </c>
      <c r="B8">
        <v>-0.16491588922353628</v>
      </c>
      <c r="C8">
        <v>-2.1383356492202799E-2</v>
      </c>
      <c r="D8">
        <v>-5.5621556497893354E-2</v>
      </c>
      <c r="E8">
        <v>7.8794492355444445E-2</v>
      </c>
      <c r="F8">
        <v>-0.13744243922930011</v>
      </c>
      <c r="G8">
        <v>4.9999999999998934E-3</v>
      </c>
      <c r="H8">
        <v>5.0040400019069065E-3</v>
      </c>
      <c r="I8">
        <v>1.0327022375215433E-2</v>
      </c>
      <c r="J8">
        <v>4.6174694259952798E-3</v>
      </c>
      <c r="K8">
        <v>-4.1666666666665964E-2</v>
      </c>
      <c r="L8">
        <v>-4.1583216974909402E-2</v>
      </c>
      <c r="M8">
        <v>-9.7174734569012156E-3</v>
      </c>
    </row>
    <row r="9" spans="1:58" x14ac:dyDescent="0.25">
      <c r="A9" s="4">
        <v>43646</v>
      </c>
      <c r="B9">
        <v>0.1521815622800835</v>
      </c>
      <c r="C9">
        <v>3.2184270726513198E-2</v>
      </c>
      <c r="D9">
        <v>0.11965392003930875</v>
      </c>
      <c r="E9">
        <v>4.9763169830377096E-2</v>
      </c>
      <c r="F9">
        <v>0.17800050078218455</v>
      </c>
      <c r="G9">
        <v>4.0000000000000036E-3</v>
      </c>
      <c r="H9">
        <v>1.7545714981612059E-2</v>
      </c>
      <c r="I9">
        <v>1.4517443152358922E-2</v>
      </c>
      <c r="J9">
        <v>2.3830538393645018E-2</v>
      </c>
      <c r="K9">
        <v>3.9697542533081664E-2</v>
      </c>
      <c r="L9">
        <v>8.6567000000000102E-2</v>
      </c>
      <c r="M9">
        <v>4.4702889333090745E-2</v>
      </c>
    </row>
    <row r="10" spans="1:58" x14ac:dyDescent="0.25">
      <c r="A10" s="4">
        <v>43677</v>
      </c>
      <c r="B10">
        <v>-0.13505878760116041</v>
      </c>
      <c r="C10">
        <v>9.8586167367209487E-3</v>
      </c>
      <c r="D10">
        <v>-2.3256182834785366E-2</v>
      </c>
      <c r="E10">
        <v>3.0601594293918177E-2</v>
      </c>
      <c r="F10">
        <v>1.0005733162248953E-2</v>
      </c>
      <c r="G10">
        <v>8.999999999999897E-3</v>
      </c>
      <c r="H10">
        <v>7.3716117074384968E-4</v>
      </c>
      <c r="I10">
        <v>6.8628166751849573E-3</v>
      </c>
      <c r="J10">
        <v>7.888744307091633E-3</v>
      </c>
      <c r="K10">
        <v>2.3116883116882647E-2</v>
      </c>
      <c r="L10">
        <v>1.2071966109775E-2</v>
      </c>
      <c r="M10">
        <v>-2.4873891111497626E-2</v>
      </c>
    </row>
    <row r="11" spans="1:58" x14ac:dyDescent="0.25">
      <c r="A11" s="4">
        <v>43708</v>
      </c>
      <c r="B11">
        <v>-0.11060111218995472</v>
      </c>
      <c r="C11">
        <v>8.6272135613738588E-3</v>
      </c>
      <c r="D11">
        <v>-2.4941266902681392E-2</v>
      </c>
      <c r="E11">
        <v>1.1721012248285145E-2</v>
      </c>
      <c r="F11">
        <v>-8.5431239706759921E-2</v>
      </c>
      <c r="G11">
        <v>4.9999999999998934E-3</v>
      </c>
      <c r="H11">
        <v>2.3817602156324114E-3</v>
      </c>
      <c r="I11">
        <v>9.2089043579146601E-3</v>
      </c>
      <c r="J11">
        <v>2.2278705720971015E-2</v>
      </c>
      <c r="K11">
        <v>-6.3467885250064748E-3</v>
      </c>
      <c r="L11">
        <v>9.492727001575E-3</v>
      </c>
      <c r="M11">
        <v>-7.1352122725650946E-2</v>
      </c>
    </row>
    <row r="12" spans="1:58" x14ac:dyDescent="0.25">
      <c r="A12" s="4">
        <v>43738</v>
      </c>
      <c r="B12">
        <v>-2.7987296546248208E-2</v>
      </c>
      <c r="C12">
        <v>1.350540216086471E-2</v>
      </c>
      <c r="D12">
        <v>-8.2558646284694448E-2</v>
      </c>
      <c r="E12">
        <v>2.5588303140939406E-2</v>
      </c>
      <c r="F12">
        <v>-3.2265895978162651E-2</v>
      </c>
      <c r="G12">
        <v>2.9999999999998916E-3</v>
      </c>
      <c r="H12">
        <v>2.5706940874035134E-3</v>
      </c>
      <c r="I12">
        <v>-1.0777410547493371E-3</v>
      </c>
      <c r="J12">
        <v>-2.1153830974581789E-3</v>
      </c>
      <c r="K12">
        <v>-6.6428206438426396E-2</v>
      </c>
      <c r="L12">
        <v>5.0000000000000001E-3</v>
      </c>
      <c r="M12">
        <v>1.3061851709565753E-2</v>
      </c>
    </row>
    <row r="13" spans="1:58" x14ac:dyDescent="0.25">
      <c r="A13" s="4">
        <v>43769</v>
      </c>
      <c r="B13">
        <v>7.6169083112108904E-2</v>
      </c>
      <c r="C13">
        <v>1.7767249037606403E-2</v>
      </c>
      <c r="D13">
        <v>0.1055123732644303</v>
      </c>
      <c r="E13">
        <v>-1.3764779713541286E-2</v>
      </c>
      <c r="F13">
        <v>3.1243114712972586E-2</v>
      </c>
      <c r="G13">
        <v>9.9999999999988987E-4</v>
      </c>
      <c r="H13">
        <v>7.6037624143392435E-3</v>
      </c>
      <c r="I13">
        <v>-5.754153779755633E-4</v>
      </c>
      <c r="J13">
        <v>9.9665408984095372E-4</v>
      </c>
      <c r="K13">
        <v>4.5703338806787563E-2</v>
      </c>
      <c r="L13">
        <v>2.6999999999999913E-2</v>
      </c>
      <c r="M13">
        <v>1.1376564277596479E-3</v>
      </c>
    </row>
    <row r="14" spans="1:58" x14ac:dyDescent="0.25">
      <c r="A14" s="4">
        <v>43799</v>
      </c>
      <c r="B14">
        <v>8.1024667931688166E-2</v>
      </c>
      <c r="C14">
        <v>6.619144602850735E-3</v>
      </c>
      <c r="D14">
        <v>0.1335635933702628</v>
      </c>
      <c r="E14">
        <v>6.2883448538003872E-2</v>
      </c>
      <c r="F14">
        <v>0.14017604240925552</v>
      </c>
      <c r="G14">
        <v>3.0000000000000001E-3</v>
      </c>
      <c r="H14">
        <v>3.5266136307716689E-3</v>
      </c>
      <c r="I14">
        <v>3.3105433609206258E-3</v>
      </c>
      <c r="J14">
        <v>6.8985136192303287E-3</v>
      </c>
      <c r="K14">
        <v>4.03035854488345E-2</v>
      </c>
      <c r="L14">
        <v>0.02</v>
      </c>
      <c r="M14">
        <v>-5.8333333333333126E-2</v>
      </c>
    </row>
    <row r="15" spans="1:58" x14ac:dyDescent="0.25">
      <c r="A15" s="4">
        <v>43830</v>
      </c>
      <c r="B15">
        <v>-5.0816219062664536E-2</v>
      </c>
      <c r="C15">
        <v>2.0304935327696949E-2</v>
      </c>
      <c r="D15">
        <v>6.942291627433117E-2</v>
      </c>
      <c r="E15">
        <v>4.5806743858924248E-2</v>
      </c>
      <c r="F15">
        <v>-3.836791640692061E-3</v>
      </c>
      <c r="G15">
        <v>2E-3</v>
      </c>
      <c r="H15">
        <v>2.2942433069699231E-3</v>
      </c>
      <c r="I15">
        <v>6.3840470554483719E-3</v>
      </c>
      <c r="J15">
        <v>5.0854640485948899E-3</v>
      </c>
      <c r="K15">
        <v>3.3710691823900074E-2</v>
      </c>
      <c r="L15">
        <v>2.8999999999999998E-2</v>
      </c>
      <c r="M15">
        <v>5.5711987127916585E-2</v>
      </c>
    </row>
    <row r="16" spans="1:58" x14ac:dyDescent="0.25">
      <c r="A16" s="4">
        <v>43861</v>
      </c>
      <c r="B16">
        <v>-8.099861303744782E-2</v>
      </c>
      <c r="C16">
        <v>1.4943342776204238E-2</v>
      </c>
      <c r="D16">
        <v>-5.9601751930283831E-2</v>
      </c>
      <c r="E16">
        <v>-3.3245438725809651E-3</v>
      </c>
      <c r="F16">
        <v>3.4965842465601193E-2</v>
      </c>
      <c r="G16">
        <v>4.5000000000000005E-3</v>
      </c>
      <c r="H16">
        <v>1.545473824619914E-2</v>
      </c>
      <c r="I16">
        <v>1.1047754811118971E-2</v>
      </c>
      <c r="J16">
        <v>1.7232763332552192E-2</v>
      </c>
      <c r="K16">
        <v>6.7899732294962378E-2</v>
      </c>
      <c r="L16">
        <v>-5.0000000000000001E-3</v>
      </c>
      <c r="M16">
        <v>-0.10544865688702609</v>
      </c>
    </row>
    <row r="17" spans="1:13" x14ac:dyDescent="0.25">
      <c r="A17" s="4">
        <v>39568</v>
      </c>
      <c r="B17">
        <v>0.18684654300168724</v>
      </c>
      <c r="C17"/>
      <c r="D17"/>
      <c r="E17"/>
      <c r="F17"/>
      <c r="G17"/>
      <c r="H17"/>
      <c r="I17"/>
      <c r="J17"/>
      <c r="K17">
        <v>0.14936708860759551</v>
      </c>
      <c r="L17"/>
      <c r="M17">
        <v>0.13084112149532756</v>
      </c>
    </row>
    <row r="18" spans="1:13" x14ac:dyDescent="0.25">
      <c r="A18" s="4">
        <v>39599</v>
      </c>
      <c r="B18">
        <v>1.3782324524012513E-2</v>
      </c>
      <c r="C18"/>
      <c r="D18"/>
      <c r="E18"/>
      <c r="F18"/>
      <c r="G18">
        <v>0</v>
      </c>
      <c r="H18"/>
      <c r="I18"/>
      <c r="J18"/>
      <c r="K18">
        <v>6.4977973568281611E-2</v>
      </c>
      <c r="L18"/>
      <c r="M18">
        <v>0.15702479338843034</v>
      </c>
    </row>
    <row r="19" spans="1:13" x14ac:dyDescent="0.25">
      <c r="A19" s="4">
        <v>39629</v>
      </c>
      <c r="B19">
        <v>1.6117729502452605E-2</v>
      </c>
      <c r="C19"/>
      <c r="D19"/>
      <c r="E19"/>
      <c r="F19"/>
      <c r="G19">
        <v>-2.100000000000013E-2</v>
      </c>
      <c r="H19"/>
      <c r="I19"/>
      <c r="J19"/>
      <c r="K19">
        <v>-0.11168562564632856</v>
      </c>
      <c r="L19"/>
      <c r="M19">
        <v>-0.21428571428571463</v>
      </c>
    </row>
    <row r="20" spans="1:13" x14ac:dyDescent="0.25">
      <c r="A20" s="4">
        <v>39660</v>
      </c>
      <c r="B20">
        <v>0.2931034482758621</v>
      </c>
      <c r="C20"/>
      <c r="D20"/>
      <c r="E20"/>
      <c r="F20"/>
      <c r="G20">
        <v>0</v>
      </c>
      <c r="H20"/>
      <c r="I20"/>
      <c r="J20"/>
      <c r="K20">
        <v>-6.9848661233993248E-3</v>
      </c>
      <c r="L20"/>
      <c r="M20">
        <v>0.10000000000000053</v>
      </c>
    </row>
    <row r="21" spans="1:13" x14ac:dyDescent="0.25">
      <c r="A21" s="4">
        <v>39691</v>
      </c>
      <c r="B21">
        <v>-3.8293333333333512E-2</v>
      </c>
      <c r="C21"/>
      <c r="D21"/>
      <c r="E21"/>
      <c r="F21"/>
      <c r="G21">
        <v>0</v>
      </c>
      <c r="H21"/>
      <c r="I21"/>
      <c r="J21"/>
      <c r="K21">
        <v>-2.5791324736224919E-2</v>
      </c>
      <c r="L21"/>
      <c r="M21">
        <v>-0.10743801652892571</v>
      </c>
    </row>
    <row r="22" spans="1:13" x14ac:dyDescent="0.25">
      <c r="A22" s="4">
        <v>39721</v>
      </c>
      <c r="B22">
        <v>-0.12821650399290185</v>
      </c>
      <c r="C22"/>
      <c r="D22"/>
      <c r="E22"/>
      <c r="F22"/>
      <c r="G22">
        <v>2.0000000000000018E-3</v>
      </c>
      <c r="H22"/>
      <c r="I22"/>
      <c r="J22"/>
      <c r="K22">
        <v>-0.22864019253910939</v>
      </c>
      <c r="L22"/>
      <c r="M22">
        <v>-6.666666666666643E-2</v>
      </c>
    </row>
    <row r="23" spans="1:13" x14ac:dyDescent="0.25">
      <c r="A23" s="4">
        <v>39752</v>
      </c>
      <c r="B23">
        <v>3.6895674300254422E-2</v>
      </c>
      <c r="C23"/>
      <c r="D23"/>
      <c r="E23"/>
      <c r="F23"/>
      <c r="G23">
        <v>-4.9999999999998934E-3</v>
      </c>
      <c r="H23"/>
      <c r="I23"/>
      <c r="J23"/>
      <c r="K23">
        <v>-0.14820592823712975</v>
      </c>
      <c r="L23"/>
      <c r="M23">
        <v>-6.9444444444444753E-2</v>
      </c>
    </row>
    <row r="24" spans="1:13" x14ac:dyDescent="0.25">
      <c r="A24" s="4">
        <v>39782</v>
      </c>
      <c r="B24">
        <v>-0.17398773006135027</v>
      </c>
      <c r="C24"/>
      <c r="D24"/>
      <c r="E24"/>
      <c r="F24"/>
      <c r="G24">
        <v>-3.5000000000000031E-2</v>
      </c>
      <c r="H24"/>
      <c r="I24"/>
      <c r="J24"/>
      <c r="K24">
        <v>-0.15750915750915828</v>
      </c>
      <c r="L24"/>
      <c r="M24">
        <v>0.11727078891258125</v>
      </c>
    </row>
    <row r="25" spans="1:13" x14ac:dyDescent="0.25">
      <c r="A25" s="4">
        <v>39813</v>
      </c>
      <c r="B25">
        <v>7.5163398692810635E-2</v>
      </c>
      <c r="C25"/>
      <c r="D25"/>
      <c r="E25"/>
      <c r="F25"/>
      <c r="G25">
        <v>2.8000000000000025E-2</v>
      </c>
      <c r="H25"/>
      <c r="I25"/>
      <c r="J25"/>
      <c r="K25">
        <v>2.3913043478260843E-2</v>
      </c>
      <c r="L25"/>
      <c r="M25">
        <v>0.10114503816793841</v>
      </c>
    </row>
    <row r="26" spans="1:13" x14ac:dyDescent="0.25">
      <c r="A26" s="4">
        <v>39844</v>
      </c>
      <c r="B26">
        <v>1.878972091738107E-2</v>
      </c>
      <c r="C26"/>
      <c r="D26"/>
      <c r="E26"/>
      <c r="F26"/>
      <c r="G26">
        <v>2.6999999999999913E-2</v>
      </c>
      <c r="H26"/>
      <c r="I26"/>
      <c r="J26"/>
      <c r="K26">
        <v>1.6985138004246503E-2</v>
      </c>
      <c r="L26"/>
      <c r="M26">
        <v>-6.4124783362217941E-2</v>
      </c>
    </row>
    <row r="27" spans="1:13" x14ac:dyDescent="0.25">
      <c r="A27" s="4">
        <v>39872</v>
      </c>
      <c r="B27">
        <v>-7.2416598860861936E-2</v>
      </c>
      <c r="C27"/>
      <c r="D27"/>
      <c r="E27"/>
      <c r="F27"/>
      <c r="G27">
        <v>-3.0000000000000027E-3</v>
      </c>
      <c r="H27"/>
      <c r="I27"/>
      <c r="J27"/>
      <c r="K27">
        <v>-2.087682672233826E-2</v>
      </c>
      <c r="L27"/>
      <c r="M27">
        <v>-0.12037037037037035</v>
      </c>
    </row>
    <row r="28" spans="1:13" x14ac:dyDescent="0.25">
      <c r="A28" s="4">
        <v>39903</v>
      </c>
      <c r="B28">
        <v>0.10116959064327502</v>
      </c>
      <c r="C28"/>
      <c r="D28"/>
      <c r="E28"/>
      <c r="F28"/>
      <c r="G28">
        <v>8.999999999999897E-3</v>
      </c>
      <c r="H28"/>
      <c r="I28"/>
      <c r="J28"/>
      <c r="K28">
        <v>0.13432835820895495</v>
      </c>
      <c r="L28"/>
      <c r="M28">
        <v>6.526315789473669E-2</v>
      </c>
    </row>
    <row r="29" spans="1:13" x14ac:dyDescent="0.25">
      <c r="A29" s="4">
        <v>39933</v>
      </c>
      <c r="B29">
        <v>-0.11258629845990409</v>
      </c>
      <c r="C29"/>
      <c r="D29"/>
      <c r="E29"/>
      <c r="F29"/>
      <c r="G29">
        <v>4.2000000000000259E-2</v>
      </c>
      <c r="H29"/>
      <c r="I29"/>
      <c r="J29"/>
      <c r="K29">
        <v>0.19172932330827042</v>
      </c>
      <c r="L29"/>
      <c r="M29">
        <v>6.7193675889327897E-2</v>
      </c>
    </row>
    <row r="30" spans="1:13" x14ac:dyDescent="0.25">
      <c r="A30" s="4">
        <v>39964</v>
      </c>
      <c r="B30">
        <v>9.2160383004189494E-2</v>
      </c>
      <c r="C30"/>
      <c r="D30"/>
      <c r="E30"/>
      <c r="F30"/>
      <c r="G30">
        <v>6.8999999999999506E-2</v>
      </c>
      <c r="H30"/>
      <c r="I30"/>
      <c r="J30"/>
      <c r="K30">
        <v>5.205047318611955E-2</v>
      </c>
      <c r="L30"/>
      <c r="M30">
        <v>2.9629629629629894E-2</v>
      </c>
    </row>
    <row r="31" spans="1:13" x14ac:dyDescent="0.25">
      <c r="A31" s="4">
        <v>39994</v>
      </c>
      <c r="B31">
        <v>0.12630136986301466</v>
      </c>
      <c r="C31"/>
      <c r="D31"/>
      <c r="E31"/>
      <c r="F31"/>
      <c r="G31">
        <v>8.0000000000002292E-3</v>
      </c>
      <c r="H31"/>
      <c r="I31"/>
      <c r="J31"/>
      <c r="K31">
        <v>7.496251874063109E-3</v>
      </c>
      <c r="L31"/>
      <c r="M31">
        <v>7.5539568345324382E-2</v>
      </c>
    </row>
    <row r="32" spans="1:13" x14ac:dyDescent="0.25">
      <c r="A32" s="4">
        <v>40025</v>
      </c>
      <c r="B32">
        <v>7.1515446363415336E-2</v>
      </c>
      <c r="C32"/>
      <c r="D32"/>
      <c r="E32"/>
      <c r="F32"/>
      <c r="G32">
        <v>7.0999999999999952E-2</v>
      </c>
      <c r="H32"/>
      <c r="I32"/>
      <c r="J32"/>
      <c r="K32">
        <v>9.8214285714285587E-2</v>
      </c>
      <c r="L32"/>
      <c r="M32">
        <v>4.3227424749163745E-2</v>
      </c>
    </row>
    <row r="33" spans="1:13" x14ac:dyDescent="0.25">
      <c r="A33" s="4">
        <v>40056</v>
      </c>
      <c r="B33">
        <v>2.4517593643587077E-2</v>
      </c>
      <c r="C33"/>
      <c r="D33"/>
      <c r="E33"/>
      <c r="F33"/>
      <c r="G33">
        <v>1.9000000000000128E-2</v>
      </c>
      <c r="H33"/>
      <c r="I33"/>
      <c r="J33"/>
      <c r="K33">
        <v>1.084010840108407E-2</v>
      </c>
      <c r="L33"/>
      <c r="M33">
        <v>-7.2773903983328947E-2</v>
      </c>
    </row>
    <row r="34" spans="1:13" x14ac:dyDescent="0.25">
      <c r="A34" s="4">
        <v>40086</v>
      </c>
      <c r="B34">
        <v>-1.3073343673830506E-2</v>
      </c>
      <c r="C34"/>
      <c r="D34"/>
      <c r="E34"/>
      <c r="F34"/>
      <c r="G34">
        <v>2.4000000000000021E-2</v>
      </c>
      <c r="H34"/>
      <c r="I34"/>
      <c r="J34"/>
      <c r="K34">
        <v>6.4343163538874482E-2</v>
      </c>
      <c r="L34"/>
      <c r="M34">
        <v>-0.10121877431065796</v>
      </c>
    </row>
    <row r="35" spans="1:13" x14ac:dyDescent="0.25">
      <c r="A35" s="4">
        <v>40117</v>
      </c>
      <c r="B35">
        <v>-2.9187247418046569E-3</v>
      </c>
      <c r="C35"/>
      <c r="D35"/>
      <c r="E35"/>
      <c r="F35"/>
      <c r="G35">
        <v>1.5999999999999792E-2</v>
      </c>
      <c r="H35"/>
      <c r="I35"/>
      <c r="J35"/>
      <c r="K35">
        <v>-4.4080604534005641E-2</v>
      </c>
      <c r="L35"/>
      <c r="M35">
        <v>1.3560300057702923E-2</v>
      </c>
    </row>
    <row r="36" spans="1:13" x14ac:dyDescent="0.25">
      <c r="A36" s="4">
        <v>40147</v>
      </c>
      <c r="B36">
        <v>2.1841927493807312E-2</v>
      </c>
      <c r="C36"/>
      <c r="D36"/>
      <c r="E36"/>
      <c r="F36"/>
      <c r="G36">
        <v>2.0000000000002238E-3</v>
      </c>
      <c r="H36"/>
      <c r="I36"/>
      <c r="J36"/>
      <c r="K36">
        <v>8.0368906455863254E-2</v>
      </c>
      <c r="L36"/>
      <c r="M36">
        <v>-2.1064617136351105E-2</v>
      </c>
    </row>
    <row r="37" spans="1:13" x14ac:dyDescent="0.25">
      <c r="A37" s="4">
        <v>40178</v>
      </c>
      <c r="B37">
        <v>7.5804319083296434E-2</v>
      </c>
      <c r="C37"/>
      <c r="D37"/>
      <c r="E37"/>
      <c r="F37"/>
      <c r="G37">
        <v>2.2999999999999909E-2</v>
      </c>
      <c r="H37"/>
      <c r="I37"/>
      <c r="J37"/>
      <c r="K37">
        <v>5.6097560975610472E-2</v>
      </c>
      <c r="L37"/>
      <c r="M37">
        <v>-2.6461180575748755E-2</v>
      </c>
    </row>
    <row r="38" spans="1:13" x14ac:dyDescent="0.25">
      <c r="A38" s="4">
        <v>40209</v>
      </c>
      <c r="B38">
        <v>-5.0184350675952727E-2</v>
      </c>
      <c r="C38"/>
      <c r="D38"/>
      <c r="E38"/>
      <c r="F38"/>
      <c r="G38">
        <v>8.0000000000000071E-3</v>
      </c>
      <c r="H38"/>
      <c r="I38"/>
      <c r="J38"/>
      <c r="K38">
        <v>-0.10739030023094698</v>
      </c>
      <c r="L38"/>
      <c r="M38">
        <v>-1.1051373954600208E-2</v>
      </c>
    </row>
    <row r="39" spans="1:13" x14ac:dyDescent="0.25">
      <c r="A39" s="4">
        <v>40237</v>
      </c>
      <c r="B39">
        <v>6.7931852490834999E-2</v>
      </c>
      <c r="C39"/>
      <c r="D39"/>
      <c r="E39"/>
      <c r="F39"/>
      <c r="G39">
        <v>6.0000000000000053E-3</v>
      </c>
      <c r="H39"/>
      <c r="I39"/>
      <c r="J39"/>
      <c r="K39">
        <v>6.9857697283310927E-2</v>
      </c>
      <c r="L39"/>
      <c r="M39">
        <v>3.8659015403201602E-2</v>
      </c>
    </row>
    <row r="40" spans="1:13" x14ac:dyDescent="0.25">
      <c r="A40" s="4">
        <v>40268</v>
      </c>
      <c r="B40">
        <v>9.7940226171243649E-2</v>
      </c>
      <c r="C40"/>
      <c r="D40"/>
      <c r="E40"/>
      <c r="F40"/>
      <c r="G40">
        <v>8.0000000000000071E-3</v>
      </c>
      <c r="H40"/>
      <c r="I40"/>
      <c r="J40"/>
      <c r="K40">
        <v>8.46432889963733E-2</v>
      </c>
      <c r="L40"/>
      <c r="M40">
        <v>-6.3584375302898177E-2</v>
      </c>
    </row>
    <row r="41" spans="1:13" x14ac:dyDescent="0.25">
      <c r="A41" s="4">
        <v>40298</v>
      </c>
      <c r="B41">
        <v>9.3801728894618019E-3</v>
      </c>
      <c r="C41"/>
      <c r="D41"/>
      <c r="E41"/>
      <c r="F41"/>
      <c r="G41">
        <v>2.8999999999999915E-2</v>
      </c>
      <c r="H41"/>
      <c r="I41"/>
      <c r="J41"/>
      <c r="K41">
        <v>5.5741360089186509E-2</v>
      </c>
      <c r="L41"/>
      <c r="M41">
        <v>2.4014077217679342E-2</v>
      </c>
    </row>
    <row r="42" spans="1:13" x14ac:dyDescent="0.25">
      <c r="A42" s="4">
        <v>40329</v>
      </c>
      <c r="B42">
        <v>-8.8374635568513105E-2</v>
      </c>
      <c r="C42"/>
      <c r="D42"/>
      <c r="E42"/>
      <c r="F42"/>
      <c r="G42">
        <v>-9.000000000000008E-3</v>
      </c>
      <c r="H42"/>
      <c r="I42"/>
      <c r="J42"/>
      <c r="K42">
        <v>-1.4783526927138801E-2</v>
      </c>
      <c r="L42"/>
      <c r="M42">
        <v>-5.4078641463661259E-2</v>
      </c>
    </row>
    <row r="43" spans="1:13" x14ac:dyDescent="0.25">
      <c r="A43" s="4">
        <v>40359</v>
      </c>
      <c r="B43">
        <v>2.3186088346991651E-2</v>
      </c>
      <c r="C43"/>
      <c r="D43"/>
      <c r="E43"/>
      <c r="F43"/>
      <c r="G43">
        <v>-5.0000000000001155E-3</v>
      </c>
      <c r="H43"/>
      <c r="I43"/>
      <c r="J43"/>
      <c r="K43">
        <v>-5.2518756698821556E-2</v>
      </c>
      <c r="L43"/>
      <c r="M43">
        <v>6.3688822397948153E-2</v>
      </c>
    </row>
    <row r="44" spans="1:13" x14ac:dyDescent="0.25">
      <c r="A44" s="4">
        <v>40390</v>
      </c>
      <c r="B44">
        <v>6.1926157452627306E-2</v>
      </c>
      <c r="C44"/>
      <c r="D44"/>
      <c r="E44"/>
      <c r="F44"/>
      <c r="G44">
        <v>4.9999999999998934E-3</v>
      </c>
      <c r="H44"/>
      <c r="I44"/>
      <c r="J44"/>
      <c r="K44">
        <v>7.9185520361990891E-2</v>
      </c>
      <c r="L44"/>
      <c r="M44">
        <v>0.11663652802893298</v>
      </c>
    </row>
    <row r="45" spans="1:13" x14ac:dyDescent="0.25">
      <c r="A45" s="4">
        <v>40421</v>
      </c>
      <c r="B45">
        <v>3.881530537159672E-2</v>
      </c>
      <c r="C45"/>
      <c r="D45"/>
      <c r="E45"/>
      <c r="F45"/>
      <c r="G45">
        <v>1.0999999999999899E-2</v>
      </c>
      <c r="H45"/>
      <c r="I45"/>
      <c r="J45"/>
      <c r="K45">
        <v>-1.0482180293500565E-2</v>
      </c>
      <c r="L45"/>
      <c r="M45">
        <v>-8.3130904183536192E-2</v>
      </c>
    </row>
    <row r="46" spans="1:13" x14ac:dyDescent="0.25">
      <c r="A46" s="4">
        <v>40451</v>
      </c>
      <c r="B46">
        <v>0.13972020541880648</v>
      </c>
      <c r="C46"/>
      <c r="D46"/>
      <c r="E46"/>
      <c r="F46"/>
      <c r="G46">
        <v>3.2999999999999918E-2</v>
      </c>
      <c r="H46"/>
      <c r="I46"/>
      <c r="J46"/>
      <c r="K46">
        <v>0.17055084745762783</v>
      </c>
      <c r="L46"/>
      <c r="M46">
        <v>5.2399175743302884E-2</v>
      </c>
    </row>
    <row r="47" spans="1:13" x14ac:dyDescent="0.25">
      <c r="A47" s="4">
        <v>40482</v>
      </c>
      <c r="B47">
        <v>6.1218147917961208E-2</v>
      </c>
      <c r="C47"/>
      <c r="D47"/>
      <c r="E47"/>
      <c r="F47"/>
      <c r="G47">
        <v>1.8000000000000016E-2</v>
      </c>
      <c r="H47"/>
      <c r="I47"/>
      <c r="J47"/>
      <c r="K47">
        <v>5.7918552036199111E-2</v>
      </c>
      <c r="L47"/>
      <c r="M47">
        <v>-7.1888111888111839E-2</v>
      </c>
    </row>
    <row r="48" spans="1:13" x14ac:dyDescent="0.25">
      <c r="A48" s="4">
        <v>40512</v>
      </c>
      <c r="B48">
        <v>0.11932650073206386</v>
      </c>
      <c r="C48"/>
      <c r="D48"/>
      <c r="E48"/>
      <c r="F48"/>
      <c r="G48">
        <v>2.2999999999999909E-2</v>
      </c>
      <c r="H48"/>
      <c r="I48"/>
      <c r="J48"/>
      <c r="K48">
        <v>5.9024807527802148E-2</v>
      </c>
      <c r="L48"/>
      <c r="M48">
        <v>-4.8422744625276182E-2</v>
      </c>
    </row>
    <row r="49" spans="1:13" x14ac:dyDescent="0.25">
      <c r="A49" s="4">
        <v>40543</v>
      </c>
      <c r="B49">
        <v>5.3629823413996247E-2</v>
      </c>
      <c r="C49"/>
      <c r="D49"/>
      <c r="E49"/>
      <c r="F49"/>
      <c r="G49">
        <v>6.0000000000000053E-3</v>
      </c>
      <c r="H49"/>
      <c r="I49"/>
      <c r="J49"/>
      <c r="K49">
        <v>1.8578352180936175E-2</v>
      </c>
      <c r="L49"/>
      <c r="M49">
        <v>1.5097128378377844E-2</v>
      </c>
    </row>
    <row r="50" spans="1:13" x14ac:dyDescent="0.25">
      <c r="A50" s="4">
        <v>40574</v>
      </c>
      <c r="B50">
        <v>4.0595903165735692E-2</v>
      </c>
      <c r="C50"/>
      <c r="D50"/>
      <c r="E50"/>
      <c r="F50"/>
      <c r="G50">
        <v>1.8000000000000016E-2</v>
      </c>
      <c r="H50"/>
      <c r="I50"/>
      <c r="J50"/>
      <c r="K50">
        <v>2.7755749405234509E-2</v>
      </c>
      <c r="L50"/>
      <c r="M50">
        <v>2.9849193967758758E-2</v>
      </c>
    </row>
    <row r="51" spans="1:13" x14ac:dyDescent="0.25">
      <c r="A51" s="4">
        <v>40602</v>
      </c>
      <c r="B51">
        <v>0.14865187306132177</v>
      </c>
      <c r="C51"/>
      <c r="D51"/>
      <c r="E51"/>
      <c r="F51"/>
      <c r="G51">
        <v>8.0000000000000071E-3</v>
      </c>
      <c r="H51"/>
      <c r="I51"/>
      <c r="J51"/>
      <c r="K51">
        <v>4.2438271604938294E-2</v>
      </c>
      <c r="L51"/>
      <c r="M51">
        <v>-9.0789739446576534E-2</v>
      </c>
    </row>
    <row r="52" spans="1:13" x14ac:dyDescent="0.25">
      <c r="A52" s="4">
        <v>40633</v>
      </c>
      <c r="B52">
        <v>2.4927295388450288E-2</v>
      </c>
      <c r="C52"/>
      <c r="D52"/>
      <c r="E52"/>
      <c r="F52"/>
      <c r="G52">
        <v>2.9999999999998916E-3</v>
      </c>
      <c r="H52"/>
      <c r="I52"/>
      <c r="J52"/>
      <c r="K52">
        <v>-2.146558105107288E-2</v>
      </c>
      <c r="L52"/>
      <c r="M52">
        <v>-7.2309230256580981E-2</v>
      </c>
    </row>
    <row r="53" spans="1:13" x14ac:dyDescent="0.25">
      <c r="A53" s="4">
        <v>40663</v>
      </c>
      <c r="B53">
        <v>-1.8342115930279679E-2</v>
      </c>
      <c r="C53"/>
      <c r="D53"/>
      <c r="E53"/>
      <c r="F53"/>
      <c r="G53">
        <v>9.9999999999988987E-4</v>
      </c>
      <c r="H53"/>
      <c r="I53"/>
      <c r="J53"/>
      <c r="K53">
        <v>2.6475037821482861E-2</v>
      </c>
      <c r="L53"/>
      <c r="M53">
        <v>-0.15098180076628354</v>
      </c>
    </row>
    <row r="54" spans="1:13" x14ac:dyDescent="0.25">
      <c r="A54" s="4">
        <v>40694</v>
      </c>
      <c r="B54">
        <v>-2.0955920305564257E-2</v>
      </c>
      <c r="C54"/>
      <c r="D54"/>
      <c r="E54"/>
      <c r="F54"/>
      <c r="G54">
        <v>-3.0000000000000027E-3</v>
      </c>
      <c r="H54"/>
      <c r="I54"/>
      <c r="J54"/>
      <c r="K54">
        <v>-1.6212232866617771E-2</v>
      </c>
      <c r="L54"/>
      <c r="M54">
        <v>2.7640671273444939E-2</v>
      </c>
    </row>
    <row r="55" spans="1:13" x14ac:dyDescent="0.25">
      <c r="A55" s="4">
        <v>40724</v>
      </c>
      <c r="B55">
        <v>-8.2243778996201611E-3</v>
      </c>
      <c r="C55"/>
      <c r="D55"/>
      <c r="E55"/>
      <c r="F55"/>
      <c r="G55">
        <v>-8.0000000000001181E-3</v>
      </c>
      <c r="H55"/>
      <c r="I55"/>
      <c r="J55"/>
      <c r="K55">
        <v>2.9962546816484359E-3</v>
      </c>
      <c r="L55"/>
      <c r="M55">
        <v>-7.6574722107863202E-2</v>
      </c>
    </row>
    <row r="56" spans="1:13" x14ac:dyDescent="0.25">
      <c r="A56" s="4">
        <v>40755</v>
      </c>
      <c r="B56">
        <v>0.20773974059111211</v>
      </c>
      <c r="C56"/>
      <c r="D56"/>
      <c r="E56"/>
      <c r="F56"/>
      <c r="G56">
        <v>-1.0000000000000009E-3</v>
      </c>
      <c r="H56"/>
      <c r="I56"/>
      <c r="J56"/>
      <c r="K56">
        <v>-1.4936519790890168E-3</v>
      </c>
      <c r="L56"/>
      <c r="M56">
        <v>-0.25887947689106861</v>
      </c>
    </row>
    <row r="57" spans="1:13" x14ac:dyDescent="0.25">
      <c r="A57" s="4">
        <v>40786</v>
      </c>
      <c r="B57">
        <v>2.0158450704225395E-2</v>
      </c>
      <c r="C57"/>
      <c r="D57"/>
      <c r="E57"/>
      <c r="F57"/>
      <c r="G57">
        <v>1.2000000000000011E-2</v>
      </c>
      <c r="H57"/>
      <c r="I57"/>
      <c r="J57"/>
      <c r="K57">
        <v>-4.7120418848167422E-2</v>
      </c>
      <c r="L57"/>
      <c r="M57">
        <v>-0.1337477441347501</v>
      </c>
    </row>
    <row r="58" spans="1:13" x14ac:dyDescent="0.25">
      <c r="A58" s="4">
        <v>40816</v>
      </c>
      <c r="B58">
        <v>0.10553110708430347</v>
      </c>
      <c r="C58"/>
      <c r="D58"/>
      <c r="E58"/>
      <c r="F58"/>
      <c r="G58">
        <v>-6.0000000000000053E-3</v>
      </c>
      <c r="H58"/>
      <c r="I58"/>
      <c r="J58"/>
      <c r="K58">
        <v>-7.6923076923077205E-2</v>
      </c>
      <c r="L58"/>
      <c r="M58">
        <v>-0.20046296296296306</v>
      </c>
    </row>
    <row r="59" spans="1:13" x14ac:dyDescent="0.25">
      <c r="A59" s="4">
        <v>40847</v>
      </c>
      <c r="B59">
        <v>5.3855760224789329E-2</v>
      </c>
      <c r="C59"/>
      <c r="D59"/>
      <c r="E59"/>
      <c r="F59"/>
      <c r="G59">
        <v>-5.0000000000000044E-3</v>
      </c>
      <c r="H59"/>
      <c r="I59"/>
      <c r="J59"/>
      <c r="K59">
        <v>9.863945578231359E-2</v>
      </c>
      <c r="L59"/>
      <c r="M59">
        <v>0.41980312680949616</v>
      </c>
    </row>
    <row r="60" spans="1:13" x14ac:dyDescent="0.25">
      <c r="A60" s="4">
        <v>40877</v>
      </c>
      <c r="B60">
        <v>1.7034513405421059E-2</v>
      </c>
      <c r="C60"/>
      <c r="D60"/>
      <c r="E60"/>
      <c r="F60"/>
      <c r="G60">
        <v>6.9999999999998952E-3</v>
      </c>
      <c r="H60"/>
      <c r="I60"/>
      <c r="J60"/>
      <c r="K60">
        <v>-5.2631578947367919E-2</v>
      </c>
      <c r="L60"/>
      <c r="M60">
        <v>-0.10644371941272446</v>
      </c>
    </row>
    <row r="61" spans="1:13" x14ac:dyDescent="0.25">
      <c r="A61" s="4">
        <v>40908</v>
      </c>
      <c r="B61">
        <v>4.1363239149432074E-2</v>
      </c>
      <c r="C61"/>
      <c r="D61"/>
      <c r="E61"/>
      <c r="F61"/>
      <c r="G61">
        <v>-2.9999999999998916E-3</v>
      </c>
      <c r="H61"/>
      <c r="I61"/>
      <c r="J61"/>
      <c r="K61">
        <v>-4.6568627450980449E-2</v>
      </c>
      <c r="L61"/>
      <c r="M61">
        <v>1.9169329073482677E-2</v>
      </c>
    </row>
    <row r="62" spans="1:13" x14ac:dyDescent="0.25">
      <c r="A62" s="4">
        <v>40939</v>
      </c>
      <c r="B62">
        <v>7.3566433566433442E-2</v>
      </c>
      <c r="C62"/>
      <c r="D62"/>
      <c r="E62"/>
      <c r="F62"/>
      <c r="G62">
        <v>2.4999999999999911E-2</v>
      </c>
      <c r="H62"/>
      <c r="I62"/>
      <c r="J62"/>
      <c r="K62">
        <v>9.2544987146529811E-2</v>
      </c>
      <c r="L62"/>
      <c r="M62">
        <v>0.17756381549484979</v>
      </c>
    </row>
    <row r="63" spans="1:13" x14ac:dyDescent="0.25">
      <c r="A63" s="4">
        <v>40968</v>
      </c>
      <c r="B63">
        <v>9.0802501302761573E-2</v>
      </c>
      <c r="C63"/>
      <c r="D63"/>
      <c r="E63"/>
      <c r="F63"/>
      <c r="G63">
        <v>1.6999999999999904E-2</v>
      </c>
      <c r="H63"/>
      <c r="I63"/>
      <c r="J63"/>
      <c r="K63">
        <v>8.9411764705882746E-2</v>
      </c>
      <c r="L63"/>
      <c r="M63">
        <v>0.21030614185206287</v>
      </c>
    </row>
    <row r="64" spans="1:13" x14ac:dyDescent="0.25">
      <c r="A64" s="4">
        <v>40999</v>
      </c>
      <c r="B64">
        <v>0.10904096500656935</v>
      </c>
      <c r="C64"/>
      <c r="D64"/>
      <c r="E64"/>
      <c r="F64"/>
      <c r="G64">
        <v>1.4999999999999902E-2</v>
      </c>
      <c r="H64"/>
      <c r="I64"/>
      <c r="J64"/>
      <c r="K64">
        <v>7.9193664506840289E-2</v>
      </c>
      <c r="L64"/>
      <c r="M64">
        <v>-0.20832678711704633</v>
      </c>
    </row>
    <row r="65" spans="1:13" x14ac:dyDescent="0.25">
      <c r="A65" s="4">
        <v>41029</v>
      </c>
      <c r="B65">
        <v>-2.7353004522937541E-2</v>
      </c>
      <c r="C65"/>
      <c r="D65"/>
      <c r="E65"/>
      <c r="F65"/>
      <c r="G65">
        <v>1.8999999999999906E-2</v>
      </c>
      <c r="H65"/>
      <c r="I65"/>
      <c r="J65"/>
      <c r="K65">
        <v>9.3395597064711566E-3</v>
      </c>
      <c r="L65"/>
      <c r="M65">
        <v>0.28160349275649987</v>
      </c>
    </row>
    <row r="66" spans="1:13" x14ac:dyDescent="0.25">
      <c r="A66" s="4">
        <v>41060</v>
      </c>
      <c r="B66">
        <v>2.7679362267494234E-3</v>
      </c>
      <c r="C66"/>
      <c r="D66"/>
      <c r="E66"/>
      <c r="F66"/>
      <c r="G66">
        <v>1.4000000000000012E-2</v>
      </c>
      <c r="H66"/>
      <c r="I66">
        <v>1.5999999999998238E-3</v>
      </c>
      <c r="J66"/>
      <c r="K66">
        <v>-7.9312623925974823E-2</v>
      </c>
      <c r="L66"/>
      <c r="M66">
        <v>-2.5704552493031829E-2</v>
      </c>
    </row>
    <row r="67" spans="1:13" x14ac:dyDescent="0.25">
      <c r="A67" s="4">
        <v>41090</v>
      </c>
      <c r="B67">
        <v>9.6389532957932955E-2</v>
      </c>
      <c r="C67"/>
      <c r="D67"/>
      <c r="E67"/>
      <c r="F67"/>
      <c r="G67">
        <v>6.0000000000000053E-3</v>
      </c>
      <c r="H67"/>
      <c r="I67">
        <v>1.8969648562301433E-3</v>
      </c>
      <c r="J67"/>
      <c r="K67">
        <v>2.2254127781765609E-2</v>
      </c>
      <c r="L67"/>
      <c r="M67">
        <v>6.2937062937062693E-2</v>
      </c>
    </row>
    <row r="68" spans="1:13" x14ac:dyDescent="0.25">
      <c r="A68" s="4">
        <v>41121</v>
      </c>
      <c r="B68">
        <v>5.5891238670694898E-2</v>
      </c>
      <c r="C68"/>
      <c r="D68"/>
      <c r="E68"/>
      <c r="F68"/>
      <c r="G68">
        <v>2.2999999999999909E-2</v>
      </c>
      <c r="H68"/>
      <c r="I68">
        <v>2.8699551569507653E-2</v>
      </c>
      <c r="J68">
        <v>4.3258832011543458E-3</v>
      </c>
      <c r="K68">
        <v>-5.6179775280899014E-3</v>
      </c>
      <c r="L68"/>
      <c r="M68">
        <v>7.8050239234449537E-2</v>
      </c>
    </row>
    <row r="69" spans="1:13" x14ac:dyDescent="0.25">
      <c r="A69" s="4">
        <v>41152</v>
      </c>
      <c r="B69">
        <v>2.2508345255126239E-2</v>
      </c>
      <c r="C69"/>
      <c r="D69"/>
      <c r="E69"/>
      <c r="F69"/>
      <c r="G69">
        <v>2.4999999999999911E-2</v>
      </c>
      <c r="H69"/>
      <c r="I69">
        <v>1.2399496270464105E-2</v>
      </c>
      <c r="J69">
        <v>1.0967536093164254E-2</v>
      </c>
      <c r="K69">
        <v>6.1440677966101864E-2</v>
      </c>
      <c r="L69"/>
      <c r="M69">
        <v>-0.13703190013869559</v>
      </c>
    </row>
    <row r="70" spans="1:13" x14ac:dyDescent="0.25">
      <c r="A70" s="4">
        <v>41182</v>
      </c>
      <c r="B70">
        <v>6.7064639492584455E-2</v>
      </c>
      <c r="C70"/>
      <c r="D70"/>
      <c r="E70"/>
      <c r="F70"/>
      <c r="G70">
        <v>1.8000000000000016E-2</v>
      </c>
      <c r="H70"/>
      <c r="I70">
        <v>1.8467132331833946E-2</v>
      </c>
      <c r="J70">
        <v>1.4507475640064715E-2</v>
      </c>
      <c r="K70">
        <v>2.062541583499633E-2</v>
      </c>
      <c r="L70"/>
      <c r="M70">
        <v>0.18434586949533904</v>
      </c>
    </row>
    <row r="71" spans="1:13" x14ac:dyDescent="0.25">
      <c r="A71" s="4">
        <v>41213</v>
      </c>
      <c r="B71">
        <v>-0.20996503496503494</v>
      </c>
      <c r="C71"/>
      <c r="D71"/>
      <c r="E71"/>
      <c r="F71"/>
      <c r="G71">
        <v>2.8999999999999915E-2</v>
      </c>
      <c r="H71"/>
      <c r="I71">
        <v>1.3059000375798879E-2</v>
      </c>
      <c r="J71">
        <v>1.826630503465565E-2</v>
      </c>
      <c r="K71">
        <v>-0.10691003911342878</v>
      </c>
      <c r="L71"/>
      <c r="M71">
        <v>0.10951282399240081</v>
      </c>
    </row>
    <row r="72" spans="1:13" x14ac:dyDescent="0.25">
      <c r="A72" s="4">
        <v>41243</v>
      </c>
      <c r="B72">
        <v>6.240318654569621E-2</v>
      </c>
      <c r="C72"/>
      <c r="D72"/>
      <c r="E72"/>
      <c r="F72"/>
      <c r="G72">
        <v>1.0999999999999899E-2</v>
      </c>
      <c r="H72"/>
      <c r="I72">
        <v>5.8425299081887871E-3</v>
      </c>
      <c r="J72">
        <v>1.5666469363985636E-2</v>
      </c>
      <c r="K72">
        <v>5.1824817518248523E-2</v>
      </c>
      <c r="L72"/>
      <c r="M72">
        <v>0.12206457925636061</v>
      </c>
    </row>
    <row r="73" spans="1:13" x14ac:dyDescent="0.25">
      <c r="A73" s="4">
        <v>41274</v>
      </c>
      <c r="B73">
        <v>-2.37450531139346E-2</v>
      </c>
      <c r="C73"/>
      <c r="D73"/>
      <c r="E73"/>
      <c r="F73"/>
      <c r="G73">
        <v>1.6999999999999904E-2</v>
      </c>
      <c r="H73"/>
      <c r="I73">
        <v>9.5887884934535705E-3</v>
      </c>
      <c r="J73">
        <v>1.490783648378069E-2</v>
      </c>
      <c r="K73">
        <v>-2.498265093684926E-2</v>
      </c>
      <c r="L73"/>
      <c r="M73">
        <v>1.972967080880772E-2</v>
      </c>
    </row>
    <row r="74" spans="1:13" x14ac:dyDescent="0.25">
      <c r="A74" s="4">
        <v>41305</v>
      </c>
      <c r="B74">
        <v>2.6669511414552094E-3</v>
      </c>
      <c r="C74"/>
      <c r="D74"/>
      <c r="E74"/>
      <c r="F74"/>
      <c r="G74">
        <v>6.4000000000000279E-2</v>
      </c>
      <c r="H74"/>
      <c r="I74">
        <v>-2.7397260273975821E-4</v>
      </c>
      <c r="J74">
        <v>2.352439961842423E-3</v>
      </c>
      <c r="K74">
        <v>2.77580071174377E-2</v>
      </c>
      <c r="L74"/>
      <c r="M74">
        <v>-4.8850881881346342E-2</v>
      </c>
    </row>
    <row r="75" spans="1:13" x14ac:dyDescent="0.25">
      <c r="A75" s="4">
        <v>41333</v>
      </c>
      <c r="B75">
        <v>-7.7135865517608315E-2</v>
      </c>
      <c r="C75"/>
      <c r="D75"/>
      <c r="E75"/>
      <c r="F75"/>
      <c r="G75">
        <v>1.499999999999968E-2</v>
      </c>
      <c r="H75"/>
      <c r="I75">
        <v>2.8318260710697984E-3</v>
      </c>
      <c r="J75">
        <v>7.7337448141405751E-3</v>
      </c>
      <c r="K75">
        <v>2.0775623268698418E-3</v>
      </c>
      <c r="L75"/>
      <c r="M75">
        <v>-2.978197347718603E-2</v>
      </c>
    </row>
    <row r="76" spans="1:13" x14ac:dyDescent="0.25">
      <c r="A76" s="4">
        <v>41364</v>
      </c>
      <c r="B76">
        <v>6.2255014987318447E-2</v>
      </c>
      <c r="C76"/>
      <c r="D76"/>
      <c r="E76"/>
      <c r="F76"/>
      <c r="G76">
        <v>8.999999999999897E-3</v>
      </c>
      <c r="H76"/>
      <c r="I76">
        <v>2.4594643833120156E-3</v>
      </c>
      <c r="J76">
        <v>8.6279615638529261E-3</v>
      </c>
      <c r="K76">
        <v>8.9841050449201987E-3</v>
      </c>
      <c r="L76"/>
      <c r="M76">
        <v>-9.475269315417556E-2</v>
      </c>
    </row>
    <row r="77" spans="1:13" x14ac:dyDescent="0.25">
      <c r="A77" s="4">
        <v>41394</v>
      </c>
      <c r="B77">
        <v>6.3598871282829705E-2</v>
      </c>
      <c r="C77"/>
      <c r="D77"/>
      <c r="E77"/>
      <c r="F77"/>
      <c r="G77">
        <v>1.4000000000000012E-2</v>
      </c>
      <c r="H77"/>
      <c r="I77">
        <v>1.5720127214902124E-2</v>
      </c>
      <c r="J77">
        <v>2.0444525248852985E-2</v>
      </c>
      <c r="K77">
        <v>8.9041095890414201E-3</v>
      </c>
      <c r="L77">
        <v>0</v>
      </c>
      <c r="M77">
        <v>6.3851567498400152E-2</v>
      </c>
    </row>
    <row r="78" spans="1:13" x14ac:dyDescent="0.25">
      <c r="A78" s="4">
        <v>41425</v>
      </c>
      <c r="B78">
        <v>-4.2857142857142261E-3</v>
      </c>
      <c r="C78"/>
      <c r="D78"/>
      <c r="E78"/>
      <c r="F78"/>
      <c r="G78">
        <v>2.200000000000002E-2</v>
      </c>
      <c r="H78"/>
      <c r="I78">
        <v>-6.6201467167651407E-3</v>
      </c>
      <c r="J78">
        <v>-6.8950772355551582E-3</v>
      </c>
      <c r="K78">
        <v>3.3944331296672958E-2</v>
      </c>
      <c r="L78">
        <v>1.2299999999999978E-2</v>
      </c>
      <c r="M78">
        <v>-1.3952369497233774E-2</v>
      </c>
    </row>
    <row r="79" spans="1:13" x14ac:dyDescent="0.25">
      <c r="A79" s="4">
        <v>41455</v>
      </c>
      <c r="B79">
        <v>-5.4724328755892615E-2</v>
      </c>
      <c r="C79"/>
      <c r="D79"/>
      <c r="E79"/>
      <c r="F79"/>
      <c r="G79">
        <v>-1.100000000000001E-2</v>
      </c>
      <c r="H79"/>
      <c r="I79">
        <v>-2.5756484149855985E-2</v>
      </c>
      <c r="J79">
        <v>-3.3889486903480259E-2</v>
      </c>
      <c r="K79">
        <v>-2.6263952724885242E-2</v>
      </c>
      <c r="L79">
        <v>9.200000000000097E-3</v>
      </c>
      <c r="M79">
        <v>-0.1269821907782388</v>
      </c>
    </row>
    <row r="80" spans="1:13" x14ac:dyDescent="0.25">
      <c r="A80" s="4">
        <v>41486</v>
      </c>
      <c r="B80">
        <v>0.25964874241110092</v>
      </c>
      <c r="C80"/>
      <c r="D80"/>
      <c r="E80"/>
      <c r="F80"/>
      <c r="G80">
        <v>0</v>
      </c>
      <c r="H80"/>
      <c r="I80">
        <v>1.3865779256793553E-2</v>
      </c>
      <c r="J80">
        <v>1.7019182559284252E-2</v>
      </c>
      <c r="K80">
        <v>0.12137559002022802</v>
      </c>
      <c r="L80">
        <v>3.4399999999999986E-2</v>
      </c>
      <c r="M80">
        <v>0.19631130361883464</v>
      </c>
    </row>
    <row r="81" spans="1:13" x14ac:dyDescent="0.25">
      <c r="A81" s="4">
        <v>41517</v>
      </c>
      <c r="B81">
        <v>-7.2553576039245948E-2</v>
      </c>
      <c r="C81"/>
      <c r="D81"/>
      <c r="E81"/>
      <c r="F81"/>
      <c r="G81">
        <v>1.2000000000000011E-2</v>
      </c>
      <c r="H81"/>
      <c r="I81">
        <v>-4.0116703136398035E-3</v>
      </c>
      <c r="J81">
        <v>-4.3730314511341017E-3</v>
      </c>
      <c r="K81">
        <v>4.7504509921828086E-2</v>
      </c>
      <c r="L81">
        <v>-9.9000000000000199E-3</v>
      </c>
      <c r="M81">
        <v>-6.4587713151132764E-2</v>
      </c>
    </row>
    <row r="82" spans="1:13" x14ac:dyDescent="0.25">
      <c r="A82" s="4">
        <v>41547</v>
      </c>
      <c r="B82">
        <v>7.7951002227171662E-2</v>
      </c>
      <c r="C82"/>
      <c r="D82"/>
      <c r="E82"/>
      <c r="F82"/>
      <c r="G82">
        <v>-4.0000000000000036E-3</v>
      </c>
      <c r="H82"/>
      <c r="I82">
        <v>7.8725741486636025E-3</v>
      </c>
      <c r="J82">
        <v>1.7440580985915499E-2</v>
      </c>
      <c r="K82">
        <v>6.1423650975889421E-2</v>
      </c>
      <c r="L82">
        <v>2.5400000000000089E-2</v>
      </c>
      <c r="M82">
        <v>0.11112498439255791</v>
      </c>
    </row>
    <row r="83" spans="1:13" x14ac:dyDescent="0.25">
      <c r="A83" s="4">
        <v>41578</v>
      </c>
      <c r="B83">
        <v>5.8453856749311806E-2</v>
      </c>
      <c r="C83"/>
      <c r="D83"/>
      <c r="E83"/>
      <c r="F83"/>
      <c r="G83">
        <v>1.4999999999999902E-2</v>
      </c>
      <c r="H83"/>
      <c r="I83">
        <v>1.4713896457765552E-2</v>
      </c>
      <c r="J83">
        <v>2.017880639521219E-2</v>
      </c>
      <c r="K83">
        <v>3.7858301784748249E-2</v>
      </c>
      <c r="L83">
        <v>5.1700000000000079E-2</v>
      </c>
      <c r="M83">
        <v>3.6520957410944632E-2</v>
      </c>
    </row>
    <row r="84" spans="1:13" x14ac:dyDescent="0.25">
      <c r="A84" s="4">
        <v>41608</v>
      </c>
      <c r="B84">
        <v>1.2606750711671388E-2</v>
      </c>
      <c r="C84"/>
      <c r="D84"/>
      <c r="E84"/>
      <c r="F84"/>
      <c r="G84">
        <v>0</v>
      </c>
      <c r="H84"/>
      <c r="I84">
        <v>2.5957751521663575E-3</v>
      </c>
      <c r="J84">
        <v>1.466469959451322E-3</v>
      </c>
      <c r="K84">
        <v>1.8759770713913326E-2</v>
      </c>
      <c r="L84">
        <v>2.8000000000000025E-2</v>
      </c>
      <c r="M84">
        <v>2.2441457068516746E-2</v>
      </c>
    </row>
    <row r="85" spans="1:13" x14ac:dyDescent="0.25">
      <c r="A85" s="4">
        <v>41639</v>
      </c>
      <c r="B85">
        <v>6.734136546184688E-2</v>
      </c>
      <c r="C85"/>
      <c r="D85"/>
      <c r="E85">
        <v>8.5372988785956672E-3</v>
      </c>
      <c r="F85"/>
      <c r="G85">
        <v>4.0000000000000036E-3</v>
      </c>
      <c r="H85"/>
      <c r="I85">
        <v>1.8748326042319352E-3</v>
      </c>
      <c r="J85">
        <v>8.7330081243464086E-4</v>
      </c>
      <c r="K85">
        <v>2.8132992327365214E-2</v>
      </c>
      <c r="L85">
        <v>2.0199999999999996E-2</v>
      </c>
      <c r="M85">
        <v>-0.1116530590605449</v>
      </c>
    </row>
    <row r="86" spans="1:13" x14ac:dyDescent="0.25">
      <c r="A86" s="4">
        <v>41670</v>
      </c>
      <c r="B86">
        <v>0.1945004665723491</v>
      </c>
      <c r="C86"/>
      <c r="D86"/>
      <c r="E86">
        <v>4.8979700364030654E-2</v>
      </c>
      <c r="F86"/>
      <c r="G86">
        <v>2.0000000000000018E-2</v>
      </c>
      <c r="H86"/>
      <c r="I86">
        <v>4.5446444484049664E-3</v>
      </c>
      <c r="J86">
        <v>8.8223369938837948E-3</v>
      </c>
      <c r="K86">
        <v>3.9800995024875219E-2</v>
      </c>
      <c r="L86">
        <v>-3.7000000000000033E-2</v>
      </c>
      <c r="M86">
        <v>-0.15934590594413911</v>
      </c>
    </row>
    <row r="87" spans="1:13" x14ac:dyDescent="0.25">
      <c r="A87" s="4">
        <v>41698</v>
      </c>
      <c r="B87">
        <v>0.11384111384111351</v>
      </c>
      <c r="C87"/>
      <c r="D87"/>
      <c r="E87">
        <v>2.8202735243626043E-2</v>
      </c>
      <c r="F87"/>
      <c r="G87">
        <v>3.9999999999997815E-3</v>
      </c>
      <c r="H87"/>
      <c r="I87">
        <v>1.0733611283597622E-2</v>
      </c>
      <c r="J87">
        <v>1.6057590662484689E-2</v>
      </c>
      <c r="K87">
        <v>9.3779904306219963E-2</v>
      </c>
      <c r="L87">
        <v>4.7199999999999909E-2</v>
      </c>
      <c r="M87">
        <v>-7.6671872781489681E-3</v>
      </c>
    </row>
    <row r="88" spans="1:13" x14ac:dyDescent="0.25">
      <c r="A88" s="4">
        <v>41729</v>
      </c>
      <c r="B88">
        <v>-0.13953619909502279</v>
      </c>
      <c r="C88"/>
      <c r="D88"/>
      <c r="E88">
        <v>4.8052012084158546E-2</v>
      </c>
      <c r="F88"/>
      <c r="G88">
        <v>1.5000000000000124E-2</v>
      </c>
      <c r="H88"/>
      <c r="I88">
        <v>8.7765490609070795E-5</v>
      </c>
      <c r="J88">
        <v>4.3335826863053484E-3</v>
      </c>
      <c r="K88">
        <v>-0.12335958005249326</v>
      </c>
      <c r="L88">
        <v>1.2699999999999934E-2</v>
      </c>
      <c r="M88">
        <v>1.8600658177135632E-2</v>
      </c>
    </row>
    <row r="89" spans="1:13" x14ac:dyDescent="0.25">
      <c r="A89" s="4">
        <v>41759</v>
      </c>
      <c r="B89">
        <v>3.9900085453230538E-2</v>
      </c>
      <c r="C89"/>
      <c r="D89"/>
      <c r="E89">
        <v>1.5075538068405336E-3</v>
      </c>
      <c r="F89"/>
      <c r="G89">
        <v>7.9999999999997851E-3</v>
      </c>
      <c r="H89"/>
      <c r="I89">
        <v>8.4247476963577039E-3</v>
      </c>
      <c r="J89">
        <v>9.4858952955778619E-3</v>
      </c>
      <c r="K89">
        <v>-0.1132734530938122</v>
      </c>
      <c r="L89">
        <v>1.9400000000000084E-2</v>
      </c>
      <c r="M89">
        <v>-2.2896474223908392E-2</v>
      </c>
    </row>
    <row r="90" spans="1:13" x14ac:dyDescent="0.25">
      <c r="A90" s="4">
        <v>41790</v>
      </c>
      <c r="B90">
        <v>5.1327433628318486E-2</v>
      </c>
      <c r="C90"/>
      <c r="D90"/>
      <c r="E90">
        <v>3.4171025942137723E-2</v>
      </c>
      <c r="F90"/>
      <c r="G90">
        <v>1.0000000000000009E-2</v>
      </c>
      <c r="H90"/>
      <c r="I90">
        <v>9.8337829605781302E-3</v>
      </c>
      <c r="J90">
        <v>1.8708708963388387E-2</v>
      </c>
      <c r="K90">
        <v>4.5582442318514271E-2</v>
      </c>
      <c r="L90">
        <v>1.9500000000000073E-2</v>
      </c>
      <c r="M90">
        <v>2.3433007475560652E-2</v>
      </c>
    </row>
    <row r="91" spans="1:13" x14ac:dyDescent="0.25">
      <c r="A91" s="4">
        <v>41820</v>
      </c>
      <c r="B91">
        <v>-6.0545935545935459E-2</v>
      </c>
      <c r="C91"/>
      <c r="D91"/>
      <c r="E91">
        <v>-3.3985473434719249E-2</v>
      </c>
      <c r="F91"/>
      <c r="G91">
        <v>4.9999999999998934E-3</v>
      </c>
      <c r="H91"/>
      <c r="I91">
        <v>3.5332643915890749E-3</v>
      </c>
      <c r="J91">
        <v>5.6527277116855679E-3</v>
      </c>
      <c r="K91">
        <v>0.11948331539289514</v>
      </c>
      <c r="L91">
        <v>1.9500000000000073E-2</v>
      </c>
      <c r="M91">
        <v>3.9612305099030465E-2</v>
      </c>
    </row>
    <row r="92" spans="1:13" x14ac:dyDescent="0.25">
      <c r="A92" s="4">
        <v>41851</v>
      </c>
      <c r="B92">
        <v>1.7535999999999774E-2</v>
      </c>
      <c r="C92"/>
      <c r="D92"/>
      <c r="E92">
        <v>-2.1368133312531068E-2</v>
      </c>
      <c r="F92"/>
      <c r="G92">
        <v>1.4999999999999902E-2</v>
      </c>
      <c r="H92"/>
      <c r="I92">
        <v>-4.4654358093597635E-3</v>
      </c>
      <c r="J92">
        <v>-1.9950661434788852E-3</v>
      </c>
      <c r="K92">
        <v>-5.4807692307692335E-2</v>
      </c>
      <c r="L92">
        <v>-2.8599999999999959E-2</v>
      </c>
      <c r="M92">
        <v>0.12268612349682528</v>
      </c>
    </row>
    <row r="93" spans="1:13" x14ac:dyDescent="0.25">
      <c r="A93" s="4">
        <v>41882</v>
      </c>
      <c r="B93">
        <v>6.4783948676016001E-2</v>
      </c>
      <c r="C93"/>
      <c r="D93"/>
      <c r="E93">
        <v>3.8818943207503898E-2</v>
      </c>
      <c r="F93"/>
      <c r="G93">
        <v>-2.0000000000001128E-3</v>
      </c>
      <c r="H93"/>
      <c r="I93">
        <v>6.2106443543510359E-3</v>
      </c>
      <c r="J93">
        <v>1.0036746103503136E-2</v>
      </c>
      <c r="K93">
        <v>3.6113936927772761E-2</v>
      </c>
      <c r="L93">
        <v>5.9199999999999919E-2</v>
      </c>
      <c r="M93">
        <v>-9.2670598146585847E-3</v>
      </c>
    </row>
    <row r="94" spans="1:13" x14ac:dyDescent="0.25">
      <c r="A94" s="4">
        <v>41912</v>
      </c>
      <c r="B94">
        <v>-2.0497371374563977E-2</v>
      </c>
      <c r="C94"/>
      <c r="D94"/>
      <c r="E94">
        <v>-2.2639645132129016E-2</v>
      </c>
      <c r="F94"/>
      <c r="G94">
        <v>1.2000000000000011E-2</v>
      </c>
      <c r="H94"/>
      <c r="I94">
        <v>-8.9155593656236043E-3</v>
      </c>
      <c r="J94">
        <v>-7.9331838675501531E-3</v>
      </c>
      <c r="K94">
        <v>-2.9455081001472427E-2</v>
      </c>
      <c r="L94">
        <v>-5.0699999999999967E-2</v>
      </c>
      <c r="M94">
        <v>-4.8590864917395393E-2</v>
      </c>
    </row>
    <row r="95" spans="1:13" x14ac:dyDescent="0.25">
      <c r="A95" s="4">
        <v>41943</v>
      </c>
      <c r="B95">
        <v>0.15402243396454018</v>
      </c>
      <c r="C95"/>
      <c r="D95"/>
      <c r="E95">
        <v>3.6181896790930201E-2</v>
      </c>
      <c r="F95"/>
      <c r="G95">
        <v>9.9999999999988987E-4</v>
      </c>
      <c r="H95"/>
      <c r="I95">
        <v>4.0653922671047837E-3</v>
      </c>
      <c r="J95">
        <v>4.0065893494256599E-3</v>
      </c>
      <c r="K95">
        <v>3.2878098128477973E-2</v>
      </c>
      <c r="L95">
        <v>3.7000000000000005E-2</v>
      </c>
      <c r="M95">
        <v>0.15296220633299273</v>
      </c>
    </row>
    <row r="96" spans="1:13" x14ac:dyDescent="0.25">
      <c r="A96" s="4">
        <v>41973</v>
      </c>
      <c r="B96">
        <v>1.8499163879598379E-2</v>
      </c>
      <c r="C96"/>
      <c r="D96"/>
      <c r="E96">
        <v>2.5346569183055889E-2</v>
      </c>
      <c r="F96">
        <v>1.0304219823356497E-2</v>
      </c>
      <c r="G96">
        <v>4.0000000000000036E-3</v>
      </c>
      <c r="H96"/>
      <c r="I96">
        <v>-1.2060647829081894E-3</v>
      </c>
      <c r="J96">
        <v>-7.4205384013370512E-5</v>
      </c>
      <c r="K96">
        <v>7.3457394711062829E-3</v>
      </c>
      <c r="L96">
        <v>4.4000000000000004E-2</v>
      </c>
      <c r="M96">
        <v>9.4684385382060032E-2</v>
      </c>
    </row>
    <row r="97" spans="1:13" x14ac:dyDescent="0.25">
      <c r="A97" s="4">
        <v>42004</v>
      </c>
      <c r="B97">
        <v>-5.0641354540790551E-2</v>
      </c>
      <c r="C97"/>
      <c r="D97"/>
      <c r="E97">
        <v>-3.9726116145542445E-2</v>
      </c>
      <c r="F97">
        <v>-2.0883924235065909E-2</v>
      </c>
      <c r="G97">
        <v>6.9999999999998952E-3</v>
      </c>
      <c r="H97"/>
      <c r="I97">
        <v>-7.158875280317667E-3</v>
      </c>
      <c r="J97">
        <v>-4.2712490517500257E-3</v>
      </c>
      <c r="K97">
        <v>-3.597472046669925E-2</v>
      </c>
      <c r="L97">
        <v>-5.0000000000000001E-3</v>
      </c>
      <c r="M97">
        <v>0.10885179564997483</v>
      </c>
    </row>
    <row r="98" spans="1:13" x14ac:dyDescent="0.25">
      <c r="A98" s="4">
        <v>42035</v>
      </c>
      <c r="B98">
        <v>-9.6741069015835457E-3</v>
      </c>
      <c r="C98"/>
      <c r="D98">
        <v>7.894842787551859E-2</v>
      </c>
      <c r="E98">
        <v>3.268748286985268E-2</v>
      </c>
      <c r="F98">
        <v>3.9682539682539542E-3</v>
      </c>
      <c r="G98">
        <v>2.9999999999998916E-3</v>
      </c>
      <c r="H98"/>
      <c r="I98">
        <v>6.8630006081140671E-3</v>
      </c>
      <c r="J98">
        <v>1.7754517299060746E-2</v>
      </c>
      <c r="K98">
        <v>-2.1684316691880756E-2</v>
      </c>
      <c r="L98">
        <v>0</v>
      </c>
      <c r="M98">
        <v>-9.8166225709333199E-2</v>
      </c>
    </row>
    <row r="99" spans="1:13" x14ac:dyDescent="0.25">
      <c r="A99" s="4">
        <v>42063</v>
      </c>
      <c r="B99">
        <v>-1.5662519100633321E-2</v>
      </c>
      <c r="C99">
        <v>1.2399999999999745E-2</v>
      </c>
      <c r="D99">
        <v>8.9925373134328579E-2</v>
      </c>
      <c r="E99">
        <v>8.9664648213403142E-2</v>
      </c>
      <c r="F99">
        <v>6.2747035573123E-2</v>
      </c>
      <c r="G99">
        <v>1.0000000000000009E-2</v>
      </c>
      <c r="H99"/>
      <c r="I99">
        <v>1.2510785159620452E-2</v>
      </c>
      <c r="J99">
        <v>4.141511122682795E-3</v>
      </c>
      <c r="K99">
        <v>8.1443298969072098E-2</v>
      </c>
      <c r="L99">
        <v>6.9000000000000006E-2</v>
      </c>
      <c r="M99">
        <v>6.2822458270106463E-2</v>
      </c>
    </row>
    <row r="100" spans="1:13" x14ac:dyDescent="0.25">
      <c r="A100" s="4">
        <v>42094</v>
      </c>
      <c r="B100">
        <v>-3.9197205743748853E-2</v>
      </c>
      <c r="C100">
        <v>-9.0873172659023949E-3</v>
      </c>
      <c r="D100">
        <v>2.2731941116055365E-2</v>
      </c>
      <c r="E100">
        <v>3.944668963695297E-2</v>
      </c>
      <c r="F100">
        <v>-3.1380753138075534E-2</v>
      </c>
      <c r="G100">
        <v>7.0000000000001172E-3</v>
      </c>
      <c r="H100"/>
      <c r="I100">
        <v>-1.2782275244992425E-3</v>
      </c>
      <c r="J100">
        <v>-3.2412021619188103E-5</v>
      </c>
      <c r="K100">
        <v>-1.0009532888464956E-2</v>
      </c>
      <c r="L100">
        <v>5.0000000000000001E-3</v>
      </c>
      <c r="M100">
        <v>0.22282505235103778</v>
      </c>
    </row>
    <row r="101" spans="1:13" x14ac:dyDescent="0.25">
      <c r="A101" s="4">
        <v>42124</v>
      </c>
      <c r="B101">
        <v>-2.3485285631851816E-2</v>
      </c>
      <c r="C101">
        <v>-2.7910685805430102E-3</v>
      </c>
      <c r="D101">
        <v>-5.3357434558478967E-2</v>
      </c>
      <c r="E101">
        <v>1.2316438561106091E-2</v>
      </c>
      <c r="F101">
        <v>5.759539236861233E-3</v>
      </c>
      <c r="G101">
        <v>3.1999999999999806E-2</v>
      </c>
      <c r="H101">
        <v>2.2000000000002018E-3</v>
      </c>
      <c r="I101">
        <v>9.3856655290136537E-4</v>
      </c>
      <c r="J101">
        <v>2.8442470848493162E-3</v>
      </c>
      <c r="K101">
        <v>1.6369764082811544E-2</v>
      </c>
      <c r="L101">
        <v>1E-3</v>
      </c>
      <c r="M101">
        <v>0.34023507433642131</v>
      </c>
    </row>
    <row r="102" spans="1:13" x14ac:dyDescent="0.25">
      <c r="A102" s="4">
        <v>42155</v>
      </c>
      <c r="B102">
        <v>-3.1850144773385436E-2</v>
      </c>
      <c r="C102">
        <v>5.9976009596156565E-3</v>
      </c>
      <c r="D102">
        <v>0.19872701555869843</v>
      </c>
      <c r="E102">
        <v>-3.9955842028412958E-3</v>
      </c>
      <c r="F102">
        <v>3.0589358148413126E-2</v>
      </c>
      <c r="G102">
        <v>6.9999999999998952E-3</v>
      </c>
      <c r="H102">
        <v>4.4901217321891007E-3</v>
      </c>
      <c r="I102">
        <v>3.4097689881495974E-4</v>
      </c>
      <c r="J102">
        <v>-4.8481714313264312E-5</v>
      </c>
      <c r="K102">
        <v>6.8687825675036285E-2</v>
      </c>
      <c r="L102">
        <v>-3.0000000000000001E-3</v>
      </c>
      <c r="M102">
        <v>-7.8638633987687001E-2</v>
      </c>
    </row>
    <row r="103" spans="1:13" x14ac:dyDescent="0.25">
      <c r="A103" s="4">
        <v>42185</v>
      </c>
      <c r="B103">
        <v>0.10333251953125089</v>
      </c>
      <c r="C103">
        <v>-1.5302066772654999E-2</v>
      </c>
      <c r="D103">
        <v>4.8082595870206468E-2</v>
      </c>
      <c r="E103">
        <v>-1.726924287062781E-3</v>
      </c>
      <c r="F103">
        <v>-1.1390998333024482E-2</v>
      </c>
      <c r="G103">
        <v>4.0000000000000036E-3</v>
      </c>
      <c r="H103">
        <v>-9.9334459123878727E-4</v>
      </c>
      <c r="I103">
        <v>-1.2441414571793374E-2</v>
      </c>
      <c r="J103">
        <v>-1.552298144676445E-2</v>
      </c>
      <c r="K103">
        <v>3.1028368794332462E-3</v>
      </c>
      <c r="L103">
        <v>-2.3E-2</v>
      </c>
      <c r="M103">
        <v>-0.14926878466969229</v>
      </c>
    </row>
    <row r="104" spans="1:13" x14ac:dyDescent="0.25">
      <c r="A104" s="4">
        <v>42216</v>
      </c>
      <c r="B104">
        <v>9.221662886540849E-2</v>
      </c>
      <c r="C104">
        <v>1.6448032290615977E-2</v>
      </c>
      <c r="D104">
        <v>6.6704193639178122E-2</v>
      </c>
      <c r="E104">
        <v>7.4371877294461708E-2</v>
      </c>
      <c r="F104">
        <v>7.0257611241211215E-3</v>
      </c>
      <c r="G104">
        <v>4.9999999999996714E-3</v>
      </c>
      <c r="H104">
        <v>3.4801630704979214E-3</v>
      </c>
      <c r="I104">
        <v>1.7257744412804144E-3</v>
      </c>
      <c r="J104">
        <v>5.2778028580571235E-3</v>
      </c>
      <c r="K104">
        <v>3.5793194874061518E-2</v>
      </c>
      <c r="L104">
        <v>1.6E-2</v>
      </c>
      <c r="M104">
        <v>-0.16026970954356856</v>
      </c>
    </row>
    <row r="105" spans="1:13" x14ac:dyDescent="0.25">
      <c r="A105" s="4">
        <v>42247</v>
      </c>
      <c r="B105">
        <v>-0.12788695299837904</v>
      </c>
      <c r="C105">
        <v>-8.7362255534596533E-3</v>
      </c>
      <c r="D105">
        <v>-0.1306068601583108</v>
      </c>
      <c r="E105">
        <v>-2.4552455245524518E-2</v>
      </c>
      <c r="F105">
        <v>-6.511627906976758E-2</v>
      </c>
      <c r="G105">
        <v>4.0000000000000036E-3</v>
      </c>
      <c r="H105">
        <v>-1.2286959968291988E-2</v>
      </c>
      <c r="I105">
        <v>-1.1542768541648596E-2</v>
      </c>
      <c r="J105">
        <v>-4.4321085197965848E-3</v>
      </c>
      <c r="K105">
        <v>-7.5511945392491397E-2</v>
      </c>
      <c r="L105">
        <v>-4.8000000000000001E-2</v>
      </c>
      <c r="M105">
        <v>9.9708814965147052E-3</v>
      </c>
    </row>
    <row r="106" spans="1:13" x14ac:dyDescent="0.25">
      <c r="A106" s="4">
        <v>42277</v>
      </c>
      <c r="B106">
        <v>-9.1759103316104373E-2</v>
      </c>
      <c r="C106">
        <v>-6.209313970956476E-3</v>
      </c>
      <c r="D106">
        <v>-0.15386949924127502</v>
      </c>
      <c r="E106">
        <v>-2.8058303856736133E-3</v>
      </c>
      <c r="F106">
        <v>-6.5174129353233967E-2</v>
      </c>
      <c r="G106">
        <v>-6.0000000000000053E-3</v>
      </c>
      <c r="H106">
        <v>1.8057784911713615E-3</v>
      </c>
      <c r="I106">
        <v>-1.1590413943355249E-2</v>
      </c>
      <c r="J106">
        <v>-7.0326038769992216E-3</v>
      </c>
      <c r="K106">
        <v>-4.4762344254730246E-2</v>
      </c>
      <c r="L106">
        <v>-9.3000000000000013E-2</v>
      </c>
      <c r="M106">
        <v>0.12004193604752755</v>
      </c>
    </row>
    <row r="107" spans="1:13" x14ac:dyDescent="0.25">
      <c r="A107" s="4">
        <v>42308</v>
      </c>
      <c r="B107">
        <v>0.12539164908242206</v>
      </c>
      <c r="C107">
        <v>2.3682354126775884E-2</v>
      </c>
      <c r="D107">
        <v>6.6355810616929523E-2</v>
      </c>
      <c r="E107">
        <v>4.7293545910672918E-2</v>
      </c>
      <c r="F107">
        <v>5.9073975518893374E-2</v>
      </c>
      <c r="G107">
        <v>4.0000000000000036E-3</v>
      </c>
      <c r="H107">
        <v>1.0214300020027434E-2</v>
      </c>
      <c r="I107">
        <v>1.2608005642743558E-2</v>
      </c>
      <c r="J107">
        <v>1.0643910952371272E-2</v>
      </c>
      <c r="K107">
        <v>8.7922705314010363E-2</v>
      </c>
      <c r="L107">
        <v>0.13900000000000001</v>
      </c>
      <c r="M107">
        <v>2.4648985959438541E-2</v>
      </c>
    </row>
    <row r="108" spans="1:13" x14ac:dyDescent="0.25">
      <c r="A108" s="4">
        <v>42338</v>
      </c>
      <c r="B108">
        <v>1.3863636363636855E-2</v>
      </c>
      <c r="C108">
        <v>4.9222287851937718E-3</v>
      </c>
      <c r="D108">
        <v>8.4762865792129771E-2</v>
      </c>
      <c r="E108">
        <v>-5.0361030618472413E-2</v>
      </c>
      <c r="F108">
        <v>6.5326633165829762E-2</v>
      </c>
      <c r="G108">
        <v>2.9999999999998916E-3</v>
      </c>
      <c r="H108">
        <v>2.0816812053923162E-3</v>
      </c>
      <c r="I108">
        <v>-5.224205485413469E-4</v>
      </c>
      <c r="J108">
        <v>1.9075730650675027E-4</v>
      </c>
      <c r="K108">
        <v>1.5541740674955618E-2</v>
      </c>
      <c r="L108">
        <v>0</v>
      </c>
      <c r="M108">
        <v>-0.11662606577344692</v>
      </c>
    </row>
    <row r="109" spans="1:13" x14ac:dyDescent="0.25">
      <c r="A109" s="4">
        <v>42369</v>
      </c>
      <c r="B109">
        <v>6.8986774265860307E-2</v>
      </c>
      <c r="C109">
        <v>-1.2735109717865178E-3</v>
      </c>
      <c r="D109">
        <v>-1.5193798449612328E-2</v>
      </c>
      <c r="E109">
        <v>-3.2400738816102392E-2</v>
      </c>
      <c r="F109">
        <v>-1.3400943396226328E-2</v>
      </c>
      <c r="G109">
        <v>2.9999999999998916E-3</v>
      </c>
      <c r="H109">
        <v>-9.8921752893443848E-4</v>
      </c>
      <c r="I109">
        <v>-1.1934837529401388E-2</v>
      </c>
      <c r="J109">
        <v>-1.2286442753608462E-2</v>
      </c>
      <c r="K109">
        <v>-1.749016178399676E-2</v>
      </c>
      <c r="L109">
        <v>-2.5000000000000001E-2</v>
      </c>
      <c r="M109">
        <v>-6.7045846259910613E-2</v>
      </c>
    </row>
    <row r="110" spans="1:13" x14ac:dyDescent="0.25">
      <c r="A110" s="4">
        <v>42400</v>
      </c>
      <c r="B110">
        <v>-0.23496723460026225</v>
      </c>
      <c r="C110">
        <v>-1.4713094654242087E-2</v>
      </c>
      <c r="D110">
        <v>-0.28148614609571809</v>
      </c>
      <c r="E110">
        <v>3.1161911952466426E-3</v>
      </c>
      <c r="F110">
        <v>-0.18182339751098442</v>
      </c>
      <c r="G110">
        <v>-8.0000000000000071E-3</v>
      </c>
      <c r="H110">
        <v>4.1588276066939489E-3</v>
      </c>
      <c r="I110">
        <v>-1.3754187973902043E-2</v>
      </c>
      <c r="J110">
        <v>-8.211549015224251E-3</v>
      </c>
      <c r="K110">
        <v>-8.1886960391633346E-2</v>
      </c>
      <c r="L110">
        <v>-0.107</v>
      </c>
      <c r="M110">
        <v>-0.20182893035285454</v>
      </c>
    </row>
    <row r="111" spans="1:13" x14ac:dyDescent="0.25">
      <c r="A111" s="4">
        <v>42429</v>
      </c>
      <c r="B111">
        <v>-3.5153840882614529E-2</v>
      </c>
      <c r="C111">
        <v>-3.185664509706343E-2</v>
      </c>
      <c r="D111">
        <v>-7.9754601226993849E-2</v>
      </c>
      <c r="E111">
        <v>3.6901796983311863E-2</v>
      </c>
      <c r="F111">
        <v>2.1475027610749819E-2</v>
      </c>
      <c r="G111">
        <v>-5.9999999999998943E-3</v>
      </c>
      <c r="H111">
        <v>2.3666305098115625E-3</v>
      </c>
      <c r="I111">
        <v>-3.1289111389239954E-3</v>
      </c>
      <c r="J111">
        <v>3.4839635208523401E-3</v>
      </c>
      <c r="K111">
        <v>-6.1560833737275944E-2</v>
      </c>
      <c r="L111">
        <v>-5.4000000000000006E-2</v>
      </c>
      <c r="M111">
        <v>-3.9115843073718737E-2</v>
      </c>
    </row>
    <row r="112" spans="1:13" x14ac:dyDescent="0.25">
      <c r="A112" s="4">
        <v>42460</v>
      </c>
      <c r="B112">
        <v>-1.1221590909091139E-2</v>
      </c>
      <c r="C112">
        <v>3.8354755784062E-2</v>
      </c>
      <c r="D112">
        <v>4.3809523809523743E-2</v>
      </c>
      <c r="E112">
        <v>6.7944826499989119E-2</v>
      </c>
      <c r="F112">
        <v>0.11874442232443183</v>
      </c>
      <c r="G112">
        <v>-3.0000000000001137E-3</v>
      </c>
      <c r="H112">
        <v>1.3871126414165991E-2</v>
      </c>
      <c r="I112">
        <v>3.2373778136490339E-2</v>
      </c>
      <c r="J112">
        <v>2.7979168794036058E-2</v>
      </c>
      <c r="K112">
        <v>7.024793388429762E-2</v>
      </c>
      <c r="L112">
        <v>0.193</v>
      </c>
      <c r="M112">
        <v>0.2523184391183908</v>
      </c>
    </row>
    <row r="113" spans="1:13" x14ac:dyDescent="0.25">
      <c r="A113" s="4">
        <v>42490</v>
      </c>
      <c r="B113">
        <v>4.3097256141289009E-4</v>
      </c>
      <c r="C113">
        <v>1.8023370964547203E-2</v>
      </c>
      <c r="D113">
        <v>7.3448905109489093E-2</v>
      </c>
      <c r="E113">
        <v>-6.4216771479731927E-2</v>
      </c>
      <c r="F113">
        <v>-1.3064977168249725E-2</v>
      </c>
      <c r="G113">
        <v>2.0000000000000018E-3</v>
      </c>
      <c r="H113">
        <v>6.1129439161653476E-3</v>
      </c>
      <c r="I113">
        <v>1.5635858234885447E-2</v>
      </c>
      <c r="J113">
        <v>2.0731101619151815E-2</v>
      </c>
      <c r="K113">
        <v>-2.5579150579150611E-2</v>
      </c>
      <c r="L113">
        <v>4.5999999999999999E-2</v>
      </c>
      <c r="M113">
        <v>7.4725908828621401E-2</v>
      </c>
    </row>
    <row r="114" spans="1:13" x14ac:dyDescent="0.25">
      <c r="A114" s="4">
        <v>42521</v>
      </c>
      <c r="B114">
        <v>8.3429063756461419E-2</v>
      </c>
      <c r="C114">
        <v>1.5077821011673098E-2</v>
      </c>
      <c r="D114">
        <v>7.8678283042923569E-2</v>
      </c>
      <c r="E114">
        <v>2.5646252676659653E-2</v>
      </c>
      <c r="F114">
        <v>3.2309876376900082E-2</v>
      </c>
      <c r="G114">
        <v>4.9999999999998934E-3</v>
      </c>
      <c r="H114">
        <v>3.2790047256239241E-3</v>
      </c>
      <c r="I114">
        <v>2.3947998631546064E-3</v>
      </c>
      <c r="J114">
        <v>-1.7225103885865067E-3</v>
      </c>
      <c r="K114">
        <v>2.6745913818721601E-2</v>
      </c>
      <c r="L114">
        <v>1.7000000000000001E-2</v>
      </c>
      <c r="M114">
        <v>-2.1118568232662116E-2</v>
      </c>
    </row>
    <row r="115" spans="1:13" x14ac:dyDescent="0.25">
      <c r="A115" s="4">
        <v>42551</v>
      </c>
      <c r="B115">
        <v>-0.22624254473161032</v>
      </c>
      <c r="C115">
        <v>-2.079540009583114E-2</v>
      </c>
      <c r="D115">
        <v>-0.10800471213058482</v>
      </c>
      <c r="E115">
        <v>-1.1658184697046492E-3</v>
      </c>
      <c r="F115">
        <v>-1.026390018168899E-2</v>
      </c>
      <c r="G115">
        <v>4.9999999999998934E-3</v>
      </c>
      <c r="H115">
        <v>1.0862251273670465E-2</v>
      </c>
      <c r="I115">
        <v>9.4709897610922855E-3</v>
      </c>
      <c r="J115">
        <v>1.414505751608508E-2</v>
      </c>
      <c r="K115">
        <v>-2.7496382054992718E-2</v>
      </c>
      <c r="L115">
        <v>-0.03</v>
      </c>
      <c r="M115">
        <v>-4.1137215467590416E-3</v>
      </c>
    </row>
    <row r="116" spans="1:13" x14ac:dyDescent="0.25">
      <c r="A116" s="4">
        <v>42582</v>
      </c>
      <c r="B116">
        <v>0.10140459061322415</v>
      </c>
      <c r="C116">
        <v>3.6504208259934279E-2</v>
      </c>
      <c r="D116">
        <v>0.10954063604240272</v>
      </c>
      <c r="E116">
        <v>1.1088202293222604E-2</v>
      </c>
      <c r="F116">
        <v>6.7394534399610739E-2</v>
      </c>
      <c r="G116">
        <v>6.0000000000000053E-3</v>
      </c>
      <c r="H116">
        <v>1.1316089767973381E-2</v>
      </c>
      <c r="I116">
        <v>1.8003549995774248E-2</v>
      </c>
      <c r="J116">
        <v>2.0945679653180393E-2</v>
      </c>
      <c r="K116">
        <v>6.39880952380949E-2</v>
      </c>
      <c r="L116">
        <v>6.8000000000000005E-2</v>
      </c>
      <c r="M116">
        <v>-2.0378189829264093E-2</v>
      </c>
    </row>
    <row r="117" spans="1:13" x14ac:dyDescent="0.25">
      <c r="A117" s="4">
        <v>42613</v>
      </c>
      <c r="B117">
        <v>-2.1306376360808787E-2</v>
      </c>
      <c r="C117">
        <v>1.6334623737135345E-2</v>
      </c>
      <c r="D117">
        <v>-4.0605095541401015E-2</v>
      </c>
      <c r="E117">
        <v>3.0157743105975188E-2</v>
      </c>
      <c r="F117">
        <v>1.1449638219942493E-3</v>
      </c>
      <c r="G117">
        <v>1.0999999999999899E-2</v>
      </c>
      <c r="H117">
        <v>6.9581570286791905E-3</v>
      </c>
      <c r="I117">
        <v>1.0627698439056976E-2</v>
      </c>
      <c r="J117">
        <v>1.5008003012899174E-2</v>
      </c>
      <c r="K117">
        <v>2.097902097902038E-2</v>
      </c>
      <c r="L117">
        <v>3.7999999999999999E-2</v>
      </c>
      <c r="M117">
        <v>2.0427286356821117E-2</v>
      </c>
    </row>
    <row r="118" spans="1:13" x14ac:dyDescent="0.25">
      <c r="A118" s="4">
        <v>42643</v>
      </c>
      <c r="B118">
        <v>-2.6378515811218972E-2</v>
      </c>
      <c r="C118">
        <v>-9.7547380156070007E-3</v>
      </c>
      <c r="D118">
        <v>8.2987551867220954E-2</v>
      </c>
      <c r="E118">
        <v>-3.4532637436204161E-2</v>
      </c>
      <c r="F118">
        <v>7.5988952583425418E-2</v>
      </c>
      <c r="G118">
        <v>4.0000000000000036E-3</v>
      </c>
      <c r="H118">
        <v>1.4006910075641255E-3</v>
      </c>
      <c r="I118">
        <v>-1.7252711140320898E-3</v>
      </c>
      <c r="J118">
        <v>5.7511780638930254E-4</v>
      </c>
      <c r="K118">
        <v>3.5616438356164792E-2</v>
      </c>
      <c r="L118">
        <v>1.4999999999999999E-2</v>
      </c>
      <c r="M118">
        <v>-7.2727272727272863E-2</v>
      </c>
    </row>
    <row r="119" spans="1:13" x14ac:dyDescent="0.25">
      <c r="A119" s="4">
        <v>42674</v>
      </c>
      <c r="B119">
        <v>6.4958380936836591E-2</v>
      </c>
      <c r="C119">
        <v>2.0827469743878169E-2</v>
      </c>
      <c r="D119">
        <v>-0.16360153256705012</v>
      </c>
      <c r="E119">
        <v>1.0371163608971612E-2</v>
      </c>
      <c r="F119">
        <v>-0.10203712606013016</v>
      </c>
      <c r="G119">
        <v>6.9999999999998952E-3</v>
      </c>
      <c r="H119">
        <v>-5.5949272659461258E-4</v>
      </c>
      <c r="I119">
        <v>2.4689325981404053E-3</v>
      </c>
      <c r="J119">
        <v>-2.8646654182047371E-3</v>
      </c>
      <c r="K119">
        <v>-2.0282186948853309E-2</v>
      </c>
      <c r="L119">
        <v>1.3000000000000001E-2</v>
      </c>
      <c r="M119">
        <v>0.10457516339869222</v>
      </c>
    </row>
    <row r="120" spans="1:13" x14ac:dyDescent="0.25">
      <c r="A120" s="4">
        <v>42704</v>
      </c>
      <c r="B120">
        <v>-6.0613026819923532E-2</v>
      </c>
      <c r="C120">
        <v>-1.7002113776307226E-2</v>
      </c>
      <c r="D120">
        <v>0.10627576729271659</v>
      </c>
      <c r="E120">
        <v>8.8954207920790562E-3</v>
      </c>
      <c r="F120">
        <v>9.700154711328457E-3</v>
      </c>
      <c r="G120">
        <v>8.0000000000000071E-3</v>
      </c>
      <c r="H120">
        <v>-1.0356409777943942E-2</v>
      </c>
      <c r="I120">
        <v>-4.9257039651917633E-3</v>
      </c>
      <c r="J120">
        <v>-1.4197123385740196E-2</v>
      </c>
      <c r="K120">
        <v>-1.4851485148515087E-2</v>
      </c>
      <c r="L120">
        <v>1.1000000000000001E-2</v>
      </c>
      <c r="M120">
        <v>0.13376367222521091</v>
      </c>
    </row>
    <row r="121" spans="1:13" x14ac:dyDescent="0.25">
      <c r="A121" s="4">
        <v>42735</v>
      </c>
      <c r="B121">
        <v>-1.9577453299621794E-3</v>
      </c>
      <c r="C121">
        <v>3.1881077038145911E-2</v>
      </c>
      <c r="D121">
        <v>-5.093167701863377E-2</v>
      </c>
      <c r="E121">
        <v>-8.8952906996656589E-3</v>
      </c>
      <c r="F121">
        <v>-2.9866718552390426E-3</v>
      </c>
      <c r="G121">
        <v>0</v>
      </c>
      <c r="H121">
        <v>1.6027151880833035E-3</v>
      </c>
      <c r="I121">
        <v>7.2601270522236749E-3</v>
      </c>
      <c r="J121">
        <v>5.7625200414972433E-3</v>
      </c>
      <c r="K121">
        <v>2.3298309730470645E-2</v>
      </c>
      <c r="L121">
        <v>3.5000000000000003E-2</v>
      </c>
      <c r="M121">
        <v>-9.4417207021983307E-2</v>
      </c>
    </row>
    <row r="122" spans="1:13" x14ac:dyDescent="0.25">
      <c r="A122" s="4">
        <v>42766</v>
      </c>
      <c r="B122">
        <v>6.8083367388638516E-2</v>
      </c>
      <c r="C122">
        <v>1.1325541360876601E-2</v>
      </c>
      <c r="D122">
        <v>2.3560209424083656E-2</v>
      </c>
      <c r="E122">
        <v>7.8970584362572094E-3</v>
      </c>
      <c r="F122">
        <v>0.1018071289872462</v>
      </c>
      <c r="G122">
        <v>8.999999999999897E-3</v>
      </c>
      <c r="H122">
        <v>5.9299698795181044E-3</v>
      </c>
      <c r="I122">
        <v>8.1087722172163978E-3</v>
      </c>
      <c r="J122">
        <v>9.9680235556678376E-3</v>
      </c>
      <c r="K122">
        <v>7.1428571428571175E-2</v>
      </c>
      <c r="L122">
        <v>0.01</v>
      </c>
      <c r="M122">
        <v>8.4177436255675531E-2</v>
      </c>
    </row>
    <row r="123" spans="1:13" x14ac:dyDescent="0.25">
      <c r="A123" s="4">
        <v>42794</v>
      </c>
      <c r="B123">
        <v>4.3617998163445471E-3</v>
      </c>
      <c r="C123">
        <v>1.5409424834259333E-2</v>
      </c>
      <c r="D123">
        <v>0.11466325660699073</v>
      </c>
      <c r="E123">
        <v>3.3043963903939488E-2</v>
      </c>
      <c r="F123">
        <v>4.6795641026776469E-2</v>
      </c>
      <c r="G123">
        <v>4.9999999999998934E-3</v>
      </c>
      <c r="H123">
        <v>1.1696453635257953E-2</v>
      </c>
      <c r="I123">
        <v>7.6373090672732236E-3</v>
      </c>
      <c r="J123">
        <v>1.2692193419000075E-2</v>
      </c>
      <c r="K123">
        <v>1.7083333333332229E-2</v>
      </c>
      <c r="L123">
        <v>2.7000000000000003E-2</v>
      </c>
      <c r="M123">
        <v>1.4819587628865927E-2</v>
      </c>
    </row>
    <row r="124" spans="1:13" x14ac:dyDescent="0.25">
      <c r="A124" s="4">
        <v>42825</v>
      </c>
      <c r="B124">
        <v>-7.6266666666666705E-2</v>
      </c>
      <c r="C124">
        <v>7.5877889535902465E-3</v>
      </c>
      <c r="D124">
        <v>-1.4913957934990729E-2</v>
      </c>
      <c r="E124">
        <v>9.1937888179127736E-3</v>
      </c>
      <c r="F124">
        <v>3.6108138290447123E-2</v>
      </c>
      <c r="G124">
        <v>2.9999999999998916E-3</v>
      </c>
      <c r="H124">
        <v>4.1620421753603143E-3</v>
      </c>
      <c r="I124">
        <v>-1.6932752781808613E-3</v>
      </c>
      <c r="J124">
        <v>-3.0255521632694959E-3</v>
      </c>
      <c r="K124">
        <v>4.4653830397377359E-2</v>
      </c>
      <c r="L124">
        <v>3.5000000000000003E-2</v>
      </c>
      <c r="M124">
        <v>3.6507936507941263E-3</v>
      </c>
    </row>
    <row r="125" spans="1:13" x14ac:dyDescent="0.25">
      <c r="A125" s="4">
        <v>42855</v>
      </c>
      <c r="B125">
        <v>5.3942593203563316E-2</v>
      </c>
      <c r="C125">
        <v>1.6462346760070634E-2</v>
      </c>
      <c r="D125">
        <v>3.3385093167701552E-2</v>
      </c>
      <c r="E125">
        <v>4.0992016190046776E-3</v>
      </c>
      <c r="F125">
        <v>5.0502782348113673E-2</v>
      </c>
      <c r="G125">
        <v>9.9999999999988987E-4</v>
      </c>
      <c r="H125">
        <v>4.5132172791746417E-3</v>
      </c>
      <c r="I125">
        <v>4.3615216864549833E-3</v>
      </c>
      <c r="J125">
        <v>1.1219319299987873E-2</v>
      </c>
      <c r="K125">
        <v>2.9803921568627656E-2</v>
      </c>
      <c r="L125">
        <v>3.4000000000000002E-2</v>
      </c>
      <c r="M125">
        <v>-1.2731298434287663E-2</v>
      </c>
    </row>
    <row r="126" spans="1:13" x14ac:dyDescent="0.25">
      <c r="A126" s="4">
        <v>42886</v>
      </c>
      <c r="B126">
        <v>-0.23282203787760192</v>
      </c>
      <c r="C126">
        <v>1.4989662301860607E-2</v>
      </c>
      <c r="D126">
        <v>-8.0766341096919714E-2</v>
      </c>
      <c r="E126">
        <v>5.7805046222197509E-2</v>
      </c>
      <c r="F126">
        <v>0.12633935337942659</v>
      </c>
      <c r="G126">
        <v>6.9999999999998952E-3</v>
      </c>
      <c r="H126">
        <v>4.0344764349899975E-3</v>
      </c>
      <c r="I126">
        <v>6.1921994370723876E-3</v>
      </c>
      <c r="J126">
        <v>1.3522976327971392E-2</v>
      </c>
      <c r="K126">
        <v>5.407463823305414E-2</v>
      </c>
      <c r="L126">
        <v>2.2000000000000002E-2</v>
      </c>
      <c r="M126">
        <v>-1.6499799759711276E-2</v>
      </c>
    </row>
    <row r="127" spans="1:13" x14ac:dyDescent="0.25">
      <c r="A127" s="4">
        <v>42916</v>
      </c>
      <c r="B127">
        <v>0.24115066816280795</v>
      </c>
      <c r="C127">
        <v>-4.4408920985006262E-16</v>
      </c>
      <c r="D127">
        <v>0.13850429096853278</v>
      </c>
      <c r="E127">
        <v>-1.5425703705561622E-3</v>
      </c>
      <c r="F127">
        <v>2.1165226092507039E-2</v>
      </c>
      <c r="G127">
        <v>1.0000000000000009E-2</v>
      </c>
      <c r="H127">
        <v>-1.1102230246251565E-16</v>
      </c>
      <c r="I127">
        <v>-3.196930946299803E-4</v>
      </c>
      <c r="J127">
        <v>4.9709281458616417E-3</v>
      </c>
      <c r="K127">
        <v>-1.1560693641618713E-2</v>
      </c>
      <c r="L127">
        <v>2.5000000000000001E-2</v>
      </c>
      <c r="M127">
        <v>-4.8619594429513358E-2</v>
      </c>
    </row>
    <row r="128" spans="1:13" x14ac:dyDescent="0.25">
      <c r="A128" s="4">
        <v>42947</v>
      </c>
      <c r="B128">
        <v>0.12879099202761624</v>
      </c>
      <c r="C128">
        <v>2.0200305550839959E-2</v>
      </c>
      <c r="D128">
        <v>1.8044308522858099E-2</v>
      </c>
      <c r="E128">
        <v>4.2041642849863337E-2</v>
      </c>
      <c r="F128">
        <v>2.322021699684762E-2</v>
      </c>
      <c r="G128">
        <v>0</v>
      </c>
      <c r="H128">
        <v>5.2054794520548509E-3</v>
      </c>
      <c r="I128">
        <v>4.3172369683399658E-3</v>
      </c>
      <c r="J128">
        <v>6.2320315708646046E-3</v>
      </c>
      <c r="K128">
        <v>5.7383040935673035E-2</v>
      </c>
      <c r="L128">
        <v>2.2000000000000002E-2</v>
      </c>
      <c r="M128">
        <v>3.2186269474405504E-2</v>
      </c>
    </row>
    <row r="129" spans="1:13" x14ac:dyDescent="0.25">
      <c r="A129" s="4">
        <v>42978</v>
      </c>
      <c r="B129">
        <v>3.691568370467424E-2</v>
      </c>
      <c r="C129">
        <v>-1.4975041597335981E-3</v>
      </c>
      <c r="D129">
        <v>8.9137187565008213E-2</v>
      </c>
      <c r="E129">
        <v>-3.5432674658082641E-2</v>
      </c>
      <c r="F129">
        <v>0.1525620746249432</v>
      </c>
      <c r="G129">
        <v>4.9999999999998934E-3</v>
      </c>
      <c r="H129">
        <v>6.2687380757699973E-3</v>
      </c>
      <c r="I129">
        <v>1.8309186435279123E-3</v>
      </c>
      <c r="J129">
        <v>5.9804791481812281E-3</v>
      </c>
      <c r="K129">
        <v>3.041825095057038E-2</v>
      </c>
      <c r="L129">
        <v>-4.0000000000000001E-3</v>
      </c>
      <c r="M129">
        <v>-5.8052745065516609E-3</v>
      </c>
    </row>
    <row r="130" spans="1:13" x14ac:dyDescent="0.25">
      <c r="A130" s="4">
        <v>43008</v>
      </c>
      <c r="B130">
        <v>-1.4886595042482798E-2</v>
      </c>
      <c r="C130">
        <v>3.4160973171144526E-3</v>
      </c>
      <c r="D130">
        <v>9.3881515053411135E-3</v>
      </c>
      <c r="E130">
        <v>-3.8500592938520706E-3</v>
      </c>
      <c r="F130">
        <v>4.2862873187787809E-3</v>
      </c>
      <c r="G130">
        <v>1.0000000000000009E-2</v>
      </c>
      <c r="H130">
        <v>3.069700252798846E-3</v>
      </c>
      <c r="I130">
        <v>1.5891934843066391E-3</v>
      </c>
      <c r="J130">
        <v>1.2701324818740201E-3</v>
      </c>
      <c r="K130">
        <v>2.6836632002689154E-3</v>
      </c>
      <c r="L130">
        <v>4.0999999999999995E-2</v>
      </c>
      <c r="M130">
        <v>-3.5118451785118188E-2</v>
      </c>
    </row>
    <row r="131" spans="1:13" x14ac:dyDescent="0.25">
      <c r="A131" s="4">
        <v>43039</v>
      </c>
      <c r="B131">
        <v>-0.14705253403663832</v>
      </c>
      <c r="C131">
        <v>2.0509839740928459E-2</v>
      </c>
      <c r="D131">
        <v>-2.597819114817157E-2</v>
      </c>
      <c r="E131">
        <v>1.2125879015590701E-2</v>
      </c>
      <c r="F131">
        <v>3.5644592543564224E-2</v>
      </c>
      <c r="G131">
        <v>8.999999999999897E-3</v>
      </c>
      <c r="H131">
        <v>5.0405040504051257E-3</v>
      </c>
      <c r="I131">
        <v>3.8080126933754954E-3</v>
      </c>
      <c r="J131">
        <v>7.3468524815445413E-3</v>
      </c>
      <c r="K131">
        <v>9.8026095684174752E-2</v>
      </c>
      <c r="L131">
        <v>2.7000000000000003E-2</v>
      </c>
      <c r="M131">
        <v>-1.10659635169017E-2</v>
      </c>
    </row>
    <row r="132" spans="1:13" x14ac:dyDescent="0.25">
      <c r="A132" s="4">
        <v>43069</v>
      </c>
      <c r="B132">
        <v>-8.2316563596857684E-2</v>
      </c>
      <c r="C132">
        <v>4.3124491456472125E-3</v>
      </c>
      <c r="D132">
        <v>4.2805400065855093E-2</v>
      </c>
      <c r="E132">
        <v>2.9193612093709742E-3</v>
      </c>
      <c r="F132">
        <v>4.7593730200270246E-2</v>
      </c>
      <c r="G132">
        <v>6.9999999999998952E-3</v>
      </c>
      <c r="H132">
        <v>-3.1345154934623309E-3</v>
      </c>
      <c r="I132">
        <v>1.5806528096109496E-3</v>
      </c>
      <c r="J132">
        <v>3.1481740590422191E-4</v>
      </c>
      <c r="K132">
        <v>5.4844606946988783E-3</v>
      </c>
      <c r="L132">
        <v>4.0000000000000001E-3</v>
      </c>
      <c r="M132">
        <v>-5.6211207273362596E-2</v>
      </c>
    </row>
    <row r="133" spans="1:13" x14ac:dyDescent="0.25">
      <c r="A133" s="4">
        <v>43100</v>
      </c>
      <c r="B133">
        <v>8.9062926873690662E-2</v>
      </c>
      <c r="C133">
        <v>5.3471603337924556E-3</v>
      </c>
      <c r="D133">
        <v>5.3934322702873017E-2</v>
      </c>
      <c r="E133">
        <v>6.2751412560744235E-3</v>
      </c>
      <c r="F133">
        <v>9.7163458125042457E-3</v>
      </c>
      <c r="G133">
        <v>4.0000000000000036E-3</v>
      </c>
      <c r="H133">
        <v>1.8866229449283622E-3</v>
      </c>
      <c r="I133">
        <v>3.6297640653359942E-3</v>
      </c>
      <c r="J133">
        <v>4.1787600097908939E-3</v>
      </c>
      <c r="K133">
        <v>-0.19515151515151485</v>
      </c>
      <c r="L133">
        <v>0.01</v>
      </c>
      <c r="M133">
        <v>-1.9451648758799456E-2</v>
      </c>
    </row>
    <row r="134" spans="1:13" x14ac:dyDescent="0.25">
      <c r="A134" s="4">
        <v>43131</v>
      </c>
      <c r="B134">
        <v>-2.2577138556727494E-3</v>
      </c>
      <c r="C134">
        <v>1.7809654283181819E-2</v>
      </c>
      <c r="D134">
        <v>8.8746813030100125E-2</v>
      </c>
      <c r="E134">
        <v>4.4595121528530512E-2</v>
      </c>
      <c r="F134">
        <v>0.11219015474683691</v>
      </c>
      <c r="G134">
        <v>1.0000000000000009E-2</v>
      </c>
      <c r="H134">
        <v>-3.5868005738881603E-4</v>
      </c>
      <c r="I134">
        <v>2.5945435961947094E-3</v>
      </c>
      <c r="J134">
        <v>-3.3952605644793632E-4</v>
      </c>
      <c r="K134">
        <v>0.1630271084337358</v>
      </c>
      <c r="L134">
        <v>1.3000000000000001E-2</v>
      </c>
      <c r="M134">
        <v>4.9593803136217529E-2</v>
      </c>
    </row>
    <row r="135" spans="1:13" x14ac:dyDescent="0.25">
      <c r="A135" s="4">
        <v>43159</v>
      </c>
      <c r="B135">
        <v>-1.5672142138786538E-2</v>
      </c>
      <c r="C135">
        <v>-4.1171813143309199E-3</v>
      </c>
      <c r="D135">
        <v>-3.6133438634243231E-2</v>
      </c>
      <c r="E135">
        <v>-3.8157965682716677E-2</v>
      </c>
      <c r="F135">
        <v>-8.0011988919610477E-3</v>
      </c>
      <c r="G135">
        <v>8.0000000000000071E-3</v>
      </c>
      <c r="H135">
        <v>-3.5880875493362607E-3</v>
      </c>
      <c r="I135">
        <v>-3.2151819322456809E-3</v>
      </c>
      <c r="J135">
        <v>-1.2967333466867403E-2</v>
      </c>
      <c r="K135">
        <v>-5.1796697960506677E-3</v>
      </c>
      <c r="L135">
        <v>-0.02</v>
      </c>
      <c r="M135">
        <v>-0.11664116641166422</v>
      </c>
    </row>
    <row r="136" spans="1:13" x14ac:dyDescent="0.25">
      <c r="A136" s="4">
        <v>43190</v>
      </c>
      <c r="B136">
        <v>-5.100042571306973E-2</v>
      </c>
      <c r="C136">
        <v>-9.5404674829066005E-3</v>
      </c>
      <c r="D136">
        <v>-5.2330760095015139E-3</v>
      </c>
      <c r="E136">
        <v>1.7965844915043716E-2</v>
      </c>
      <c r="F136">
        <v>-4.497644248472743E-2</v>
      </c>
      <c r="G136">
        <v>6.9999999999998952E-3</v>
      </c>
      <c r="H136">
        <v>-4.2311847317252349E-3</v>
      </c>
      <c r="I136">
        <v>1.5734403272715802E-4</v>
      </c>
      <c r="J136">
        <v>1.1028957631153968E-3</v>
      </c>
      <c r="K136">
        <v>-2.9938171168239935E-2</v>
      </c>
      <c r="L136">
        <v>-6.0000000000000001E-3</v>
      </c>
      <c r="M136">
        <v>-6.4289353031074858E-2</v>
      </c>
    </row>
    <row r="137" spans="1:13" x14ac:dyDescent="0.25">
      <c r="A137" s="4">
        <v>43220</v>
      </c>
      <c r="B137">
        <v>5.5356181589808262E-2</v>
      </c>
      <c r="C137">
        <v>8.026970621344276E-5</v>
      </c>
      <c r="D137">
        <v>-7.5938686541973111E-3</v>
      </c>
      <c r="E137">
        <v>7.9439938549121791E-3</v>
      </c>
      <c r="F137">
        <v>5.1162905657520241E-4</v>
      </c>
      <c r="G137">
        <v>4.0000000000000036E-3</v>
      </c>
      <c r="H137">
        <v>-4.7012024229271532E-3</v>
      </c>
      <c r="I137">
        <v>5.5061747817175544E-4</v>
      </c>
      <c r="J137">
        <v>-1.4365916642429255E-3</v>
      </c>
      <c r="K137">
        <v>2.6836632002689154E-3</v>
      </c>
      <c r="L137">
        <v>3.2000000000000001E-2</v>
      </c>
      <c r="M137">
        <v>0.18695557491289216</v>
      </c>
    </row>
    <row r="138" spans="1:13" x14ac:dyDescent="0.25">
      <c r="A138" s="4">
        <v>43251</v>
      </c>
      <c r="B138">
        <v>-1.2751849018107553E-2</v>
      </c>
      <c r="C138">
        <v>-3.0580303395135733E-2</v>
      </c>
      <c r="D138">
        <v>0.12599156142547629</v>
      </c>
      <c r="E138">
        <v>3.1225747162511031E-3</v>
      </c>
      <c r="F138">
        <v>0.11230567420213133</v>
      </c>
      <c r="G138">
        <v>6.9999999999998952E-3</v>
      </c>
      <c r="H138">
        <v>-1.0900172586062462E-3</v>
      </c>
      <c r="I138">
        <v>1.5723270440253234E-3</v>
      </c>
      <c r="J138">
        <v>-1.9329214474839151E-3</v>
      </c>
      <c r="K138">
        <v>6.3900970224155751E-2</v>
      </c>
      <c r="L138">
        <v>-3.6000000000000004E-2</v>
      </c>
      <c r="M138">
        <v>-4.7151637464453167E-2</v>
      </c>
    </row>
    <row r="139" spans="1:13" x14ac:dyDescent="0.25">
      <c r="A139" s="4">
        <v>43281</v>
      </c>
      <c r="B139">
        <v>6.9060535606647377E-2</v>
      </c>
      <c r="C139">
        <v>-1.0349395595296573E-2</v>
      </c>
      <c r="D139">
        <v>-2.5621532771728517E-2</v>
      </c>
      <c r="E139">
        <v>-1.5127160598997547E-2</v>
      </c>
      <c r="F139">
        <v>3.4497998925060891E-2</v>
      </c>
      <c r="G139">
        <v>2.9999999999998916E-3</v>
      </c>
      <c r="H139">
        <v>-7.8203146312632033E-3</v>
      </c>
      <c r="I139">
        <v>0</v>
      </c>
      <c r="J139">
        <v>-7.3398714196004633E-4</v>
      </c>
      <c r="K139">
        <v>2.0440251572327206E-2</v>
      </c>
      <c r="L139">
        <v>-1.3999999999999999E-2</v>
      </c>
      <c r="M139">
        <v>-0.10570905940117437</v>
      </c>
    </row>
    <row r="140" spans="1:13" x14ac:dyDescent="0.25">
      <c r="A140" s="4">
        <v>43312</v>
      </c>
      <c r="B140">
        <v>7.0962545308095981E-2</v>
      </c>
      <c r="C140">
        <v>3.1874843135614173E-2</v>
      </c>
      <c r="D140">
        <v>6.4420218037657406E-3</v>
      </c>
      <c r="E140">
        <v>2.1000211278290548E-2</v>
      </c>
      <c r="F140">
        <v>-9.5600816675289746E-3</v>
      </c>
      <c r="G140">
        <v>4.0000000000000036E-3</v>
      </c>
      <c r="H140">
        <v>5.9572908074416731E-3</v>
      </c>
      <c r="I140">
        <v>7.064364207221896E-3</v>
      </c>
      <c r="J140">
        <v>5.4071753482360929E-3</v>
      </c>
      <c r="K140">
        <v>-1.5716486902927373E-2</v>
      </c>
      <c r="L140">
        <v>6.7000000000000004E-2</v>
      </c>
      <c r="M140">
        <v>0.22359780385402117</v>
      </c>
    </row>
    <row r="141" spans="1:13" x14ac:dyDescent="0.25">
      <c r="A141" s="4">
        <v>43343</v>
      </c>
      <c r="B141">
        <v>-8.0625752105896398E-2</v>
      </c>
      <c r="C141">
        <v>-1.3296578563321337E-2</v>
      </c>
      <c r="D141">
        <v>3.1723708057030731E-2</v>
      </c>
      <c r="E141">
        <v>-3.4034173054034333E-2</v>
      </c>
      <c r="F141">
        <v>0.11560070924138066</v>
      </c>
      <c r="G141">
        <v>2.9999999999998916E-3</v>
      </c>
      <c r="H141">
        <v>6.6508746355677939E-3</v>
      </c>
      <c r="I141">
        <v>1.7926734216680007E-3</v>
      </c>
      <c r="J141">
        <v>6.8480490102011959E-3</v>
      </c>
      <c r="K141">
        <v>0.13775829680651208</v>
      </c>
      <c r="L141">
        <v>-1E-3</v>
      </c>
      <c r="M141">
        <v>2.1115607953550164E-3</v>
      </c>
    </row>
    <row r="142" spans="1:13" x14ac:dyDescent="0.25">
      <c r="A142" s="4">
        <v>43373</v>
      </c>
      <c r="B142">
        <v>0.13718913612565453</v>
      </c>
      <c r="C142">
        <v>6.82004930156066E-3</v>
      </c>
      <c r="D142">
        <v>1.7312237111648976E-2</v>
      </c>
      <c r="E142">
        <v>1.4552826241669647E-2</v>
      </c>
      <c r="F142">
        <v>-4.7484888345713183E-2</v>
      </c>
      <c r="G142">
        <v>4.9999999999998934E-3</v>
      </c>
      <c r="H142">
        <v>-1.7196126346273877E-3</v>
      </c>
      <c r="I142">
        <v>-2.3340854275255563E-4</v>
      </c>
      <c r="J142">
        <v>-4.030178254522121E-3</v>
      </c>
      <c r="K142">
        <v>2.2839845899834899E-2</v>
      </c>
      <c r="L142">
        <v>3.6000000000000004E-2</v>
      </c>
      <c r="M142">
        <v>0.11281826163301156</v>
      </c>
    </row>
    <row r="143" spans="1:13" x14ac:dyDescent="0.25">
      <c r="A143" s="4">
        <v>43404</v>
      </c>
      <c r="B143">
        <v>-0.19379900726566401</v>
      </c>
      <c r="C143">
        <v>-1.5424793928017988E-2</v>
      </c>
      <c r="D143">
        <v>-0.14401850479462819</v>
      </c>
      <c r="E143">
        <v>-4.1072362351680769E-2</v>
      </c>
      <c r="F143">
        <v>-0.10054872202843546</v>
      </c>
      <c r="G143">
        <v>4.0000000000000036E-3</v>
      </c>
      <c r="H143">
        <v>-5.1677243880323687E-3</v>
      </c>
      <c r="I143">
        <v>-4.3579766536961939E-3</v>
      </c>
      <c r="J143">
        <v>-7.0572125765843152E-3</v>
      </c>
      <c r="K143">
        <v>-0.15442561205273053</v>
      </c>
      <c r="L143">
        <v>-3.6000000000000004E-2</v>
      </c>
      <c r="M143">
        <v>-6.0670611439842648E-2</v>
      </c>
    </row>
    <row r="144" spans="1:13" x14ac:dyDescent="0.25">
      <c r="A144" s="4">
        <v>43434</v>
      </c>
      <c r="B144">
        <v>9.8866779691264561E-2</v>
      </c>
      <c r="C144">
        <v>-2.3375331564986834E-2</v>
      </c>
      <c r="D144">
        <v>-4.1539860775877679E-3</v>
      </c>
      <c r="E144">
        <v>2.5920901349837155E-2</v>
      </c>
      <c r="F144">
        <v>4.3915471109317261E-2</v>
      </c>
      <c r="G144">
        <v>-2.9999999999998916E-3</v>
      </c>
      <c r="H144">
        <v>2.91624897475673E-3</v>
      </c>
      <c r="I144">
        <v>-1.2505862122873523E-3</v>
      </c>
      <c r="J144">
        <v>-8.8223334099470918E-3</v>
      </c>
      <c r="K144">
        <v>2.8635062042634551E-3</v>
      </c>
      <c r="L144">
        <v>-4.5999999999999999E-2</v>
      </c>
      <c r="M144">
        <v>1.0078951789014079E-2</v>
      </c>
    </row>
    <row r="145" spans="1:13" x14ac:dyDescent="0.25">
      <c r="A145" s="4">
        <v>43465</v>
      </c>
      <c r="B145">
        <v>-0.20941940722695884</v>
      </c>
      <c r="C145">
        <v>4.5832626039719049E-3</v>
      </c>
      <c r="D145">
        <v>-0.13735769965956235</v>
      </c>
      <c r="E145">
        <v>-9.362674910042168E-2</v>
      </c>
      <c r="F145">
        <v>-0.13647127320758989</v>
      </c>
      <c r="G145">
        <v>-7.0000000000000062E-3</v>
      </c>
      <c r="H145">
        <v>8.0872330758738897E-3</v>
      </c>
      <c r="I145">
        <v>2.2695257473785979E-3</v>
      </c>
      <c r="J145">
        <v>8.2052013841811267E-3</v>
      </c>
      <c r="K145">
        <v>-7.2969543147208049E-2</v>
      </c>
      <c r="L145">
        <v>-5.2000000000000005E-2</v>
      </c>
      <c r="M145">
        <v>8.3901546648927461E-2</v>
      </c>
    </row>
    <row r="146" spans="1:13" x14ac:dyDescent="0.25">
      <c r="A146" s="4">
        <v>43496</v>
      </c>
      <c r="B146">
        <v>0.26294165981922846</v>
      </c>
      <c r="C146">
        <v>4.5623521459952743E-2</v>
      </c>
      <c r="D146">
        <v>0.13894704694684368</v>
      </c>
      <c r="E146">
        <v>-4.6090617386371102E-2</v>
      </c>
      <c r="F146">
        <v>0.15756860653510563</v>
      </c>
      <c r="G146">
        <v>8.0000000000000071E-3</v>
      </c>
      <c r="H146">
        <v>2.2714981070849127E-2</v>
      </c>
      <c r="I146">
        <v>1.811509330834693E-2</v>
      </c>
      <c r="J146">
        <v>1.6188386822830525E-2</v>
      </c>
      <c r="K146">
        <v>0.12936344969199198</v>
      </c>
      <c r="L146">
        <v>0.123701509819092</v>
      </c>
      <c r="M146">
        <v>1.8411967779061733E-3</v>
      </c>
    </row>
    <row r="147" spans="1:13" x14ac:dyDescent="0.25">
      <c r="A147" s="4">
        <v>43524</v>
      </c>
      <c r="B147">
        <v>0.10060182173064458</v>
      </c>
      <c r="C147">
        <v>1.3170652876535183E-2</v>
      </c>
      <c r="D147">
        <v>7.5818878447870608E-2</v>
      </c>
      <c r="E147">
        <v>-5.5480027190211167E-3</v>
      </c>
      <c r="F147">
        <v>8.153396433500304E-2</v>
      </c>
      <c r="G147">
        <v>4.9999999999998934E-3</v>
      </c>
      <c r="H147">
        <v>1.2427287149656241E-2</v>
      </c>
      <c r="I147">
        <v>4.5248868778280382E-3</v>
      </c>
      <c r="J147">
        <v>1.3588801643539927E-2</v>
      </c>
      <c r="K147">
        <v>0.1166666666666667</v>
      </c>
      <c r="L147">
        <v>5.2150565639250503E-2</v>
      </c>
      <c r="M147">
        <v>3.859407305306739E-2</v>
      </c>
    </row>
    <row r="148" spans="1:13" x14ac:dyDescent="0.25">
      <c r="A148" s="4">
        <v>43555</v>
      </c>
      <c r="B148">
        <v>-1.1084016847708877E-3</v>
      </c>
      <c r="C148">
        <v>2.1532817609062338E-3</v>
      </c>
      <c r="D148">
        <v>4.9306267135617698E-2</v>
      </c>
      <c r="E148">
        <v>-2.1148091930452306E-2</v>
      </c>
      <c r="F148">
        <v>3.65130719610951E-3</v>
      </c>
      <c r="G148">
        <v>9.9999999999988987E-4</v>
      </c>
      <c r="H148">
        <v>2.1154348393836786E-2</v>
      </c>
      <c r="I148">
        <v>1.610932966865164E-2</v>
      </c>
      <c r="J148">
        <v>1.6919311203675624E-2</v>
      </c>
      <c r="K148">
        <v>2.7408412483039379E-2</v>
      </c>
      <c r="L148">
        <v>1.3206714973671201E-2</v>
      </c>
      <c r="M148">
        <v>-9.0319250903193038E-2</v>
      </c>
    </row>
    <row r="149" spans="1:13" x14ac:dyDescent="0.25">
      <c r="A149" s="4">
        <v>43585</v>
      </c>
      <c r="B149">
        <v>7.0276668146176391E-3</v>
      </c>
      <c r="C149">
        <v>3.0876969600509119E-2</v>
      </c>
      <c r="D149">
        <v>-5.5833557670483147E-2</v>
      </c>
      <c r="E149">
        <v>1.7926858281287483E-2</v>
      </c>
      <c r="F149">
        <v>1.0485597070359454E-2</v>
      </c>
      <c r="G149">
        <v>9.9999999999988987E-4</v>
      </c>
      <c r="H149">
        <v>7.757885763000516E-3</v>
      </c>
      <c r="I149">
        <v>4.0574047636943167E-3</v>
      </c>
      <c r="J149">
        <v>9.6364173810223885E-3</v>
      </c>
      <c r="K149">
        <v>2.0602218700475294E-2</v>
      </c>
      <c r="L149">
        <v>3.7088827332798897E-2</v>
      </c>
      <c r="M149">
        <v>-9.9205705949100054E-2</v>
      </c>
    </row>
    <row r="150" spans="1:13" x14ac:dyDescent="0.25">
      <c r="A150" s="4">
        <v>43616</v>
      </c>
      <c r="B150">
        <v>-0.16491588922353628</v>
      </c>
      <c r="C150">
        <v>-2.1383356492202799E-2</v>
      </c>
      <c r="D150">
        <v>-5.5621556497893354E-2</v>
      </c>
      <c r="E150">
        <v>7.8794492355444445E-2</v>
      </c>
      <c r="F150">
        <v>-0.13744243922930011</v>
      </c>
      <c r="G150">
        <v>4.9999999999998934E-3</v>
      </c>
      <c r="H150">
        <v>4.991117502749276E-3</v>
      </c>
      <c r="I150">
        <v>1.0327022375215433E-2</v>
      </c>
      <c r="J150">
        <v>4.6174694259952798E-3</v>
      </c>
      <c r="K150">
        <v>-4.1666666666665964E-2</v>
      </c>
      <c r="L150">
        <v>-4.1583216974909402E-2</v>
      </c>
      <c r="M150">
        <v>-9.7174734569012156E-3</v>
      </c>
    </row>
    <row r="151" spans="1:13" x14ac:dyDescent="0.25">
      <c r="A151" s="4">
        <v>43646</v>
      </c>
      <c r="B151">
        <v>0.1521815622800835</v>
      </c>
      <c r="C151">
        <v>3.2184270726513198E-2</v>
      </c>
      <c r="D151">
        <v>0.11965392003930875</v>
      </c>
      <c r="E151">
        <v>4.9763169830377096E-2</v>
      </c>
      <c r="F151">
        <v>0.17800050078218455</v>
      </c>
      <c r="G151">
        <v>4.0000000000000036E-3</v>
      </c>
      <c r="H151">
        <v>1.2794612794612359E-2</v>
      </c>
      <c r="I151">
        <v>1.4517443152358922E-2</v>
      </c>
      <c r="J151">
        <v>2.3830538393645018E-2</v>
      </c>
      <c r="K151">
        <v>3.9697542533081664E-2</v>
      </c>
      <c r="L151">
        <v>8.6567000000000102E-2</v>
      </c>
      <c r="M151">
        <v>4.4702889333090745E-2</v>
      </c>
    </row>
    <row r="152" spans="1:13" x14ac:dyDescent="0.25">
      <c r="A152" s="4">
        <v>43677</v>
      </c>
      <c r="B152">
        <v>-0.13505878760116041</v>
      </c>
      <c r="C152">
        <v>9.8586167367209487E-3</v>
      </c>
      <c r="D152">
        <v>-2.3256182834785366E-2</v>
      </c>
      <c r="E152">
        <v>3.0601594293918177E-2</v>
      </c>
      <c r="F152">
        <v>1.0005733162248953E-2</v>
      </c>
      <c r="G152">
        <v>8.999999999999897E-3</v>
      </c>
      <c r="H152">
        <v>2.5764627659574657E-3</v>
      </c>
      <c r="I152">
        <v>6.8628166751849573E-3</v>
      </c>
      <c r="J152">
        <v>7.888744307091633E-3</v>
      </c>
      <c r="K152">
        <v>2.3116883116882647E-2</v>
      </c>
      <c r="L152">
        <v>1.2071966109775E-2</v>
      </c>
      <c r="M152">
        <v>-2.4873891111497626E-2</v>
      </c>
    </row>
    <row r="153" spans="1:13" x14ac:dyDescent="0.25">
      <c r="A153" s="4">
        <v>43708</v>
      </c>
      <c r="B153">
        <v>-0.11060111218995472</v>
      </c>
      <c r="C153">
        <v>8.6272135613738588E-3</v>
      </c>
      <c r="D153">
        <v>-2.4941266902681392E-2</v>
      </c>
      <c r="E153">
        <v>1.1721012248285145E-2</v>
      </c>
      <c r="F153">
        <v>-8.5431239706759921E-2</v>
      </c>
      <c r="G153">
        <v>4.9999999999998934E-3</v>
      </c>
      <c r="H153">
        <v>-3.3159247285075022E-4</v>
      </c>
      <c r="I153">
        <v>9.2089043579146601E-3</v>
      </c>
      <c r="J153">
        <v>2.2278705720971015E-2</v>
      </c>
      <c r="K153">
        <v>-6.3467885250064748E-3</v>
      </c>
      <c r="L153">
        <v>9.492727001575E-3</v>
      </c>
      <c r="M153">
        <v>-7.1352122725650946E-2</v>
      </c>
    </row>
    <row r="154" spans="1:13" x14ac:dyDescent="0.25">
      <c r="A154" s="4">
        <v>43738</v>
      </c>
      <c r="B154">
        <v>-2.7987296546248208E-2</v>
      </c>
      <c r="C154">
        <v>1.350540216086471E-2</v>
      </c>
      <c r="D154">
        <v>-8.2558646284694448E-2</v>
      </c>
      <c r="E154">
        <v>2.5588303140939406E-2</v>
      </c>
      <c r="F154">
        <v>-3.2265895978162651E-2</v>
      </c>
      <c r="G154">
        <v>2.9999999999998916E-3</v>
      </c>
      <c r="H154">
        <v>2.5706940874035134E-3</v>
      </c>
      <c r="I154">
        <v>-1.0777410547493371E-3</v>
      </c>
      <c r="J154">
        <v>-2.1153830974581789E-3</v>
      </c>
      <c r="K154">
        <v>-6.6428206438426396E-2</v>
      </c>
      <c r="L154">
        <v>5.0000000000000001E-3</v>
      </c>
      <c r="M154">
        <v>1.3061851709565753E-2</v>
      </c>
    </row>
    <row r="155" spans="1:13" x14ac:dyDescent="0.25">
      <c r="A155" s="4">
        <v>43769</v>
      </c>
      <c r="B155">
        <v>7.6169083112108904E-2</v>
      </c>
      <c r="C155">
        <v>1.7767249037606403E-2</v>
      </c>
      <c r="D155">
        <v>0.1055123732644303</v>
      </c>
      <c r="E155">
        <v>-1.3764779713541286E-2</v>
      </c>
      <c r="F155">
        <v>3.1243114712972586E-2</v>
      </c>
      <c r="G155">
        <v>9.9999999999988987E-4</v>
      </c>
      <c r="H155">
        <v>8.5194375516952636E-3</v>
      </c>
      <c r="I155">
        <v>-5.754153779755633E-4</v>
      </c>
      <c r="J155">
        <v>9.9665408984095372E-4</v>
      </c>
      <c r="K155">
        <v>4.5703338806787563E-2</v>
      </c>
      <c r="L155">
        <v>2.6999999999999913E-2</v>
      </c>
      <c r="M155">
        <v>1.1376564277596479E-3</v>
      </c>
    </row>
    <row r="156" spans="1:13" x14ac:dyDescent="0.25">
      <c r="A156" s="4">
        <v>43799</v>
      </c>
      <c r="B156">
        <v>8.1024667931688166E-2</v>
      </c>
      <c r="C156">
        <v>6.619144602850735E-3</v>
      </c>
      <c r="D156">
        <v>0.1335635933702628</v>
      </c>
      <c r="E156">
        <v>6.2883448538003872E-2</v>
      </c>
      <c r="F156">
        <v>0.14017604240925552</v>
      </c>
      <c r="G156">
        <v>3.0000000000000001E-3</v>
      </c>
      <c r="H156">
        <v>3.5266136307716689E-3</v>
      </c>
      <c r="I156">
        <v>3.3105433609206258E-3</v>
      </c>
      <c r="J156">
        <v>6.8985136192303287E-3</v>
      </c>
      <c r="K156">
        <v>4.03035854488345E-2</v>
      </c>
      <c r="L156">
        <v>0.02</v>
      </c>
      <c r="M156">
        <v>-5.8333333333333126E-2</v>
      </c>
    </row>
    <row r="157" spans="1:13" x14ac:dyDescent="0.25">
      <c r="A157" s="4">
        <v>43830</v>
      </c>
      <c r="B157">
        <v>-5.0816219062664536E-2</v>
      </c>
      <c r="C157">
        <v>2.0304935327696949E-2</v>
      </c>
      <c r="D157">
        <v>6.942291627433117E-2</v>
      </c>
      <c r="E157">
        <v>4.5806743858924248E-2</v>
      </c>
      <c r="F157">
        <v>-3.836791640692061E-3</v>
      </c>
      <c r="G157">
        <v>2E-3</v>
      </c>
      <c r="H157">
        <v>1.3893429225231291E-3</v>
      </c>
      <c r="I157">
        <v>6.3840470554483719E-3</v>
      </c>
      <c r="J157">
        <v>5.0854640485948899E-3</v>
      </c>
      <c r="K157">
        <v>3.3710691823900074E-2</v>
      </c>
      <c r="L157">
        <v>2.8999999999999998E-2</v>
      </c>
      <c r="M157">
        <v>5.5711987127916585E-2</v>
      </c>
    </row>
    <row r="158" spans="1:13" x14ac:dyDescent="0.25">
      <c r="A158" s="4">
        <v>43861</v>
      </c>
      <c r="B158">
        <v>-8.099861303744782E-2</v>
      </c>
      <c r="C158">
        <v>1.4943342776204238E-2</v>
      </c>
      <c r="D158">
        <v>-5.9601751930283831E-2</v>
      </c>
      <c r="E158">
        <v>-3.3245438725809651E-3</v>
      </c>
      <c r="F158">
        <v>3.4965842465601193E-2</v>
      </c>
      <c r="G158">
        <v>4.5000000000000005E-3</v>
      </c>
      <c r="H158">
        <v>1.1833836611442328E-2</v>
      </c>
      <c r="I158">
        <v>1.1047754811118971E-2</v>
      </c>
      <c r="J158">
        <v>1.7232763332552192E-2</v>
      </c>
      <c r="K158">
        <v>6.7899732294962378E-2</v>
      </c>
      <c r="L158">
        <v>-5.0000000000000001E-3</v>
      </c>
      <c r="M158">
        <v>-0.10544865688702609</v>
      </c>
    </row>
    <row r="159" spans="1:13" x14ac:dyDescent="0.25">
      <c r="A159" s="4">
        <v>43890</v>
      </c>
      <c r="B159">
        <v>-5.3928966696850766E-2</v>
      </c>
      <c r="C159">
        <v>-6.9778801200182095E-5</v>
      </c>
      <c r="D159">
        <v>-3.1941710279924984E-2</v>
      </c>
      <c r="E159">
        <v>-0.11396810753319475</v>
      </c>
      <c r="F159">
        <v>2.0077452141271213E-2</v>
      </c>
      <c r="G159">
        <v>4.4000000000000003E-3</v>
      </c>
      <c r="H159">
        <v>3.0650104855620697E-3</v>
      </c>
      <c r="I159">
        <v>5.4282692985545555E-3</v>
      </c>
      <c r="J159">
        <v>4.4904319258196601E-3</v>
      </c>
      <c r="K159">
        <v>-1.3673655423886988E-3</v>
      </c>
      <c r="L159">
        <v>-5.2999999999999999E-2</v>
      </c>
      <c r="M159">
        <v>0.16899158769034184</v>
      </c>
    </row>
    <row r="160" spans="1:13" x14ac:dyDescent="0.25">
      <c r="A160" s="4">
        <v>43921</v>
      </c>
      <c r="B160">
        <v>-4.5091991917472818E-2</v>
      </c>
      <c r="C160">
        <v>-9.5394277739009214E-2</v>
      </c>
      <c r="D160">
        <v>-0.17641077783426573</v>
      </c>
      <c r="E160">
        <v>-0.13261883146963382</v>
      </c>
      <c r="F160">
        <v>-0.16729851549338048</v>
      </c>
      <c r="G160">
        <v>-8.5299999999999987E-2</v>
      </c>
      <c r="H160">
        <v>-4.9614023801865526E-2</v>
      </c>
      <c r="I160">
        <v>-3.4357032674239618E-2</v>
      </c>
      <c r="J160">
        <v>-6.8033500939921887E-2</v>
      </c>
      <c r="K160">
        <v>-0.14696485623003175</v>
      </c>
      <c r="L160">
        <v>-0.247</v>
      </c>
      <c r="M160">
        <v>-2.6871925669520791E-2</v>
      </c>
    </row>
    <row r="161" spans="1:13" x14ac:dyDescent="0.25">
      <c r="A161" s="4">
        <v>43951</v>
      </c>
      <c r="B161">
        <v>0.19690388684708759</v>
      </c>
      <c r="C161">
        <v>8.0074056931265902E-2</v>
      </c>
      <c r="D161">
        <v>0.20283950617283897</v>
      </c>
      <c r="E161">
        <v>0.17227570196991437</v>
      </c>
      <c r="F161">
        <v>0.25750125524076228</v>
      </c>
      <c r="G161">
        <v>1.49E-2</v>
      </c>
      <c r="H161">
        <v>1.7683391149843519E-2</v>
      </c>
      <c r="I161">
        <v>2.1129828637815651E-2</v>
      </c>
      <c r="J161">
        <v>4.1456555071786694E-2</v>
      </c>
      <c r="K161">
        <v>0.1468699839486356</v>
      </c>
      <c r="L161">
        <v>8.9700000000000002E-2</v>
      </c>
      <c r="M161">
        <v>-2.078067958438623E-2</v>
      </c>
    </row>
    <row r="162" spans="1:13" x14ac:dyDescent="0.25">
      <c r="A162" s="4">
        <v>43982</v>
      </c>
      <c r="B162">
        <v>0.11566018423746138</v>
      </c>
      <c r="C162">
        <v>2.8212270552103735E-2</v>
      </c>
      <c r="D162">
        <v>8.8381151696152127E-2</v>
      </c>
      <c r="E162">
        <v>-3.3829814242796297E-2</v>
      </c>
      <c r="F162">
        <v>0.1353697223733803</v>
      </c>
      <c r="G162">
        <v>1.1299999999999999E-2</v>
      </c>
      <c r="H162">
        <v>2.6438310608580151E-2</v>
      </c>
      <c r="I162">
        <v>1.5501671051695975E-2</v>
      </c>
      <c r="J162">
        <v>2.6713380309411727E-2</v>
      </c>
      <c r="K162">
        <v>0.12596221133659924</v>
      </c>
      <c r="L162">
        <v>4.6699999999999998E-2</v>
      </c>
      <c r="M162">
        <v>-0.18468597648408391</v>
      </c>
    </row>
    <row r="163" spans="1:13" x14ac:dyDescent="0.25">
      <c r="A163" s="4">
        <v>44012</v>
      </c>
      <c r="B163">
        <v>-6.3886572143453058E-2</v>
      </c>
      <c r="C163">
        <v>1.5490414003890063E-2</v>
      </c>
      <c r="D163">
        <v>7.9536672432192201E-3</v>
      </c>
      <c r="E163">
        <v>-1.6845132517280925E-2</v>
      </c>
      <c r="F163">
        <v>0.13514848987562322</v>
      </c>
      <c r="G163">
        <v>2.4E-2</v>
      </c>
      <c r="H163">
        <v>1.5875587234731814E-2</v>
      </c>
      <c r="I163">
        <v>9.8732581751976856E-3</v>
      </c>
      <c r="J163">
        <v>1.0474817495858879E-2</v>
      </c>
      <c r="K163">
        <v>9.8197638284648336E-2</v>
      </c>
      <c r="L163">
        <v>2.7000000000000003E-2</v>
      </c>
      <c r="M163">
        <v>-0.12123343885566862</v>
      </c>
    </row>
    <row r="164" spans="1:13" x14ac:dyDescent="0.25">
      <c r="A164" s="4">
        <v>44043</v>
      </c>
      <c r="B164">
        <v>-8.6867426942266346E-2</v>
      </c>
      <c r="C164">
        <v>-1.436486763801148E-3</v>
      </c>
      <c r="D164">
        <v>-4.4944845810153233E-2</v>
      </c>
      <c r="E164">
        <v>2.0039615956856549E-2</v>
      </c>
      <c r="F164">
        <v>0.12705017143858122</v>
      </c>
      <c r="G164">
        <v>6.9999999999999993E-3</v>
      </c>
      <c r="H164">
        <v>1.7142401530856555E-2</v>
      </c>
      <c r="I164">
        <v>1.7126612120371698E-2</v>
      </c>
      <c r="J164">
        <v>3.46350569915157E-2</v>
      </c>
      <c r="K164">
        <v>0.1207319373703073</v>
      </c>
      <c r="L164">
        <v>4.1900000000000007E-2</v>
      </c>
      <c r="M164">
        <v>5.3502334889926395E-2</v>
      </c>
    </row>
    <row r="165" spans="1:13" x14ac:dyDescent="0.25">
      <c r="A165" s="4">
        <v>44074</v>
      </c>
      <c r="B165">
        <v>0.11445019026246483</v>
      </c>
      <c r="C165">
        <v>3.7607891491984846E-2</v>
      </c>
      <c r="D165">
        <v>3.6546961985998383E-2</v>
      </c>
      <c r="E165">
        <v>-1.4009508531767523E-2</v>
      </c>
      <c r="F165">
        <v>0.1861387861144288</v>
      </c>
      <c r="G165">
        <v>1.7000000000000001E-2</v>
      </c>
      <c r="H165">
        <v>6.6630085443291076E-3</v>
      </c>
      <c r="I165">
        <v>-2.3859840479926175E-3</v>
      </c>
      <c r="J165">
        <v>2.4131203332895534E-3</v>
      </c>
      <c r="K165">
        <v>0.11664702911967706</v>
      </c>
      <c r="L165">
        <v>3.3599999999999998E-2</v>
      </c>
      <c r="M165">
        <v>-3.7107396149949512E-2</v>
      </c>
    </row>
    <row r="166" spans="1:13" x14ac:dyDescent="0.25">
      <c r="A166" s="4">
        <v>44104</v>
      </c>
      <c r="B166">
        <v>1.8385571703729564E-3</v>
      </c>
      <c r="C166">
        <v>-6.2718690169667468E-3</v>
      </c>
      <c r="D166">
        <v>-6.763080128899368E-3</v>
      </c>
      <c r="E166">
        <v>-5.7042421951817524E-2</v>
      </c>
      <c r="F166">
        <v>-3.4930872602004226E-2</v>
      </c>
      <c r="G166">
        <v>1.9E-2</v>
      </c>
      <c r="H166">
        <v>-6.15168976794922E-3</v>
      </c>
      <c r="I166">
        <v>-5.4667213338854825E-4</v>
      </c>
      <c r="J166">
        <v>-2.3780429803830216E-3</v>
      </c>
      <c r="K166">
        <v>-2.5625565269822292E-2</v>
      </c>
      <c r="L166">
        <v>-2.3E-2</v>
      </c>
      <c r="M166">
        <v>-0.10574773115875324</v>
      </c>
    </row>
  </sheetData>
  <conditionalFormatting sqref="A2:A66">
    <cfRule type="notContainsBlanks" dxfId="5" priority="2" stopIfTrue="1">
      <formula>LEN(TRIM(A2))&gt;0</formula>
    </cfRule>
  </conditionalFormatting>
  <conditionalFormatting sqref="A67:A166">
    <cfRule type="notContainsBlanks" dxfId="4" priority="1" stopIfTrue="1">
      <formula>LEN(TRIM(A67))&gt;0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82D6-B2B2-457F-8660-C3FD774BFC92}">
  <dimension ref="A1:D164"/>
  <sheetViews>
    <sheetView tabSelected="1" workbookViewId="0">
      <selection activeCell="A2" sqref="A2:XFD2"/>
    </sheetView>
  </sheetViews>
  <sheetFormatPr defaultRowHeight="15" x14ac:dyDescent="0.25"/>
  <cols>
    <col min="2" max="4" width="24.140625" customWidth="1"/>
  </cols>
  <sheetData>
    <row r="1" spans="1:4" s="45" customFormat="1" ht="18" customHeight="1" x14ac:dyDescent="0.25">
      <c r="B1" s="68" t="s">
        <v>315</v>
      </c>
      <c r="C1" s="6" t="str" cm="1">
        <f t="array" ref="C1">_xll.ASPortfolioInfo('PBA Summary'!$C$2,"Benchmark 1")</f>
        <v>S&amp;P 500 Index</v>
      </c>
      <c r="D1" s="6" t="str" cm="1">
        <f t="array" ref="D1">_xll.ASPortfolioInfo('PBA Summary'!$C$2,"Benchmark 2")</f>
        <v>S&amp;P 500 Index</v>
      </c>
    </row>
    <row r="2" spans="1:4" x14ac:dyDescent="0.25">
      <c r="A2" s="2">
        <v>43496</v>
      </c>
      <c r="B2">
        <v>1.1629408223861271E-2</v>
      </c>
      <c r="C2">
        <v>2.58415770771947E-3</v>
      </c>
      <c r="D2">
        <v>2.58415770771947E-3</v>
      </c>
    </row>
    <row r="3" spans="1:4" x14ac:dyDescent="0.25">
      <c r="A3" s="2">
        <v>43524</v>
      </c>
      <c r="B3">
        <v>2.3784627739504849E-2</v>
      </c>
      <c r="C3">
        <v>3.4775071474987262E-2</v>
      </c>
      <c r="D3">
        <v>3.4775071474987262E-2</v>
      </c>
    </row>
    <row r="4" spans="1:4" x14ac:dyDescent="0.25">
      <c r="A4" s="2">
        <v>43555</v>
      </c>
      <c r="B4">
        <v>5.915829218801405E-2</v>
      </c>
      <c r="C4">
        <v>5.4883141723565565E-2</v>
      </c>
      <c r="D4">
        <v>5.4883141723565565E-2</v>
      </c>
    </row>
    <row r="5" spans="1:4" x14ac:dyDescent="0.25">
      <c r="A5" s="2">
        <v>43585</v>
      </c>
      <c r="B5">
        <v>4.0411984097534992E-2</v>
      </c>
      <c r="C5">
        <v>9.759460000677378E-2</v>
      </c>
      <c r="D5">
        <v>9.759460000677378E-2</v>
      </c>
    </row>
    <row r="6" spans="1:4" x14ac:dyDescent="0.25">
      <c r="A6" s="2">
        <v>43616</v>
      </c>
      <c r="B6">
        <v>3.6583125113731407E-2</v>
      </c>
      <c r="C6">
        <v>2.7843684361369414E-2</v>
      </c>
      <c r="D6">
        <v>2.7843684361369414E-2</v>
      </c>
    </row>
    <row r="7" spans="1:4" x14ac:dyDescent="0.25">
      <c r="A7" s="2">
        <v>43646</v>
      </c>
      <c r="B7">
        <v>4.9458644210781832E-2</v>
      </c>
      <c r="C7">
        <v>0.10028319759475601</v>
      </c>
      <c r="D7">
        <v>0.10028319759475601</v>
      </c>
    </row>
    <row r="8" spans="1:4" x14ac:dyDescent="0.25">
      <c r="A8" s="2">
        <v>43677</v>
      </c>
      <c r="B8">
        <v>5.7829467712239513E-2</v>
      </c>
      <c r="C8">
        <v>0.11609725640641533</v>
      </c>
      <c r="D8">
        <v>0.11609725640641533</v>
      </c>
    </row>
    <row r="9" spans="1:4" x14ac:dyDescent="0.25">
      <c r="A9" s="2">
        <v>43708</v>
      </c>
      <c r="B9">
        <v>6.9972410745567259E-2</v>
      </c>
      <c r="C9">
        <v>9.8418204119868014E-2</v>
      </c>
      <c r="D9">
        <v>9.8418204119868014E-2</v>
      </c>
    </row>
    <row r="10" spans="1:4" x14ac:dyDescent="0.25">
      <c r="A10" s="2">
        <v>43738</v>
      </c>
      <c r="B10">
        <v>4.4183407494471583E-2</v>
      </c>
      <c r="C10">
        <v>0.11897041255963625</v>
      </c>
      <c r="D10">
        <v>0.11897041255963625</v>
      </c>
    </row>
    <row r="11" spans="1:4" x14ac:dyDescent="0.25">
      <c r="A11" s="2">
        <v>43769</v>
      </c>
      <c r="B11">
        <v>5.2197463513498299E-2</v>
      </c>
      <c r="C11">
        <v>0.14320427264440649</v>
      </c>
      <c r="D11">
        <v>0.14320427264440649</v>
      </c>
    </row>
    <row r="12" spans="1:4" x14ac:dyDescent="0.25">
      <c r="A12" s="2">
        <v>43799</v>
      </c>
      <c r="B12">
        <v>6.282977672248391E-2</v>
      </c>
      <c r="C12">
        <v>0.18470249635266445</v>
      </c>
      <c r="D12">
        <v>0.18470249635266445</v>
      </c>
    </row>
    <row r="13" spans="1:4" x14ac:dyDescent="0.25">
      <c r="A13" s="2">
        <v>43830</v>
      </c>
      <c r="B13">
        <v>9.0589588166450685E-2</v>
      </c>
      <c r="C13">
        <v>0.22037984732246829</v>
      </c>
      <c r="D13">
        <v>0.22037984732246829</v>
      </c>
    </row>
    <row r="14" spans="1:4" x14ac:dyDescent="0.25">
      <c r="A14" s="2">
        <v>43861</v>
      </c>
      <c r="B14">
        <v>0.11495498477598831</v>
      </c>
      <c r="C14">
        <v>0.21984364480871865</v>
      </c>
      <c r="D14">
        <v>0.21984364480871865</v>
      </c>
    </row>
    <row r="15" spans="1:4" x14ac:dyDescent="0.25">
      <c r="A15" s="2">
        <v>39568</v>
      </c>
      <c r="B15">
        <v>0.17930862795562841</v>
      </c>
      <c r="C15">
        <v>7.6586376597550521E-2</v>
      </c>
      <c r="D15">
        <v>7.5333035022220551E-2</v>
      </c>
    </row>
    <row r="16" spans="1:4" x14ac:dyDescent="0.25">
      <c r="A16" s="2">
        <v>39599</v>
      </c>
      <c r="B16">
        <v>0.1947257861700622</v>
      </c>
      <c r="C16">
        <v>9.4600391790097937E-2</v>
      </c>
      <c r="D16">
        <v>7.9383414123338047E-2</v>
      </c>
    </row>
    <row r="17" spans="1:4" x14ac:dyDescent="0.25">
      <c r="A17" s="2">
        <v>39629</v>
      </c>
      <c r="B17">
        <v>0.19501682988761315</v>
      </c>
      <c r="C17">
        <v>5.0952566121549303E-3</v>
      </c>
      <c r="D17">
        <v>3.353977056037194E-2</v>
      </c>
    </row>
    <row r="18" spans="1:4" x14ac:dyDescent="0.25">
      <c r="A18" s="2">
        <v>39660</v>
      </c>
      <c r="B18">
        <v>0.2068605952281144</v>
      </c>
      <c r="C18">
        <v>-2.0731255208659261E-2</v>
      </c>
      <c r="D18">
        <v>2.4091933001620269E-2</v>
      </c>
    </row>
    <row r="19" spans="1:4" x14ac:dyDescent="0.25">
      <c r="A19" s="2">
        <v>39691</v>
      </c>
      <c r="B19">
        <v>0.21335634809268589</v>
      </c>
      <c r="C19">
        <v>-4.1435752335833964E-2</v>
      </c>
      <c r="D19">
        <v>1.8359769299796103E-2</v>
      </c>
    </row>
    <row r="20" spans="1:4" x14ac:dyDescent="0.25">
      <c r="A20" s="2">
        <v>39721</v>
      </c>
      <c r="B20">
        <v>0.21141470873864776</v>
      </c>
      <c r="C20">
        <v>-0.16087994382529613</v>
      </c>
      <c r="D20">
        <v>-4.9698470542397843E-2</v>
      </c>
    </row>
    <row r="21" spans="1:4" x14ac:dyDescent="0.25">
      <c r="A21" s="2">
        <v>39752</v>
      </c>
      <c r="B21">
        <v>0.20450135239615763</v>
      </c>
      <c r="C21">
        <v>-0.3269688661090373</v>
      </c>
      <c r="D21">
        <v>-0.14686482206522133</v>
      </c>
    </row>
    <row r="22" spans="1:4" x14ac:dyDescent="0.25">
      <c r="A22" s="2">
        <v>39782</v>
      </c>
      <c r="B22">
        <v>0.20427792136656242</v>
      </c>
      <c r="C22">
        <v>-0.37077335602879335</v>
      </c>
      <c r="D22">
        <v>-0.16305724157063683</v>
      </c>
    </row>
    <row r="23" spans="1:4" x14ac:dyDescent="0.25">
      <c r="A23" s="2">
        <v>39813</v>
      </c>
      <c r="B23">
        <v>0.22299971206763303</v>
      </c>
      <c r="C23">
        <v>-0.34757302043066141</v>
      </c>
      <c r="D23">
        <v>-0.13698625880092397</v>
      </c>
    </row>
    <row r="24" spans="1:4" x14ac:dyDescent="0.25">
      <c r="A24" s="2">
        <v>39844</v>
      </c>
      <c r="B24">
        <v>0.22761664470678022</v>
      </c>
      <c r="C24">
        <v>-0.40321472454065932</v>
      </c>
      <c r="D24">
        <v>-0.17749593546979381</v>
      </c>
    </row>
    <row r="25" spans="1:4" x14ac:dyDescent="0.25">
      <c r="A25" s="2">
        <v>39872</v>
      </c>
      <c r="B25">
        <v>0.22267965861524108</v>
      </c>
      <c r="C25">
        <v>-0.46131040367155662</v>
      </c>
      <c r="D25">
        <v>-0.21758169323189702</v>
      </c>
    </row>
    <row r="26" spans="1:4" x14ac:dyDescent="0.25">
      <c r="A26" s="2">
        <v>39903</v>
      </c>
      <c r="B26">
        <v>0.22994637238560833</v>
      </c>
      <c r="C26">
        <v>-0.41658491785053475</v>
      </c>
      <c r="D26">
        <v>-0.18167987602923275</v>
      </c>
    </row>
    <row r="27" spans="1:4" x14ac:dyDescent="0.25">
      <c r="A27" s="2">
        <v>39933</v>
      </c>
      <c r="B27">
        <v>0.24068658350810601</v>
      </c>
      <c r="C27">
        <v>-0.34723056014591236</v>
      </c>
      <c r="D27">
        <v>-0.13132649094890636</v>
      </c>
    </row>
    <row r="28" spans="1:4" x14ac:dyDescent="0.25">
      <c r="A28" s="2">
        <v>39964</v>
      </c>
      <c r="B28">
        <v>0.27204517208818801</v>
      </c>
      <c r="C28">
        <v>-0.28149350663363404</v>
      </c>
      <c r="D28">
        <v>-8.688615900710539E-2</v>
      </c>
    </row>
    <row r="29" spans="1:4" x14ac:dyDescent="0.25">
      <c r="A29" s="2">
        <v>39994</v>
      </c>
      <c r="B29">
        <v>0.27415429389699453</v>
      </c>
      <c r="C29">
        <v>-0.28522474846324808</v>
      </c>
      <c r="D29">
        <v>-8.5070726759845727E-2</v>
      </c>
    </row>
    <row r="30" spans="1:4" x14ac:dyDescent="0.25">
      <c r="A30" s="2">
        <v>40025</v>
      </c>
      <c r="B30">
        <v>0.30849508816756077</v>
      </c>
      <c r="C30">
        <v>-0.2221114974728754</v>
      </c>
      <c r="D30">
        <v>-3.8586339598455699E-2</v>
      </c>
    </row>
    <row r="31" spans="1:4" x14ac:dyDescent="0.25">
      <c r="A31" s="2">
        <v>40056</v>
      </c>
      <c r="B31">
        <v>0.32883423172401183</v>
      </c>
      <c r="C31">
        <v>-0.19397753270636364</v>
      </c>
      <c r="D31">
        <v>-1.6268964283420062E-2</v>
      </c>
    </row>
    <row r="32" spans="1:4" x14ac:dyDescent="0.25">
      <c r="A32" s="2">
        <v>40086</v>
      </c>
      <c r="B32">
        <v>0.3564572600725775</v>
      </c>
      <c r="C32">
        <v>-0.15677193094516473</v>
      </c>
      <c r="D32">
        <v>1.0590797889396875E-2</v>
      </c>
    </row>
    <row r="33" spans="1:4" x14ac:dyDescent="0.25">
      <c r="A33" s="2">
        <v>40117</v>
      </c>
      <c r="B33">
        <v>0.35778051610705575</v>
      </c>
      <c r="C33">
        <v>-0.16963825231749197</v>
      </c>
      <c r="D33">
        <v>3.9460292933828356E-3</v>
      </c>
    </row>
    <row r="34" spans="1:4" x14ac:dyDescent="0.25">
      <c r="A34" s="2">
        <v>40147</v>
      </c>
      <c r="B34">
        <v>0.38506710916486964</v>
      </c>
      <c r="C34">
        <v>-0.13514190630615108</v>
      </c>
      <c r="D34">
        <v>2.9856719002282484E-2</v>
      </c>
    </row>
    <row r="35" spans="1:4" x14ac:dyDescent="0.25">
      <c r="A35" s="2">
        <v>40178</v>
      </c>
      <c r="B35">
        <v>0.38784186421477429</v>
      </c>
      <c r="C35">
        <v>-0.11681564156600932</v>
      </c>
      <c r="D35">
        <v>3.6042851823357536E-2</v>
      </c>
    </row>
    <row r="36" spans="1:4" x14ac:dyDescent="0.25">
      <c r="A36" s="2">
        <v>40209</v>
      </c>
      <c r="B36">
        <v>0.38950787230676198</v>
      </c>
      <c r="C36">
        <v>-0.15489088097531212</v>
      </c>
      <c r="D36">
        <v>1.9016530184033043E-2</v>
      </c>
    </row>
    <row r="37" spans="1:4" x14ac:dyDescent="0.25">
      <c r="A37" s="2">
        <v>40237</v>
      </c>
      <c r="B37">
        <v>0.39887104310651056</v>
      </c>
      <c r="C37">
        <v>-0.14386374612278163</v>
      </c>
      <c r="D37">
        <v>2.8071177223446542E-2</v>
      </c>
    </row>
    <row r="38" spans="1:4" x14ac:dyDescent="0.25">
      <c r="A38" s="2">
        <v>40268</v>
      </c>
      <c r="B38">
        <v>0.42202955305962386</v>
      </c>
      <c r="C38">
        <v>-8.8362090358595768E-2</v>
      </c>
      <c r="D38">
        <v>6.2386553489184982E-2</v>
      </c>
    </row>
    <row r="39" spans="1:4" x14ac:dyDescent="0.25">
      <c r="A39" s="2">
        <v>40298</v>
      </c>
      <c r="B39">
        <v>0.44135611999398727</v>
      </c>
      <c r="C39">
        <v>-8.6422992615208361E-2</v>
      </c>
      <c r="D39">
        <v>6.6476418152832339E-2</v>
      </c>
    </row>
    <row r="40" spans="1:4" x14ac:dyDescent="0.25">
      <c r="A40" s="2">
        <v>40329</v>
      </c>
      <c r="B40">
        <v>0.43629974185449472</v>
      </c>
      <c r="C40">
        <v>-0.17235419758772264</v>
      </c>
      <c r="D40">
        <v>2.0448098638903955E-2</v>
      </c>
    </row>
    <row r="41" spans="1:4" x14ac:dyDescent="0.25">
      <c r="A41" s="2">
        <v>40359</v>
      </c>
      <c r="B41">
        <v>0.45110863999876782</v>
      </c>
      <c r="C41">
        <v>-0.19743256208199278</v>
      </c>
      <c r="D41">
        <v>9.6445662401303256E-3</v>
      </c>
    </row>
    <row r="42" spans="1:4" x14ac:dyDescent="0.25">
      <c r="A42" s="2">
        <v>40390</v>
      </c>
      <c r="B42">
        <v>0.47134986955574254</v>
      </c>
      <c r="C42">
        <v>-0.13194172607752774</v>
      </c>
      <c r="D42">
        <v>5.4945183170333367E-2</v>
      </c>
    </row>
    <row r="43" spans="1:4" x14ac:dyDescent="0.25">
      <c r="A43" s="2">
        <v>40421</v>
      </c>
      <c r="B43">
        <v>0.48671544124467192</v>
      </c>
      <c r="C43">
        <v>-0.16198716734202834</v>
      </c>
      <c r="D43">
        <v>4.544363220733616E-2</v>
      </c>
    </row>
    <row r="44" spans="1:4" x14ac:dyDescent="0.25">
      <c r="A44" s="2">
        <v>40451</v>
      </c>
      <c r="B44">
        <v>0.527606556052578</v>
      </c>
      <c r="C44">
        <v>-8.1513963618512597E-2</v>
      </c>
      <c r="D44">
        <v>9.4472450080753223E-2</v>
      </c>
    </row>
    <row r="45" spans="1:4" x14ac:dyDescent="0.25">
      <c r="A45" s="2">
        <v>40482</v>
      </c>
      <c r="B45">
        <v>0.56032987606926921</v>
      </c>
      <c r="C45">
        <v>-4.800594029409766E-2</v>
      </c>
      <c r="D45">
        <v>0.11394659224450066</v>
      </c>
    </row>
    <row r="46" spans="1:4" x14ac:dyDescent="0.25">
      <c r="A46" s="2">
        <v>40512</v>
      </c>
      <c r="B46">
        <v>0.5666223285543559</v>
      </c>
      <c r="C46">
        <v>-6.885091734904214E-2</v>
      </c>
      <c r="D46">
        <v>9.5759838949335041E-2</v>
      </c>
    </row>
    <row r="47" spans="1:4" x14ac:dyDescent="0.25">
      <c r="A47" s="2">
        <v>40543</v>
      </c>
      <c r="B47">
        <v>0.59967873045604403</v>
      </c>
      <c r="C47">
        <v>-1.9550662759793003E-4</v>
      </c>
      <c r="D47">
        <v>0.13358730743180791</v>
      </c>
    </row>
    <row r="48" spans="1:4" x14ac:dyDescent="0.25">
      <c r="A48" s="2">
        <v>40574</v>
      </c>
      <c r="B48">
        <v>0.60737823078519293</v>
      </c>
      <c r="C48">
        <v>1.559262460957056E-2</v>
      </c>
      <c r="D48">
        <v>0.14078185224798734</v>
      </c>
    </row>
    <row r="49" spans="1:4" x14ac:dyDescent="0.25">
      <c r="A49" s="2">
        <v>40602</v>
      </c>
      <c r="B49">
        <v>0.63450274348324553</v>
      </c>
      <c r="C49">
        <v>4.5483559532621509E-2</v>
      </c>
      <c r="D49">
        <v>0.15860879265668326</v>
      </c>
    </row>
    <row r="50" spans="1:4" x14ac:dyDescent="0.25">
      <c r="A50" s="2">
        <v>40633</v>
      </c>
      <c r="B50">
        <v>0.63648371859422825</v>
      </c>
      <c r="C50">
        <v>4.4890565920465919E-2</v>
      </c>
      <c r="D50">
        <v>0.1578411428395281</v>
      </c>
    </row>
    <row r="51" spans="1:4" x14ac:dyDescent="0.25">
      <c r="A51" s="2">
        <v>40663</v>
      </c>
      <c r="B51">
        <v>0.66704105728808338</v>
      </c>
      <c r="C51">
        <v>8.7976256086913285E-2</v>
      </c>
      <c r="D51">
        <v>0.1869614902768586</v>
      </c>
    </row>
    <row r="52" spans="1:4" x14ac:dyDescent="0.25">
      <c r="A52" s="2">
        <v>40694</v>
      </c>
      <c r="B52">
        <v>0.65162782546005293</v>
      </c>
      <c r="C52">
        <v>6.5352298195502145E-2</v>
      </c>
      <c r="D52">
        <v>0.18038270361287778</v>
      </c>
    </row>
    <row r="53" spans="1:4" x14ac:dyDescent="0.25">
      <c r="A53" s="2">
        <v>40724</v>
      </c>
      <c r="B53">
        <v>0.64505123964135214</v>
      </c>
      <c r="C53">
        <v>4.8995341935902603E-2</v>
      </c>
      <c r="D53">
        <v>0.17014915856765578</v>
      </c>
    </row>
    <row r="54" spans="1:4" x14ac:dyDescent="0.25">
      <c r="A54" s="2">
        <v>40755</v>
      </c>
      <c r="B54">
        <v>0.6598054405606939</v>
      </c>
      <c r="C54">
        <v>3.2228382814915024E-2</v>
      </c>
      <c r="D54">
        <v>0.16737320954530088</v>
      </c>
    </row>
    <row r="55" spans="1:4" x14ac:dyDescent="0.25">
      <c r="A55" s="2">
        <v>40786</v>
      </c>
      <c r="B55">
        <v>0.66442229268147357</v>
      </c>
      <c r="C55">
        <v>-4.2791782852135474E-2</v>
      </c>
      <c r="D55">
        <v>0.13207568984943663</v>
      </c>
    </row>
    <row r="56" spans="1:4" x14ac:dyDescent="0.25">
      <c r="A56" s="2">
        <v>40816</v>
      </c>
      <c r="B56">
        <v>0.64706602071351882</v>
      </c>
      <c r="C56">
        <v>-0.13278028982455714</v>
      </c>
      <c r="D56">
        <v>8.2241670394658239E-2</v>
      </c>
    </row>
    <row r="57" spans="1:4" x14ac:dyDescent="0.25">
      <c r="A57" s="2">
        <v>40847</v>
      </c>
      <c r="B57">
        <v>0.66747213992791332</v>
      </c>
      <c r="C57">
        <v>-3.975258269434967E-2</v>
      </c>
      <c r="D57">
        <v>0.13975699359225136</v>
      </c>
    </row>
    <row r="58" spans="1:4" x14ac:dyDescent="0.25">
      <c r="A58" s="2">
        <v>40877</v>
      </c>
      <c r="B58">
        <v>0.66685434885781247</v>
      </c>
      <c r="C58">
        <v>-6.8026811597652448E-2</v>
      </c>
      <c r="D58">
        <v>0.11988441656606952</v>
      </c>
    </row>
    <row r="59" spans="1:4" x14ac:dyDescent="0.25">
      <c r="A59" s="2">
        <v>40908</v>
      </c>
      <c r="B59">
        <v>0.66804461629032175</v>
      </c>
      <c r="C59">
        <v>-6.942880559262099E-2</v>
      </c>
      <c r="D59">
        <v>0.12755864681208395</v>
      </c>
    </row>
    <row r="60" spans="1:4" x14ac:dyDescent="0.25">
      <c r="A60" s="2">
        <v>40939</v>
      </c>
      <c r="B60">
        <v>0.7048686882963906</v>
      </c>
      <c r="C60">
        <v>-1.5184995448978222E-2</v>
      </c>
      <c r="D60">
        <v>0.16599271234110446</v>
      </c>
    </row>
    <row r="61" spans="1:4" x14ac:dyDescent="0.25">
      <c r="A61" s="2">
        <v>40968</v>
      </c>
      <c r="B61">
        <v>0.73564358610921765</v>
      </c>
      <c r="C61">
        <v>3.478248485038371E-2</v>
      </c>
      <c r="D61">
        <v>0.19768033626061832</v>
      </c>
    </row>
    <row r="62" spans="1:4" x14ac:dyDescent="0.25">
      <c r="A62" s="2">
        <v>40999</v>
      </c>
      <c r="B62">
        <v>0.7378056243430029</v>
      </c>
      <c r="C62">
        <v>4.2174404859257386E-2</v>
      </c>
      <c r="D62">
        <v>0.20109154066937696</v>
      </c>
    </row>
    <row r="63" spans="1:4" x14ac:dyDescent="0.25">
      <c r="A63" s="2">
        <v>41029</v>
      </c>
      <c r="B63">
        <v>0.73880385902622558</v>
      </c>
      <c r="C63">
        <v>3.0580602894092479E-2</v>
      </c>
      <c r="D63">
        <v>0.19815340738167109</v>
      </c>
    </row>
    <row r="64" spans="1:4" x14ac:dyDescent="0.25">
      <c r="A64" s="2">
        <v>41060</v>
      </c>
      <c r="B64">
        <v>0.75105438306460703</v>
      </c>
      <c r="C64">
        <v>-6.1053741880333634E-2</v>
      </c>
      <c r="D64">
        <v>0.15112252851226815</v>
      </c>
    </row>
    <row r="65" spans="1:4" x14ac:dyDescent="0.25">
      <c r="A65" s="2">
        <v>41090</v>
      </c>
      <c r="B65">
        <v>0.7458025959843908</v>
      </c>
      <c r="C65">
        <v>-1.4235515138394272E-2</v>
      </c>
      <c r="D65">
        <v>0.17887749376761541</v>
      </c>
    </row>
    <row r="66" spans="1:4" x14ac:dyDescent="0.25">
      <c r="A66" s="2">
        <v>41121</v>
      </c>
      <c r="B66">
        <v>0.76033581303836528</v>
      </c>
      <c r="C66">
        <v>-4.6179269652046884E-4</v>
      </c>
      <c r="D66">
        <v>0.19510137544541051</v>
      </c>
    </row>
    <row r="67" spans="1:4" x14ac:dyDescent="0.25">
      <c r="A67" s="2">
        <v>41152</v>
      </c>
      <c r="B67">
        <v>0.78042606716121332</v>
      </c>
      <c r="C67">
        <v>2.1758636062892744E-2</v>
      </c>
      <c r="D67">
        <v>0.20980467695386151</v>
      </c>
    </row>
    <row r="68" spans="1:4" x14ac:dyDescent="0.25">
      <c r="A68" s="2">
        <v>41182</v>
      </c>
      <c r="B68">
        <v>0.79750006892264258</v>
      </c>
      <c r="C68">
        <v>5.4338542383712607E-2</v>
      </c>
      <c r="D68">
        <v>0.23149059638136693</v>
      </c>
    </row>
    <row r="69" spans="1:4" x14ac:dyDescent="0.25">
      <c r="A69" s="2">
        <v>41213</v>
      </c>
      <c r="B69">
        <v>0.78605049353537715</v>
      </c>
      <c r="C69">
        <v>4.7556016101450327E-2</v>
      </c>
      <c r="D69">
        <v>0.22926734044330499</v>
      </c>
    </row>
    <row r="70" spans="1:4" x14ac:dyDescent="0.25">
      <c r="A70" s="2">
        <v>41243</v>
      </c>
      <c r="B70">
        <v>0.80615466492586885</v>
      </c>
      <c r="C70">
        <v>6.142770764809713E-2</v>
      </c>
      <c r="D70">
        <v>0.24050489134516195</v>
      </c>
    </row>
    <row r="71" spans="1:4" x14ac:dyDescent="0.25">
      <c r="A71" s="2">
        <v>41274</v>
      </c>
      <c r="B71">
        <v>0.82337788657010469</v>
      </c>
      <c r="C71">
        <v>8.6151959144715295E-2</v>
      </c>
      <c r="D71">
        <v>0.25559007196639572</v>
      </c>
    </row>
    <row r="72" spans="1:4" x14ac:dyDescent="0.25">
      <c r="A72" s="2">
        <v>41305</v>
      </c>
      <c r="B72">
        <v>0.85678805094166477</v>
      </c>
      <c r="C72">
        <v>0.13637256226324013</v>
      </c>
      <c r="D72">
        <v>0.28117555653779358</v>
      </c>
    </row>
    <row r="73" spans="1:4" x14ac:dyDescent="0.25">
      <c r="A73" s="2">
        <v>41333</v>
      </c>
      <c r="B73">
        <v>0.85600939397978326</v>
      </c>
      <c r="C73">
        <v>0.1366271956192604</v>
      </c>
      <c r="D73">
        <v>0.2852033253307491</v>
      </c>
    </row>
    <row r="74" spans="1:4" x14ac:dyDescent="0.25">
      <c r="A74" s="2">
        <v>41364</v>
      </c>
      <c r="B74">
        <v>0.87233810874433027</v>
      </c>
      <c r="C74">
        <v>0.1580381924139016</v>
      </c>
      <c r="D74">
        <v>0.30062935931264922</v>
      </c>
    </row>
    <row r="75" spans="1:4" x14ac:dyDescent="0.25">
      <c r="A75" s="2">
        <v>41394</v>
      </c>
      <c r="B75">
        <v>0.88913012867952168</v>
      </c>
      <c r="C75">
        <v>0.19146615728485594</v>
      </c>
      <c r="D75">
        <v>0.32653744820764063</v>
      </c>
    </row>
    <row r="76" spans="1:4" x14ac:dyDescent="0.25">
      <c r="A76" s="2">
        <v>41425</v>
      </c>
      <c r="B76">
        <v>0.89531617022112342</v>
      </c>
      <c r="C76">
        <v>0.1890294455423307</v>
      </c>
      <c r="D76">
        <v>0.31572833813639578</v>
      </c>
    </row>
    <row r="77" spans="1:4" x14ac:dyDescent="0.25">
      <c r="A77" s="2">
        <v>41455</v>
      </c>
      <c r="B77">
        <v>0.87355828356426901</v>
      </c>
      <c r="C77">
        <v>0.15473292197817123</v>
      </c>
      <c r="D77">
        <v>0.28759666210553725</v>
      </c>
    </row>
    <row r="78" spans="1:4" x14ac:dyDescent="0.25">
      <c r="A78" s="2">
        <v>41486</v>
      </c>
      <c r="B78">
        <v>0.90281890754383176</v>
      </c>
      <c r="C78">
        <v>0.21048079525017105</v>
      </c>
      <c r="D78">
        <v>0.32122774916788965</v>
      </c>
    </row>
    <row r="79" spans="1:4" x14ac:dyDescent="0.25">
      <c r="A79" s="2">
        <v>41517</v>
      </c>
      <c r="B79">
        <v>0.89829111539822137</v>
      </c>
      <c r="C79">
        <v>0.18574834369632498</v>
      </c>
      <c r="D79">
        <v>0.3052219560539855</v>
      </c>
    </row>
    <row r="80" spans="1:4" x14ac:dyDescent="0.25">
      <c r="A80" s="2">
        <v>41547</v>
      </c>
      <c r="B80">
        <v>0.92527651094080232</v>
      </c>
      <c r="C80">
        <v>0.2475090168260754</v>
      </c>
      <c r="D80">
        <v>0.34451039644204839</v>
      </c>
    </row>
    <row r="81" spans="1:4" x14ac:dyDescent="0.25">
      <c r="A81" s="2">
        <v>41578</v>
      </c>
      <c r="B81">
        <v>0.95397456621659948</v>
      </c>
      <c r="C81">
        <v>0.29797044267792017</v>
      </c>
      <c r="D81">
        <v>0.377743671985874</v>
      </c>
    </row>
    <row r="82" spans="1:4" x14ac:dyDescent="0.25">
      <c r="A82" s="2">
        <v>41608</v>
      </c>
      <c r="B82">
        <v>0.96732846097514247</v>
      </c>
      <c r="C82">
        <v>0.31681244785949358</v>
      </c>
      <c r="D82">
        <v>0.38679994046646593</v>
      </c>
    </row>
    <row r="83" spans="1:4" x14ac:dyDescent="0.25">
      <c r="A83" s="2">
        <v>41639</v>
      </c>
      <c r="B83">
        <v>0.98464608894402939</v>
      </c>
      <c r="C83">
        <v>0.34021087957696938</v>
      </c>
      <c r="D83">
        <v>0.39537428994196255</v>
      </c>
    </row>
    <row r="84" spans="1:4" x14ac:dyDescent="0.25">
      <c r="A84" s="2">
        <v>41670</v>
      </c>
      <c r="B84">
        <v>1.0081832730995344</v>
      </c>
      <c r="C84">
        <v>0.28686562307270647</v>
      </c>
      <c r="D84">
        <v>0.37762571677157664</v>
      </c>
    </row>
    <row r="85" spans="1:4" x14ac:dyDescent="0.25">
      <c r="A85" s="2">
        <v>41698</v>
      </c>
      <c r="B85">
        <v>1.0527646746906147</v>
      </c>
      <c r="C85">
        <v>0.34956304484523937</v>
      </c>
      <c r="D85">
        <v>0.41457063536197802</v>
      </c>
    </row>
    <row r="86" spans="1:4" x14ac:dyDescent="0.25">
      <c r="A86" s="2">
        <v>41729</v>
      </c>
      <c r="B86">
        <v>1.0207463883273591</v>
      </c>
      <c r="C86">
        <v>0.35639067144225467</v>
      </c>
      <c r="D86">
        <v>0.41884427484152464</v>
      </c>
    </row>
    <row r="87" spans="1:4" x14ac:dyDescent="0.25">
      <c r="A87" s="2">
        <v>41759</v>
      </c>
      <c r="B87">
        <v>1.0208834548995545</v>
      </c>
      <c r="C87">
        <v>0.3697943123539793</v>
      </c>
      <c r="D87">
        <v>0.43076373729557815</v>
      </c>
    </row>
    <row r="88" spans="1:4" x14ac:dyDescent="0.25">
      <c r="A88" s="2">
        <v>41790</v>
      </c>
      <c r="B88">
        <v>1.0386356102586149</v>
      </c>
      <c r="C88">
        <v>0.39981493765581666</v>
      </c>
      <c r="D88">
        <v>0.45334291293615658</v>
      </c>
    </row>
    <row r="89" spans="1:4" x14ac:dyDescent="0.25">
      <c r="A89" s="2">
        <v>41820</v>
      </c>
      <c r="B89">
        <v>1.0449969026887898</v>
      </c>
      <c r="C89">
        <v>0.42670141476881018</v>
      </c>
      <c r="D89">
        <v>0.46976948684820963</v>
      </c>
    </row>
    <row r="90" spans="1:4" x14ac:dyDescent="0.25">
      <c r="A90" s="2">
        <v>41851</v>
      </c>
      <c r="B90">
        <v>1.0396656419091537</v>
      </c>
      <c r="C90">
        <v>0.40984037078068281</v>
      </c>
      <c r="D90">
        <v>0.46266642087182586</v>
      </c>
    </row>
    <row r="91" spans="1:4" x14ac:dyDescent="0.25">
      <c r="A91" s="2">
        <v>41882</v>
      </c>
      <c r="B91">
        <v>1.0623545405249151</v>
      </c>
      <c r="C91">
        <v>0.44156596061295694</v>
      </c>
      <c r="D91">
        <v>0.48803536965283367</v>
      </c>
    </row>
    <row r="92" spans="1:4" x14ac:dyDescent="0.25">
      <c r="A92" s="2">
        <v>41912</v>
      </c>
      <c r="B92">
        <v>1.0680952297314712</v>
      </c>
      <c r="C92">
        <v>0.39539596997396953</v>
      </c>
      <c r="D92">
        <v>0.46201367147822281</v>
      </c>
    </row>
    <row r="93" spans="1:4" x14ac:dyDescent="0.25">
      <c r="A93" s="2">
        <v>41943</v>
      </c>
      <c r="B93">
        <v>1.093790229759191</v>
      </c>
      <c r="C93">
        <v>0.40558605161632899</v>
      </c>
      <c r="D93">
        <v>0.47267947722730352</v>
      </c>
    </row>
    <row r="94" spans="1:4" x14ac:dyDescent="0.25">
      <c r="A94" s="2">
        <v>41973</v>
      </c>
      <c r="B94">
        <v>1.1214820602122546</v>
      </c>
      <c r="C94">
        <v>0.42971277789021833</v>
      </c>
      <c r="D94">
        <v>0.49223308996343373</v>
      </c>
    </row>
    <row r="95" spans="1:4" x14ac:dyDescent="0.25">
      <c r="A95" s="2">
        <v>42004</v>
      </c>
      <c r="B95">
        <v>1.1307134185676224</v>
      </c>
      <c r="C95">
        <v>0.40285500097752225</v>
      </c>
      <c r="D95">
        <v>0.48207962461756759</v>
      </c>
    </row>
    <row r="96" spans="1:4" x14ac:dyDescent="0.25">
      <c r="A96" s="2">
        <v>42035</v>
      </c>
      <c r="B96">
        <v>1.1585607405919967</v>
      </c>
      <c r="C96">
        <v>0.38127590300971281</v>
      </c>
      <c r="D96">
        <v>0.48450100881194169</v>
      </c>
    </row>
    <row r="97" spans="1:4" x14ac:dyDescent="0.25">
      <c r="A97" s="2">
        <v>42063</v>
      </c>
      <c r="B97">
        <v>1.1756027999383858</v>
      </c>
      <c r="C97">
        <v>0.4587215592883449</v>
      </c>
      <c r="D97">
        <v>0.52173214395423839</v>
      </c>
    </row>
    <row r="98" spans="1:4" x14ac:dyDescent="0.25">
      <c r="A98" s="2">
        <v>42094</v>
      </c>
      <c r="B98">
        <v>1.1837699722579642</v>
      </c>
      <c r="C98">
        <v>0.43710102945243623</v>
      </c>
      <c r="D98">
        <v>0.51481472278628693</v>
      </c>
    </row>
    <row r="99" spans="1:4" x14ac:dyDescent="0.25">
      <c r="A99" s="2">
        <v>42124</v>
      </c>
      <c r="B99">
        <v>1.2103504365805793</v>
      </c>
      <c r="C99">
        <v>0.47924587094748738</v>
      </c>
      <c r="D99">
        <v>0.53279195225096498</v>
      </c>
    </row>
    <row r="100" spans="1:4" x14ac:dyDescent="0.25">
      <c r="A100" s="2">
        <v>42155</v>
      </c>
      <c r="B100">
        <v>1.2402786550363616</v>
      </c>
      <c r="C100">
        <v>0.47816281602048227</v>
      </c>
      <c r="D100">
        <v>0.52905396186050213</v>
      </c>
    </row>
    <row r="101" spans="1:4" x14ac:dyDescent="0.25">
      <c r="A101" s="2">
        <v>42185</v>
      </c>
      <c r="B101">
        <v>1.2206553945188303</v>
      </c>
      <c r="C101">
        <v>0.44402036721581384</v>
      </c>
      <c r="D101">
        <v>0.50194468245789636</v>
      </c>
    </row>
    <row r="102" spans="1:4" x14ac:dyDescent="0.25">
      <c r="A102" s="2">
        <v>42216</v>
      </c>
      <c r="B102">
        <v>1.2368061619120918</v>
      </c>
      <c r="C102">
        <v>0.45704097913861008</v>
      </c>
      <c r="D102">
        <v>0.51615399855935817</v>
      </c>
    </row>
    <row r="103" spans="1:4" x14ac:dyDescent="0.25">
      <c r="A103" s="2">
        <v>42247</v>
      </c>
      <c r="B103">
        <v>1.2136838466562168</v>
      </c>
      <c r="C103">
        <v>0.35773267554487109</v>
      </c>
      <c r="D103">
        <v>0.46243606538132442</v>
      </c>
    </row>
    <row r="104" spans="1:4" x14ac:dyDescent="0.25">
      <c r="A104" s="2">
        <v>42277</v>
      </c>
      <c r="B104">
        <v>1.205517576422523</v>
      </c>
      <c r="C104">
        <v>0.3092170369567826</v>
      </c>
      <c r="D104">
        <v>0.44064438204603351</v>
      </c>
    </row>
    <row r="105" spans="1:4" x14ac:dyDescent="0.25">
      <c r="A105" s="2">
        <v>42308</v>
      </c>
      <c r="B105">
        <v>1.2279093835489565</v>
      </c>
      <c r="C105">
        <v>0.41233836716143357</v>
      </c>
      <c r="D105">
        <v>0.49971720699944222</v>
      </c>
    </row>
    <row r="106" spans="1:4" x14ac:dyDescent="0.25">
      <c r="A106" s="2">
        <v>42338</v>
      </c>
      <c r="B106">
        <v>1.2349906831174029</v>
      </c>
      <c r="C106">
        <v>0.40130864281714684</v>
      </c>
      <c r="D106">
        <v>0.49420642840801965</v>
      </c>
    </row>
    <row r="107" spans="1:4" x14ac:dyDescent="0.25">
      <c r="A107" s="2">
        <v>42369</v>
      </c>
      <c r="B107">
        <v>1.233234404825994</v>
      </c>
      <c r="C107">
        <v>0.37669056048252969</v>
      </c>
      <c r="D107">
        <v>0.47905968088451623</v>
      </c>
    </row>
    <row r="108" spans="1:4" x14ac:dyDescent="0.25">
      <c r="A108" s="2">
        <v>42400</v>
      </c>
      <c r="B108">
        <v>1.2260075869899048</v>
      </c>
      <c r="C108">
        <v>0.29400700975417138</v>
      </c>
      <c r="D108">
        <v>0.44546204186038629</v>
      </c>
    </row>
    <row r="109" spans="1:4" x14ac:dyDescent="0.25">
      <c r="A109" s="2">
        <v>42429</v>
      </c>
      <c r="B109">
        <v>1.2360226085292001</v>
      </c>
      <c r="C109">
        <v>0.2857583995559756</v>
      </c>
      <c r="D109">
        <v>0.4478017401322405</v>
      </c>
    </row>
    <row r="110" spans="1:4" x14ac:dyDescent="0.25">
      <c r="A110" s="2">
        <v>42460</v>
      </c>
      <c r="B110">
        <v>1.2381976909689034</v>
      </c>
      <c r="C110">
        <v>0.38189802840412135</v>
      </c>
      <c r="D110">
        <v>0.50788930714494041</v>
      </c>
    </row>
    <row r="111" spans="1:4" x14ac:dyDescent="0.25">
      <c r="A111" s="2">
        <v>42490</v>
      </c>
      <c r="B111">
        <v>1.2402439665955298</v>
      </c>
      <c r="C111">
        <v>0.40292685937375228</v>
      </c>
      <c r="D111">
        <v>0.52064257999816643</v>
      </c>
    </row>
    <row r="112" spans="1:4" x14ac:dyDescent="0.25">
      <c r="A112" s="2">
        <v>42521</v>
      </c>
      <c r="B112">
        <v>1.2553629308151577</v>
      </c>
      <c r="C112">
        <v>0.40567452591799325</v>
      </c>
      <c r="D112">
        <v>0.52534567754979089</v>
      </c>
    </row>
    <row r="113" spans="1:4" x14ac:dyDescent="0.25">
      <c r="A113" s="2">
        <v>42551</v>
      </c>
      <c r="B113">
        <v>1.2627833254724341</v>
      </c>
      <c r="C113">
        <v>0.39786073454384874</v>
      </c>
      <c r="D113">
        <v>0.53562437915705718</v>
      </c>
    </row>
    <row r="114" spans="1:4" x14ac:dyDescent="0.25">
      <c r="A114" s="2">
        <v>42582</v>
      </c>
      <c r="B114">
        <v>1.285926002290088</v>
      </c>
      <c r="C114">
        <v>0.4587476699968811</v>
      </c>
      <c r="D114">
        <v>0.57365551313497742</v>
      </c>
    </row>
    <row r="115" spans="1:4" x14ac:dyDescent="0.25">
      <c r="A115" s="2">
        <v>42613</v>
      </c>
      <c r="B115">
        <v>1.2720984318709556</v>
      </c>
      <c r="C115">
        <v>0.46433039843213231</v>
      </c>
      <c r="D115">
        <v>0.57626568698124925</v>
      </c>
    </row>
    <row r="116" spans="1:4" x14ac:dyDescent="0.25">
      <c r="A116" s="2">
        <v>42643</v>
      </c>
      <c r="B116">
        <v>1.2724037213863908</v>
      </c>
      <c r="C116">
        <v>0.47391302846669769</v>
      </c>
      <c r="D116">
        <v>0.58132908993959709</v>
      </c>
    </row>
    <row r="117" spans="1:4" x14ac:dyDescent="0.25">
      <c r="A117" s="2">
        <v>42674</v>
      </c>
      <c r="B117">
        <v>1.2730172836646969</v>
      </c>
      <c r="C117">
        <v>0.44928264604623935</v>
      </c>
      <c r="D117">
        <v>0.56045005055759423</v>
      </c>
    </row>
    <row r="118" spans="1:4" x14ac:dyDescent="0.25">
      <c r="A118" s="2">
        <v>42704</v>
      </c>
      <c r="B118">
        <v>1.2693472788009612</v>
      </c>
      <c r="C118">
        <v>0.46108058627818105</v>
      </c>
      <c r="D118">
        <v>0.55391528436041448</v>
      </c>
    </row>
    <row r="119" spans="1:4" x14ac:dyDescent="0.25">
      <c r="A119" s="2">
        <v>42735</v>
      </c>
      <c r="B119">
        <v>1.3088476609247519</v>
      </c>
      <c r="C119">
        <v>0.49325156869251008</v>
      </c>
      <c r="D119">
        <v>0.57315181213289557</v>
      </c>
    </row>
    <row r="120" spans="1:4" x14ac:dyDescent="0.25">
      <c r="A120" s="2">
        <v>42766</v>
      </c>
      <c r="B120">
        <v>1.3181055299249151</v>
      </c>
      <c r="C120">
        <v>0.53440571379985968</v>
      </c>
      <c r="D120">
        <v>0.59196486454187958</v>
      </c>
    </row>
    <row r="121" spans="1:4" x14ac:dyDescent="0.25">
      <c r="A121" s="2">
        <v>42794</v>
      </c>
      <c r="B121">
        <v>1.3223995681867398</v>
      </c>
      <c r="C121">
        <v>0.57807576593927679</v>
      </c>
      <c r="D121">
        <v>0.6214330826955059</v>
      </c>
    </row>
    <row r="122" spans="1:4" x14ac:dyDescent="0.25">
      <c r="A122" s="2">
        <v>42825</v>
      </c>
      <c r="B122">
        <v>1.3391321301184105</v>
      </c>
      <c r="C122">
        <v>0.59850664010421895</v>
      </c>
      <c r="D122">
        <v>0.63155517499829061</v>
      </c>
    </row>
    <row r="123" spans="1:4" x14ac:dyDescent="0.25">
      <c r="A123" s="2">
        <v>42855</v>
      </c>
      <c r="B123">
        <v>1.3699120465298371</v>
      </c>
      <c r="C123">
        <v>0.62407571328627687</v>
      </c>
      <c r="D123">
        <v>0.65013619363560693</v>
      </c>
    </row>
    <row r="124" spans="1:4" x14ac:dyDescent="0.25">
      <c r="A124" s="2">
        <v>42886</v>
      </c>
      <c r="B124">
        <v>1.3766221651240027</v>
      </c>
      <c r="C124">
        <v>0.66097963925788616</v>
      </c>
      <c r="D124">
        <v>0.67369994321609594</v>
      </c>
    </row>
    <row r="125" spans="1:4" x14ac:dyDescent="0.25">
      <c r="A125" s="2">
        <v>42916</v>
      </c>
      <c r="B125">
        <v>1.4013097941132728</v>
      </c>
      <c r="C125">
        <v>0.66923580214037104</v>
      </c>
      <c r="D125">
        <v>0.67551741666192866</v>
      </c>
    </row>
    <row r="126" spans="1:4" x14ac:dyDescent="0.25">
      <c r="A126" s="2">
        <v>42947</v>
      </c>
      <c r="B126">
        <v>1.424258204539631</v>
      </c>
      <c r="C126">
        <v>0.71647719499345941</v>
      </c>
      <c r="D126">
        <v>0.70198110084369847</v>
      </c>
    </row>
    <row r="127" spans="1:4" x14ac:dyDescent="0.25">
      <c r="A127" s="2">
        <v>42978</v>
      </c>
      <c r="B127">
        <v>1.4439318211472298</v>
      </c>
      <c r="C127">
        <v>0.72389997311242626</v>
      </c>
      <c r="D127">
        <v>0.71341637170439132</v>
      </c>
    </row>
    <row r="128" spans="1:4" x14ac:dyDescent="0.25">
      <c r="A128" s="2">
        <v>43008</v>
      </c>
      <c r="B128">
        <v>1.4546693189708582</v>
      </c>
      <c r="C128">
        <v>0.75783914681423803</v>
      </c>
      <c r="D128">
        <v>0.72632797572112406</v>
      </c>
    </row>
    <row r="129" spans="1:4" x14ac:dyDescent="0.25">
      <c r="A129" s="2">
        <v>43039</v>
      </c>
      <c r="B129">
        <v>1.4715268231353189</v>
      </c>
      <c r="C129">
        <v>0.79471135151183425</v>
      </c>
      <c r="D129">
        <v>0.74807409474428432</v>
      </c>
    </row>
    <row r="130" spans="1:4" x14ac:dyDescent="0.25">
      <c r="A130" s="2">
        <v>43069</v>
      </c>
      <c r="B130">
        <v>1.4639415467844685</v>
      </c>
      <c r="C130">
        <v>0.83024608371738551</v>
      </c>
      <c r="D130">
        <v>0.76673383096083692</v>
      </c>
    </row>
    <row r="131" spans="1:4" x14ac:dyDescent="0.25">
      <c r="A131" s="2">
        <v>43100</v>
      </c>
      <c r="B131">
        <v>1.4883679162816552</v>
      </c>
      <c r="C131">
        <v>0.86050602121568698</v>
      </c>
      <c r="D131">
        <v>0.78331344415746917</v>
      </c>
    </row>
    <row r="132" spans="1:4" x14ac:dyDescent="0.25">
      <c r="A132" s="2">
        <v>43131</v>
      </c>
      <c r="B132">
        <v>1.5278341296924745</v>
      </c>
      <c r="C132">
        <v>0.96581072455272232</v>
      </c>
      <c r="D132">
        <v>0.82741585403210904</v>
      </c>
    </row>
    <row r="133" spans="1:4" x14ac:dyDescent="0.25">
      <c r="A133" s="2">
        <v>43159</v>
      </c>
      <c r="B133">
        <v>1.515879417697787</v>
      </c>
      <c r="C133">
        <v>0.88392581624015221</v>
      </c>
      <c r="D133">
        <v>0.78729567533781042</v>
      </c>
    </row>
    <row r="134" spans="1:4" x14ac:dyDescent="0.25">
      <c r="A134" s="2">
        <v>43190</v>
      </c>
      <c r="B134">
        <v>1.522018370278857</v>
      </c>
      <c r="C134">
        <v>0.84483074866089214</v>
      </c>
      <c r="D134">
        <v>0.77615998362853911</v>
      </c>
    </row>
    <row r="135" spans="1:4" x14ac:dyDescent="0.25">
      <c r="A135" s="2">
        <v>43220</v>
      </c>
      <c r="B135">
        <v>1.5410907183998703</v>
      </c>
      <c r="C135">
        <v>0.86330871445974822</v>
      </c>
      <c r="D135">
        <v>0.78175071172796518</v>
      </c>
    </row>
    <row r="136" spans="1:4" x14ac:dyDescent="0.25">
      <c r="A136" s="2">
        <v>43251</v>
      </c>
      <c r="B136">
        <v>1.5580729975447909</v>
      </c>
      <c r="C136">
        <v>0.86677647550317549</v>
      </c>
      <c r="D136">
        <v>0.78673704677744594</v>
      </c>
    </row>
    <row r="137" spans="1:4" x14ac:dyDescent="0.25">
      <c r="A137" s="2">
        <v>43281</v>
      </c>
      <c r="B137">
        <v>1.565059379376351</v>
      </c>
      <c r="C137">
        <v>0.85742085757923259</v>
      </c>
      <c r="D137">
        <v>0.78392494228887277</v>
      </c>
    </row>
    <row r="138" spans="1:4" x14ac:dyDescent="0.25">
      <c r="A138" s="2">
        <v>43312</v>
      </c>
      <c r="B138">
        <v>1.5787508770828698</v>
      </c>
      <c r="C138">
        <v>0.91404138957305081</v>
      </c>
      <c r="D138">
        <v>0.81135944080653832</v>
      </c>
    </row>
    <row r="139" spans="1:4" x14ac:dyDescent="0.25">
      <c r="A139" s="2">
        <v>43343</v>
      </c>
      <c r="B139">
        <v>1.5637657474301299</v>
      </c>
      <c r="C139">
        <v>0.92988907912060914</v>
      </c>
      <c r="D139">
        <v>0.82164158010764754</v>
      </c>
    </row>
    <row r="140" spans="1:4" x14ac:dyDescent="0.25">
      <c r="A140" s="2">
        <v>43373</v>
      </c>
      <c r="B140">
        <v>1.5856443347845275</v>
      </c>
      <c r="C140">
        <v>0.93901423227825687</v>
      </c>
      <c r="D140">
        <v>0.82246403931908052</v>
      </c>
    </row>
    <row r="141" spans="1:4" x14ac:dyDescent="0.25">
      <c r="A141" s="2">
        <v>43404</v>
      </c>
      <c r="B141">
        <v>1.5777597880032666</v>
      </c>
      <c r="C141">
        <v>0.79411188417029166</v>
      </c>
      <c r="D141">
        <v>0.75258719076128489</v>
      </c>
    </row>
    <row r="142" spans="1:4" x14ac:dyDescent="0.25">
      <c r="A142" s="2">
        <v>43434</v>
      </c>
      <c r="B142">
        <v>1.5750491481708648</v>
      </c>
      <c r="C142">
        <v>0.82117272039486489</v>
      </c>
      <c r="D142">
        <v>0.7700918636355194</v>
      </c>
    </row>
    <row r="143" spans="1:4" x14ac:dyDescent="0.25">
      <c r="A143" s="2">
        <v>43465</v>
      </c>
      <c r="B143">
        <v>1.5748747235600451</v>
      </c>
      <c r="C143">
        <v>0.69367995694536977</v>
      </c>
      <c r="D143">
        <v>0.72091757421107694</v>
      </c>
    </row>
    <row r="144" spans="1:4" x14ac:dyDescent="0.25">
      <c r="A144" s="2">
        <v>43496</v>
      </c>
      <c r="B144">
        <v>1.6317729158530918</v>
      </c>
      <c r="C144">
        <v>0.82793819918973388</v>
      </c>
      <c r="D144">
        <v>0.79824006620830246</v>
      </c>
    </row>
    <row r="145" spans="1:4" x14ac:dyDescent="0.25">
      <c r="A145" s="2">
        <v>43524</v>
      </c>
      <c r="B145">
        <v>1.6495617798631543</v>
      </c>
      <c r="C145">
        <v>0.87762601437943233</v>
      </c>
      <c r="D145">
        <v>0.82376086850708408</v>
      </c>
    </row>
    <row r="146" spans="1:4" x14ac:dyDescent="0.25">
      <c r="A146" s="2">
        <v>43555</v>
      </c>
      <c r="B146">
        <v>1.6555245767345874</v>
      </c>
      <c r="C146">
        <v>0.90248664577520676</v>
      </c>
      <c r="D146">
        <v>0.85216674318365415</v>
      </c>
    </row>
    <row r="147" spans="1:4" x14ac:dyDescent="0.25">
      <c r="A147" s="2">
        <v>43585</v>
      </c>
      <c r="B147">
        <v>1.6503548570653068</v>
      </c>
      <c r="C147">
        <v>0.96756596838142661</v>
      </c>
      <c r="D147">
        <v>0.88439751696211499</v>
      </c>
    </row>
    <row r="148" spans="1:4" x14ac:dyDescent="0.25">
      <c r="A148" s="2">
        <v>43616</v>
      </c>
      <c r="B148">
        <v>1.6409228127119277</v>
      </c>
      <c r="C148">
        <v>0.85225331098888213</v>
      </c>
      <c r="D148">
        <v>0.84273578979023389</v>
      </c>
    </row>
    <row r="149" spans="1:4" x14ac:dyDescent="0.25">
      <c r="A149" s="2">
        <v>43646</v>
      </c>
      <c r="B149">
        <v>1.6632502811393639</v>
      </c>
      <c r="C149">
        <v>0.9744005002897913</v>
      </c>
      <c r="D149">
        <v>0.91641509764930507</v>
      </c>
    </row>
    <row r="150" spans="1:4" x14ac:dyDescent="0.25">
      <c r="A150" s="2">
        <v>43677</v>
      </c>
      <c r="B150">
        <v>1.6770135254598619</v>
      </c>
      <c r="C150">
        <v>0.98086344013114957</v>
      </c>
      <c r="D150">
        <v>0.9270914747787129</v>
      </c>
    </row>
    <row r="151" spans="1:4" x14ac:dyDescent="0.25">
      <c r="A151" s="2">
        <v>43708</v>
      </c>
      <c r="B151">
        <v>1.7177319921086203</v>
      </c>
      <c r="C151">
        <v>0.93477156582680521</v>
      </c>
      <c r="D151">
        <v>0.92652279290421125</v>
      </c>
    </row>
    <row r="152" spans="1:4" x14ac:dyDescent="0.25">
      <c r="A152" s="2">
        <v>43738</v>
      </c>
      <c r="B152">
        <v>1.6867110024385981</v>
      </c>
      <c r="C152">
        <v>0.97631801893520787</v>
      </c>
      <c r="D152">
        <v>0.94274388435926149</v>
      </c>
    </row>
    <row r="153" spans="1:4" x14ac:dyDescent="0.25">
      <c r="A153" s="2">
        <v>43769</v>
      </c>
      <c r="B153">
        <v>1.6984565539066003</v>
      </c>
      <c r="C153">
        <v>1.0308706259707687</v>
      </c>
      <c r="D153">
        <v>0.96787993564215125</v>
      </c>
    </row>
    <row r="154" spans="1:4" x14ac:dyDescent="0.25">
      <c r="A154" s="2">
        <v>43799</v>
      </c>
      <c r="B154">
        <v>1.6908542034149017</v>
      </c>
      <c r="C154">
        <v>1.0813290307488987</v>
      </c>
      <c r="D154">
        <v>0.99117242622391255</v>
      </c>
    </row>
    <row r="155" spans="1:4" x14ac:dyDescent="0.25">
      <c r="A155" s="2">
        <v>43830</v>
      </c>
      <c r="B155">
        <v>1.714714593961737</v>
      </c>
      <c r="C155">
        <v>1.1554292794695811</v>
      </c>
      <c r="D155">
        <v>1.0245764295570989</v>
      </c>
    </row>
    <row r="156" spans="1:4" x14ac:dyDescent="0.25">
      <c r="A156" s="2">
        <v>43861</v>
      </c>
      <c r="B156">
        <v>1.7217100338332028</v>
      </c>
      <c r="C156">
        <v>1.1321985173433151</v>
      </c>
      <c r="D156">
        <v>1.0319343111328712</v>
      </c>
    </row>
    <row r="157" spans="1:4" x14ac:dyDescent="0.25">
      <c r="A157" s="2">
        <v>43890</v>
      </c>
      <c r="B157">
        <v>1.7332271237044186</v>
      </c>
      <c r="C157">
        <v>0.96059311445508389</v>
      </c>
      <c r="D157">
        <v>0.96260093777432321</v>
      </c>
    </row>
    <row r="158" spans="1:4" x14ac:dyDescent="0.25">
      <c r="A158" s="2">
        <v>43921</v>
      </c>
      <c r="B158">
        <v>1.7499867993194371</v>
      </c>
      <c r="C158">
        <v>0.69683687282051188</v>
      </c>
      <c r="D158">
        <v>0.81531546475638095</v>
      </c>
    </row>
    <row r="159" spans="1:4" x14ac:dyDescent="0.25">
      <c r="A159" s="2">
        <v>43951</v>
      </c>
      <c r="B159">
        <v>1.8070578589748609</v>
      </c>
      <c r="C159">
        <v>0.87977123749208253</v>
      </c>
      <c r="D159">
        <v>0.92786306808067365</v>
      </c>
    </row>
    <row r="160" spans="1:4" x14ac:dyDescent="0.25">
      <c r="A160" s="2">
        <v>43982</v>
      </c>
      <c r="B160">
        <v>1.8466392027410223</v>
      </c>
      <c r="C160">
        <v>0.9625892100566158</v>
      </c>
      <c r="D160">
        <v>0.97306342648162203</v>
      </c>
    </row>
    <row r="161" spans="1:4" x14ac:dyDescent="0.25">
      <c r="A161" s="2">
        <v>44012</v>
      </c>
      <c r="B161">
        <v>1.8602533872138816</v>
      </c>
      <c r="C161">
        <v>1.0260847008036347</v>
      </c>
      <c r="D161">
        <v>1.009904070667393</v>
      </c>
    </row>
    <row r="162" spans="1:4" x14ac:dyDescent="0.25">
      <c r="A162" s="2">
        <v>44043</v>
      </c>
      <c r="B162">
        <v>1.9014864671315292</v>
      </c>
      <c r="C162">
        <v>1.1340406179707063</v>
      </c>
      <c r="D162">
        <v>1.0744327898314321</v>
      </c>
    </row>
    <row r="163" spans="1:4" x14ac:dyDescent="0.25">
      <c r="A163" s="2">
        <v>44074</v>
      </c>
      <c r="B163">
        <v>1.9177572253837272</v>
      </c>
      <c r="C163">
        <v>1.2654778065885286</v>
      </c>
      <c r="D163">
        <v>1.1307997217206407</v>
      </c>
    </row>
    <row r="164" spans="1:4" x14ac:dyDescent="0.25">
      <c r="A164" s="2">
        <v>44104</v>
      </c>
      <c r="B164">
        <v>1.9065139613676969</v>
      </c>
      <c r="C164">
        <v>1.1929212776579519</v>
      </c>
      <c r="D164">
        <v>1.1005701212102701</v>
      </c>
    </row>
  </sheetData>
  <conditionalFormatting sqref="A2:A65">
    <cfRule type="notContainsBlanks" dxfId="3" priority="2" stopIfTrue="1">
      <formula>LEN(TRIM(A2))&gt;0</formula>
    </cfRule>
  </conditionalFormatting>
  <conditionalFormatting sqref="A66:A164">
    <cfRule type="notContainsBlanks" dxfId="2" priority="1" stopIfTrue="1">
      <formula>LEN(TRIM(A66))&gt;0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0D13-A052-4316-9098-CF94E95EC17F}">
  <dimension ref="A1:BG166"/>
  <sheetViews>
    <sheetView workbookViewId="0"/>
  </sheetViews>
  <sheetFormatPr defaultRowHeight="15" x14ac:dyDescent="0.25"/>
  <cols>
    <col min="2" max="13" width="13.28515625" style="10" customWidth="1"/>
    <col min="14" max="17" width="12.140625" customWidth="1"/>
  </cols>
  <sheetData>
    <row r="1" spans="1:59" s="6" customFormat="1" x14ac:dyDescent="0.25">
      <c r="B1" s="12" t="str" cm="1">
        <f t="array" ref="B1">_xll.ASGetAssetsVector("Portfolios\"&amp;'PBA Summary'!C2,0,0,250,0,0)</f>
        <v>Alexion Pharmaceuticals Inc</v>
      </c>
      <c r="C1" s="12" t="s">
        <v>316</v>
      </c>
      <c r="D1" s="12" t="s">
        <v>288</v>
      </c>
      <c r="E1" s="12" t="s">
        <v>317</v>
      </c>
      <c r="F1" s="12" t="s">
        <v>289</v>
      </c>
      <c r="G1" s="12" t="s">
        <v>290</v>
      </c>
      <c r="H1" s="12" t="s">
        <v>291</v>
      </c>
      <c r="I1" s="12" t="s">
        <v>292</v>
      </c>
      <c r="J1" s="12" t="s">
        <v>293</v>
      </c>
      <c r="K1" s="12" t="s">
        <v>294</v>
      </c>
      <c r="L1" s="12" t="s">
        <v>272</v>
      </c>
      <c r="M1" s="12" t="s">
        <v>318</v>
      </c>
      <c r="N1" s="6" t="s">
        <v>319</v>
      </c>
      <c r="O1" s="6" t="s">
        <v>295</v>
      </c>
      <c r="P1" s="6" t="s">
        <v>320</v>
      </c>
      <c r="Q1" s="6" t="s">
        <v>296</v>
      </c>
      <c r="R1" s="6" t="s">
        <v>321</v>
      </c>
      <c r="S1" s="6" t="s">
        <v>322</v>
      </c>
      <c r="T1" s="6" t="s">
        <v>323</v>
      </c>
      <c r="U1" s="6" t="s">
        <v>273</v>
      </c>
      <c r="V1" s="6" t="s">
        <v>324</v>
      </c>
      <c r="W1" s="6" t="s">
        <v>274</v>
      </c>
      <c r="X1" s="6" t="s">
        <v>15</v>
      </c>
      <c r="Y1" s="6" t="s">
        <v>16</v>
      </c>
      <c r="Z1" s="6" t="s">
        <v>275</v>
      </c>
      <c r="AA1" s="6" t="s">
        <v>297</v>
      </c>
      <c r="AB1" s="6" t="s">
        <v>325</v>
      </c>
      <c r="AC1" s="6" t="s">
        <v>298</v>
      </c>
      <c r="AD1" s="6" t="s">
        <v>299</v>
      </c>
      <c r="AE1" s="6" t="s">
        <v>300</v>
      </c>
      <c r="AF1" s="6" t="s">
        <v>301</v>
      </c>
      <c r="AG1" s="6" t="s">
        <v>302</v>
      </c>
      <c r="AH1" s="6" t="s">
        <v>276</v>
      </c>
      <c r="AI1" s="6" t="s">
        <v>17</v>
      </c>
      <c r="AJ1" s="6" t="s">
        <v>303</v>
      </c>
      <c r="AK1" s="6" t="s">
        <v>304</v>
      </c>
      <c r="AL1" s="6" t="s">
        <v>305</v>
      </c>
      <c r="AM1" s="6" t="s">
        <v>306</v>
      </c>
      <c r="AN1" s="6" t="s">
        <v>326</v>
      </c>
      <c r="AO1" s="6" t="s">
        <v>327</v>
      </c>
      <c r="AP1" s="6" t="s">
        <v>277</v>
      </c>
      <c r="AQ1" s="6" t="s">
        <v>307</v>
      </c>
      <c r="AR1" s="6" t="s">
        <v>308</v>
      </c>
      <c r="AS1" s="6" t="s">
        <v>309</v>
      </c>
      <c r="AT1" s="6" t="s">
        <v>278</v>
      </c>
      <c r="AU1" s="6" t="s">
        <v>279</v>
      </c>
      <c r="AV1" s="6" t="s">
        <v>280</v>
      </c>
      <c r="AW1" s="6" t="s">
        <v>213</v>
      </c>
      <c r="AX1" s="6" t="s">
        <v>328</v>
      </c>
      <c r="AY1" s="6" t="s">
        <v>310</v>
      </c>
      <c r="AZ1" s="6" t="s">
        <v>329</v>
      </c>
      <c r="BA1" s="6" t="s">
        <v>281</v>
      </c>
      <c r="BB1" s="6" t="s">
        <v>330</v>
      </c>
      <c r="BC1" s="6" t="s">
        <v>311</v>
      </c>
      <c r="BD1" s="6" t="s">
        <v>282</v>
      </c>
      <c r="BE1" s="6" t="s">
        <v>312</v>
      </c>
      <c r="BF1" s="6" t="s">
        <v>313</v>
      </c>
    </row>
    <row r="2" spans="1:59" x14ac:dyDescent="0.25">
      <c r="A2" s="3" cm="1">
        <f t="array" ref="A2">_xll.ASAssetCumulativeRORVector(B$1,1,"M",'PBA Summary'!$F$2,'PBA Summary'!$G$2,1,"FIT")</f>
        <v>43434</v>
      </c>
      <c r="B2">
        <v>9.8866779691264561E-2</v>
      </c>
      <c r="C2" cm="1">
        <f t="array" ref="C2">_xll.ASAssetCumulativeRORVector(C$1,0,"M",'PBA Summary'!$F$2,'PBA Summary'!$G$2,1,"FIT")</f>
        <v>-2.3375331564986834E-2</v>
      </c>
      <c r="D2" cm="1">
        <f t="array" ref="D2">_xll.ASAssetCumulativeRORVector(D$1,0,"M",'PBA Summary'!$F$2,'PBA Summary'!$G$2,1,"FIT")</f>
        <v>-4.1539860775877679E-3</v>
      </c>
      <c r="E2" cm="1">
        <f t="array" ref="E2">_xll.ASAssetCumulativeRORVector(E$1,0,"M",'PBA Summary'!$F$2,'PBA Summary'!$G$2,1,"FIT")</f>
        <v>2.5920901349837155E-2</v>
      </c>
      <c r="F2" cm="1">
        <f t="array" ref="F2">_xll.ASAssetCumulativeRORVector(F$1,0,"M",'PBA Summary'!$F$2,'PBA Summary'!$G$2,1,"FIT")</f>
        <v>4.3915471109317261E-2</v>
      </c>
      <c r="G2" cm="1">
        <f t="array" ref="G2">_xll.ASAssetCumulativeRORVector(G$1,0,"M",'PBA Summary'!$F$2,'PBA Summary'!$G$2,1,"FIT")</f>
        <v>-2.9999999999998916E-3</v>
      </c>
      <c r="H2" cm="1">
        <f t="array" ref="H2">_xll.ASAssetCumulativeRORVector(H$1,0,"M",'PBA Summary'!$F$2,'PBA Summary'!$G$2,1,"FIT")</f>
        <v>4.9116294795858995E-3</v>
      </c>
      <c r="I2" cm="1">
        <f t="array" ref="I2">_xll.ASAssetCumulativeRORVector(I$1,0,"M",'PBA Summary'!$F$2,'PBA Summary'!$G$2,1,"FIT")</f>
        <v>-1.2505862122873523E-3</v>
      </c>
      <c r="J2" cm="1">
        <f t="array" ref="J2">_xll.ASAssetCumulativeRORVector(J$1,0,"M",'PBA Summary'!$F$2,'PBA Summary'!$G$2,1,"FIT")</f>
        <v>-8.8223334099470918E-3</v>
      </c>
      <c r="K2" cm="1">
        <f t="array" ref="K2">_xll.ASAssetCumulativeRORVector(K$1,0,"M",'PBA Summary'!$F$2,'PBA Summary'!$G$2,1,"FIT")</f>
        <v>2.8635062042634551E-3</v>
      </c>
      <c r="L2" cm="1">
        <f t="array" ref="L2">_xll.ASAssetCumulativeRORVector(L$1,0,"M",'PBA Summary'!$F$2,'PBA Summary'!$G$2,1,"FIT")</f>
        <v>-4.5999999999999999E-2</v>
      </c>
      <c r="M2" cm="1">
        <f t="array" ref="M2">_xll.ASAssetCumulativeRORVector(M$1,0,"M",'PBA Summary'!$F$2,'PBA Summary'!$G$2,1,"FIT")</f>
        <v>1.0078951789014079E-2</v>
      </c>
      <c r="N2" cm="1">
        <f t="array" ref="N2">_xll.ASAssetCumulativeRORVector(N$1,0,"M",'PBA Summary'!$F$2,'PBA Summary'!$G$2,1,"FIT")</f>
        <v>2.7056942565490294E-2</v>
      </c>
      <c r="O2" cm="1">
        <f t="array" ref="O2">_xll.ASAssetCumulativeRORVector(O$1,0,"M",'PBA Summary'!$F$2,'PBA Summary'!$G$2,1,"FIT")</f>
        <v>8.9999999999999998E-4</v>
      </c>
      <c r="P2" cm="1">
        <f t="array" ref="P2">_xll.ASAssetCumulativeRORVector(P$1,0,"M",'PBA Summary'!$F$2,'PBA Summary'!$G$2,1,"FIT")</f>
        <v>-2.1673068689766151E-2</v>
      </c>
      <c r="Q2" cm="1">
        <f t="array" ref="Q2">_xll.ASAssetCumulativeRORVector(Q$1,0,"M",'PBA Summary'!$F$2,'PBA Summary'!$G$2,1,"FIT")</f>
        <v>1.2730744748568279E-2</v>
      </c>
      <c r="R2" cm="1">
        <f t="array" ref="R2">_xll.ASAssetCumulativeRORVector(R$1,0,"M",'PBA Summary'!$F$2,'PBA Summary'!$G$2,1,"FIT")</f>
        <v>-8.5584258591442364E-4</v>
      </c>
      <c r="S2" cm="1">
        <f t="array" ref="S2">_xll.ASAssetCumulativeRORVector(S$1,0,"M",'PBA Summary'!$F$2,'PBA Summary'!$G$2,1,"FIT")</f>
        <v>1.9164560352533666E-3</v>
      </c>
      <c r="T2" cm="1">
        <f t="array" ref="T2">_xll.ASAssetCumulativeRORVector(T$1,0,"M",'PBA Summary'!$F$2,'PBA Summary'!$G$2,1,"FIT")</f>
        <v>6.4135561859497425E-3</v>
      </c>
      <c r="U2" cm="1">
        <f t="array" ref="U2">_xll.ASAssetCumulativeRORVector(U$1,0,"M",'PBA Summary'!$F$2,'PBA Summary'!$G$2,1,"FIT")</f>
        <v>-7.4999999999999997E-3</v>
      </c>
      <c r="V2" cm="1">
        <f t="array" ref="V2">_xll.ASAssetCumulativeRORVector(V$1,0,"M",'PBA Summary'!$F$2,'PBA Summary'!$G$2,1,"FIT")</f>
        <v>-4.976397923956688E-2</v>
      </c>
      <c r="W2" cm="1">
        <f t="array" ref="W2">_xll.ASAssetCumulativeRORVector(W$1,0,"M",'PBA Summary'!$F$2,'PBA Summary'!$G$2,1,"FIT")</f>
        <v>2.4017931076341092E-3</v>
      </c>
      <c r="X2" cm="1">
        <f t="array" ref="X2">_xll.ASAssetCumulativeRORVector(X$1,0,"M",'PBA Summary'!$F$2,'PBA Summary'!$G$2,1,"FIT")</f>
        <v>3.1287243926014341E-2</v>
      </c>
      <c r="Y2" cm="1">
        <f t="array" ref="Y2">_xll.ASAssetCumulativeRORVector(Y$1,0,"M",'PBA Summary'!$F$2,'PBA Summary'!$G$2,1,"FIT")</f>
        <v>4.0069356413283685E-3</v>
      </c>
      <c r="Z2" cm="1">
        <f t="array" ref="Z2">_xll.ASAssetCumulativeRORVector(Z$1,0,"M",'PBA Summary'!$F$2,'PBA Summary'!$G$2,1,"FIT")</f>
        <v>2.3598820058997383E-2</v>
      </c>
      <c r="AA2" cm="1">
        <f t="array" ref="AA2">_xll.ASAssetCumulativeRORVector(AA$1,0,"M",'PBA Summary'!$F$2,'PBA Summary'!$G$2,1,"FIT")</f>
        <v>5.9998125058591256E-3</v>
      </c>
      <c r="AB2" cm="1">
        <f t="array" ref="AB2">_xll.ASAssetCumulativeRORVector(AB$1,0,"M",'PBA Summary'!$F$2,'PBA Summary'!$G$2,1,"FIT")</f>
        <v>-6.7390159098092872E-2</v>
      </c>
      <c r="AC2" cm="1">
        <f t="array" ref="AC2">_xll.ASAssetCumulativeRORVector(AC$1,0,"M",'PBA Summary'!$F$2,'PBA Summary'!$G$2,1,"FIT")</f>
        <v>3.5543603534383683E-2</v>
      </c>
      <c r="AD2" cm="1">
        <f t="array" ref="AD2">_xll.ASAssetCumulativeRORVector(AD$1,0,"M",'PBA Summary'!$F$2,'PBA Summary'!$G$2,1,"FIT")</f>
        <v>9.2145015105744577E-3</v>
      </c>
      <c r="AE2" cm="1">
        <f t="array" ref="AE2">_xll.ASAssetCumulativeRORVector(AE$1,0,"M",'PBA Summary'!$F$2,'PBA Summary'!$G$2,1,"FIT")</f>
        <v>-3.6527761651752311E-3</v>
      </c>
      <c r="AF2" cm="1">
        <f t="array" ref="AF2">_xll.ASAssetCumulativeRORVector(AF$1,0,"M",'PBA Summary'!$F$2,'PBA Summary'!$G$2,1,"FIT")</f>
        <v>3.2937689760367483E-2</v>
      </c>
      <c r="AG2" cm="1">
        <f t="array" ref="AG2">_xll.ASAssetCumulativeRORVector(AG$1,0,"M",'PBA Summary'!$F$2,'PBA Summary'!$G$2,1,"FIT")</f>
        <v>-8.5736755927438013E-3</v>
      </c>
      <c r="AH2" cm="1">
        <f t="array" ref="AH2">_xll.ASAssetCumulativeRORVector(AH$1,0,"M",'PBA Summary'!$F$2,'PBA Summary'!$G$2,1,"FIT")</f>
        <v>4.8336978868413594E-2</v>
      </c>
      <c r="AI2" cm="1">
        <f t="array" ref="AI2">_xll.ASAssetCumulativeRORVector(AI$1,0,"M",'PBA Summary'!$F$2,'PBA Summary'!$G$2,1,"FIT")</f>
        <v>4.0871934604904681E-3</v>
      </c>
      <c r="AJ2" cm="1">
        <f t="array" ref="AJ2">_xll.ASAssetCumulativeRORVector(AJ$1,0,"M",'PBA Summary'!$F$2,'PBA Summary'!$G$2,1,"FIT")</f>
        <v>5.5255185933114515E-2</v>
      </c>
      <c r="AK2" cm="1">
        <f t="array" ref="AK2">_xll.ASAssetCumulativeRORVector(AK$1,0,"M",'PBA Summary'!$F$2,'PBA Summary'!$G$2,1,"FIT")</f>
        <v>9.3356404168845053E-3</v>
      </c>
      <c r="AL2" cm="1">
        <f t="array" ref="AL2">_xll.ASAssetCumulativeRORVector(AL$1,0,"M",'PBA Summary'!$F$2,'PBA Summary'!$G$2,1,"FIT")</f>
        <v>-5.9242008881805752E-3</v>
      </c>
      <c r="AM2" cm="1">
        <f t="array" ref="AM2">_xll.ASAssetCumulativeRORVector(AM$1,0,"M",'PBA Summary'!$F$2,'PBA Summary'!$G$2,1,"FIT")</f>
        <v>1.0063624470291188E-4</v>
      </c>
      <c r="AN2" cm="1">
        <f t="array" ref="AN2">_xll.ASAssetCumulativeRORVector(AN$1,0,"M",'PBA Summary'!$F$2,'PBA Summary'!$G$2,1,"FIT")</f>
        <v>8.8732394366197065E-2</v>
      </c>
      <c r="AO2" cm="1">
        <f t="array" ref="AO2">_xll.ASAssetCumulativeRORVector(AO$1,0,"M",'PBA Summary'!$F$2,'PBA Summary'!$G$2,1,"FIT")</f>
        <v>-1.5292287174927699E-2</v>
      </c>
      <c r="AP2" cm="1">
        <f t="array" ref="AP2">_xll.ASAssetCumulativeRORVector(AP$1,0,"M",'PBA Summary'!$F$2,'PBA Summary'!$G$2,1,"FIT")</f>
        <v>4.4498903650200816E-3</v>
      </c>
      <c r="AQ2" cm="1">
        <f t="array" ref="AQ2">_xll.ASAssetCumulativeRORVector(AQ$1,0,"M",'PBA Summary'!$F$2,'PBA Summary'!$G$2,1,"FIT")</f>
        <v>5.2999999999998604E-3</v>
      </c>
      <c r="AR2" cm="1">
        <f t="array" ref="AR2">_xll.ASAssetCumulativeRORVector(AR$1,0,"M",'PBA Summary'!$F$2,'PBA Summary'!$G$2,1,"FIT")</f>
        <v>3.9000000000000003E-3</v>
      </c>
      <c r="AS2" cm="1">
        <f t="array" ref="AS2">_xll.ASAssetCumulativeRORVector(AS$1,0,"M",'PBA Summary'!$F$2,'PBA Summary'!$G$2,1,"FIT")</f>
        <v>-7.0422535211278614E-4</v>
      </c>
      <c r="AT2" cm="1">
        <f t="array" ref="AT2">_xll.ASAssetCumulativeRORVector(AT$1,0,"M",'PBA Summary'!$F$2,'PBA Summary'!$G$2,1,"FIT")</f>
        <v>-1.2157468159011975E-2</v>
      </c>
      <c r="AU2" cm="1">
        <f t="array" ref="AU2">_xll.ASAssetCumulativeRORVector(AU$1,0,"M",'PBA Summary'!$F$2,'PBA Summary'!$G$2,1,"FIT")</f>
        <v>5.2395251125332276E-3</v>
      </c>
      <c r="AV2" cm="1">
        <f t="array" ref="AV2">_xll.ASAssetCumulativeRORVector(AV$1,0,"M",'PBA Summary'!$F$2,'PBA Summary'!$G$2,1,"FIT")</f>
        <v>3.0000000000000027E-2</v>
      </c>
      <c r="AW2" cm="1">
        <f t="array" ref="AW2">_xll.ASAssetCumulativeRORVector(AW$1,0,"M",'PBA Summary'!$F$2,'PBA Summary'!$G$2,1,"FIT")</f>
        <v>7.3700834774761415E-2</v>
      </c>
      <c r="AX2" cm="1">
        <f t="array" ref="AX2">_xll.ASAssetCumulativeRORVector(AX$1,0,"M",'PBA Summary'!$F$2,'PBA Summary'!$G$2,1,"FIT")</f>
        <v>-1.8513548386344114E-3</v>
      </c>
      <c r="AY2" cm="1">
        <f t="array" ref="AY2">_xll.ASAssetCumulativeRORVector(AY$1,0,"M",'PBA Summary'!$F$2,'PBA Summary'!$G$2,1,"FIT")</f>
        <v>2.2633176925200171E-2</v>
      </c>
      <c r="AZ2" cm="1">
        <f t="array" ref="AZ2">_xll.ASAssetCumulativeRORVector(AZ$1,0,"M",'PBA Summary'!$F$2,'PBA Summary'!$G$2,1,"FIT")</f>
        <v>1.9829092110855262E-2</v>
      </c>
      <c r="BA2" cm="1">
        <f t="array" ref="BA2">_xll.ASAssetCumulativeRORVector(BA$1,0,"M",'PBA Summary'!$F$2,'PBA Summary'!$G$2,1,"FIT")</f>
        <v>-7.8949514189418108E-3</v>
      </c>
      <c r="BB2" cm="1">
        <f t="array" ref="BB2">_xll.ASAssetCumulativeRORVector(BB$1,0,"M",'PBA Summary'!$F$2,'PBA Summary'!$G$2,1,"FIT")</f>
        <v>4.8926708063883328E-3</v>
      </c>
      <c r="BC2" cm="1">
        <f t="array" ref="BC2">_xll.ASAssetCumulativeRORVector(BC$1,0,"M",'PBA Summary'!$F$2,'PBA Summary'!$G$2,1,"FIT")</f>
        <v>-8.7150252277047313E-3</v>
      </c>
      <c r="BD2" cm="1">
        <f t="array" ref="BD2">_xll.ASAssetCumulativeRORVector(BD$1,0,"M",'PBA Summary'!$F$2,'PBA Summary'!$G$2,1,"FIT")</f>
        <v>1.6178200177357382E-2</v>
      </c>
      <c r="BE2" cm="1">
        <f t="array" ref="BE2">_xll.ASAssetCumulativeRORVector(BE$1,0,"M",'PBA Summary'!$F$2,'PBA Summary'!$G$2,1,"FIT")</f>
        <v>3.9638736815039044E-2</v>
      </c>
      <c r="BF2" cm="1">
        <f t="array" ref="BF2">_xll.ASAssetCumulativeRORVector(BF$1,0,"M",'PBA Summary'!$F$2,'PBA Summary'!$G$2,1,"FIT")</f>
        <v>3.5201909097211992E-2</v>
      </c>
      <c r="BG2" t="str" cm="1">
        <f t="array" ref="BG2">_xll.ASAssetCumulativeRORVector(BG$1,0,"M",'PBA Summary'!$F$2,'PBA Summary'!$G$2,1,"FIT")</f>
        <v/>
      </c>
    </row>
    <row r="3" spans="1:59" x14ac:dyDescent="0.25">
      <c r="A3" s="3">
        <v>43465</v>
      </c>
      <c r="B3">
        <v>-0.13125724993307719</v>
      </c>
      <c r="C3">
        <v>-1.8899204244032131E-2</v>
      </c>
      <c r="D3">
        <v>-0.14094110376511482</v>
      </c>
      <c r="E3">
        <v>-7.0132737477722529E-2</v>
      </c>
      <c r="F3">
        <v>-9.8549002354072268E-2</v>
      </c>
      <c r="G3">
        <v>-9.9789999999998491E-3</v>
      </c>
      <c r="H3">
        <v>1.4037464586002857E-2</v>
      </c>
      <c r="I3">
        <v>1.0161012974831962E-3</v>
      </c>
      <c r="J3">
        <v>-6.8952104807296077E-4</v>
      </c>
      <c r="K3">
        <v>-7.0314985682468856E-2</v>
      </c>
      <c r="L3">
        <v>-9.5608000000000137E-2</v>
      </c>
      <c r="M3">
        <v>9.4826138081639755E-2</v>
      </c>
      <c r="N3">
        <v>1.8570901488132563E-2</v>
      </c>
      <c r="O3">
        <v>1.6006299999997697E-3</v>
      </c>
      <c r="P3">
        <v>-1.8453844058094027E-2</v>
      </c>
      <c r="Q3">
        <v>-7.6384468491406343E-2</v>
      </c>
      <c r="R3">
        <v>-8.9208256722300594E-2</v>
      </c>
      <c r="S3">
        <v>1.5570448055710617E-3</v>
      </c>
      <c r="T3">
        <v>5.3878097683215387E-3</v>
      </c>
      <c r="U3">
        <v>-6.0112499999999125E-3</v>
      </c>
      <c r="V3">
        <v>-0.15253281980225897</v>
      </c>
      <c r="W3">
        <v>8.8138003390254571E-3</v>
      </c>
      <c r="X3">
        <v>-3.8789988832687361E-2</v>
      </c>
      <c r="Y3">
        <v>1.1649254709970913E-2</v>
      </c>
      <c r="Z3">
        <v>-4.3756145526056445E-2</v>
      </c>
      <c r="AA3">
        <v>1.1530889659698174E-2</v>
      </c>
      <c r="AB3">
        <v>-8.0160151722684425E-2</v>
      </c>
      <c r="AC3">
        <v>-4.533230887437556E-2</v>
      </c>
      <c r="AD3">
        <v>-7.3489425981872691E-2</v>
      </c>
      <c r="AE3">
        <v>8.5947132423265238E-3</v>
      </c>
      <c r="AF3">
        <v>4.0995485605384907E-2</v>
      </c>
      <c r="AG3">
        <v>-8.6342714954294908E-2</v>
      </c>
      <c r="AH3">
        <v>-7.3411375946977997E-2</v>
      </c>
      <c r="AI3">
        <v>5.5229511632781447E-2</v>
      </c>
      <c r="AJ3">
        <v>-2.4971505350571133E-2</v>
      </c>
      <c r="AK3">
        <v>2.2554424369240378E-2</v>
      </c>
      <c r="AL3">
        <v>1.0444591854211538E-2</v>
      </c>
      <c r="AM3">
        <v>6.9765144823010772E-3</v>
      </c>
      <c r="AN3">
        <v>0.15416133162612033</v>
      </c>
      <c r="AO3">
        <v>-4.649922204934398E-2</v>
      </c>
      <c r="AP3">
        <v>7.5823183652410364E-3</v>
      </c>
      <c r="AQ3">
        <v>1.0829149999999732E-2</v>
      </c>
      <c r="AR3">
        <v>6.2089700000000914E-3</v>
      </c>
      <c r="AS3">
        <v>8.4507042253521014E-3</v>
      </c>
      <c r="AT3">
        <v>6.030490158240065E-2</v>
      </c>
      <c r="AU3">
        <v>6.727017411430225E-3</v>
      </c>
      <c r="AV3">
        <v>6.2857000000000163E-2</v>
      </c>
      <c r="AW3">
        <v>4.2942016996315058E-2</v>
      </c>
      <c r="AX3">
        <v>-5.4940842877031493E-3</v>
      </c>
      <c r="AY3">
        <v>-4.5680375379519633E-2</v>
      </c>
      <c r="AZ3">
        <v>-0.12964449270572587</v>
      </c>
      <c r="BA3">
        <v>-3.8092934117545552E-2</v>
      </c>
      <c r="BB3">
        <v>1.9407918689378079E-2</v>
      </c>
      <c r="BC3">
        <v>-8.977131249590653E-3</v>
      </c>
      <c r="BD3">
        <v>4.9878615794889392E-2</v>
      </c>
      <c r="BE3">
        <v>-6.9395397594710695E-2</v>
      </c>
      <c r="BF3">
        <v>-4.8047696184831623E-2</v>
      </c>
      <c r="BG3">
        <v>-4.8047696184831623E-2</v>
      </c>
    </row>
    <row r="4" spans="1:59" x14ac:dyDescent="0.25">
      <c r="A4" s="2">
        <v>43496</v>
      </c>
      <c r="B4">
        <v>9.7171410725440666E-2</v>
      </c>
      <c r="C4">
        <v>2.5862068965516904E-2</v>
      </c>
      <c r="D4">
        <v>-2.1577406979862546E-2</v>
      </c>
      <c r="E4">
        <v>-0.11299089369474913</v>
      </c>
      <c r="F4">
        <v>4.3491375204677274E-2</v>
      </c>
      <c r="G4">
        <v>-2.0588319999997884E-3</v>
      </c>
      <c r="H4">
        <v>3.7071306399205861E-2</v>
      </c>
      <c r="I4">
        <v>1.9149601375644698E-2</v>
      </c>
      <c r="J4">
        <v>1.5487703541308795E-2</v>
      </c>
      <c r="K4">
        <v>4.9952274896595927E-2</v>
      </c>
      <c r="L4">
        <v>1.6266655868308E-2</v>
      </c>
      <c r="M4">
        <v>9.6841928439443059E-2</v>
      </c>
      <c r="N4">
        <v>4.5627844053622635E-2</v>
      </c>
      <c r="O4">
        <v>1.0414715543999753E-2</v>
      </c>
      <c r="P4">
        <v>2.4116116631587747E-2</v>
      </c>
      <c r="Q4">
        <v>2.5461489497136114E-2</v>
      </c>
      <c r="R4">
        <v>3.7504698245649948E-2</v>
      </c>
      <c r="S4">
        <v>1.9429505330600616E-2</v>
      </c>
      <c r="T4">
        <v>1.3057498988965577E-2</v>
      </c>
      <c r="U4">
        <v>4.1274352500000333E-3</v>
      </c>
      <c r="V4">
        <v>-0.11643690848030808</v>
      </c>
      <c r="W4">
        <v>5.7573668717294524E-3</v>
      </c>
      <c r="X4">
        <v>3.0470810146300931E-2</v>
      </c>
      <c r="Y4">
        <v>1.6727134968163249E-2</v>
      </c>
      <c r="Z4">
        <v>1.4872173058013916E-2</v>
      </c>
      <c r="AA4">
        <v>1.7436955095153195E-2</v>
      </c>
      <c r="AB4">
        <v>-2.2884838267831498E-2</v>
      </c>
      <c r="AC4">
        <v>6.6845946984248839E-2</v>
      </c>
      <c r="AD4">
        <v>-1.9637462235645442E-3</v>
      </c>
      <c r="AE4">
        <v>3.3411291169754165E-2</v>
      </c>
      <c r="AF4">
        <v>0.10254607991613529</v>
      </c>
      <c r="AG4">
        <v>-7.0652243982310958E-3</v>
      </c>
      <c r="AH4">
        <v>5.4007115834139308E-2</v>
      </c>
      <c r="AI4">
        <v>8.6774261161181698E-2</v>
      </c>
      <c r="AJ4">
        <v>5.1201941312890353E-2</v>
      </c>
      <c r="AK4">
        <v>3.5008651563317006E-2</v>
      </c>
      <c r="AL4">
        <v>4.5767420822186544E-2</v>
      </c>
      <c r="AM4">
        <v>1.8245910254833575E-2</v>
      </c>
      <c r="AN4">
        <v>0.13380281690140849</v>
      </c>
      <c r="AO4">
        <v>-4.4187597243831811E-2</v>
      </c>
      <c r="AP4">
        <v>9.6552486595051779E-3</v>
      </c>
      <c r="AQ4">
        <v>2.0027695265000034E-2</v>
      </c>
      <c r="AR4">
        <v>1.4057399966000084E-2</v>
      </c>
      <c r="AS4">
        <v>2.9577464788732355E-2</v>
      </c>
      <c r="AT4">
        <v>4.6410652257815821E-2</v>
      </c>
      <c r="AU4">
        <v>9.3356792788992227E-3</v>
      </c>
      <c r="AV4">
        <v>2.7889004700000219E-2</v>
      </c>
      <c r="AW4">
        <v>-4.6251034067834818E-2</v>
      </c>
      <c r="AX4">
        <v>2.6256344786144581E-2</v>
      </c>
      <c r="AY4">
        <v>2.4047750483024766E-2</v>
      </c>
      <c r="AZ4">
        <v>-7.2753883197204217E-2</v>
      </c>
      <c r="BA4">
        <v>-2.9147198404838592E-2</v>
      </c>
      <c r="BB4">
        <v>3.0205281903892489E-2</v>
      </c>
      <c r="BC4">
        <v>1.0746346897319459E-2</v>
      </c>
      <c r="BD4">
        <v>6.5509873902751536E-2</v>
      </c>
      <c r="BE4">
        <v>7.3909951220075376E-2</v>
      </c>
      <c r="BF4">
        <v>5.3495145725866999E-2</v>
      </c>
      <c r="BG4">
        <v>5.3495145725866999E-2</v>
      </c>
    </row>
    <row r="5" spans="1:59" x14ac:dyDescent="0.25">
      <c r="A5" s="2">
        <v>43524</v>
      </c>
      <c r="B5">
        <v>0.20754885339520124</v>
      </c>
      <c r="C5">
        <v>3.937334217506594E-2</v>
      </c>
      <c r="D5">
        <v>5.2605496670981688E-2</v>
      </c>
      <c r="E5">
        <v>-0.11791202262832712</v>
      </c>
      <c r="F5">
        <v>0.12857136377449874</v>
      </c>
      <c r="G5">
        <v>2.9308738400000145E-3</v>
      </c>
      <c r="H5">
        <v>5.0969710391900014E-2</v>
      </c>
      <c r="I5">
        <v>2.3761138033453033E-2</v>
      </c>
      <c r="J5">
        <v>2.928696451618551E-2</v>
      </c>
      <c r="K5">
        <v>0.17244670696786546</v>
      </c>
      <c r="L5">
        <v>6.9265536812149753E-2</v>
      </c>
      <c r="M5">
        <v>0.13917352595330224</v>
      </c>
      <c r="N5">
        <v>0.11142540892879205</v>
      </c>
      <c r="O5">
        <v>1.678032825192699E-2</v>
      </c>
      <c r="P5">
        <v>4.0885125849901005E-2</v>
      </c>
      <c r="Q5">
        <v>7.1928707829409078E-2</v>
      </c>
      <c r="R5">
        <v>0.19116780609705453</v>
      </c>
      <c r="S5">
        <v>2.5889506980887544E-2</v>
      </c>
      <c r="T5">
        <v>2.394386850032304E-2</v>
      </c>
      <c r="U5">
        <v>-8.5245704341498918E-3</v>
      </c>
      <c r="V5">
        <v>-9.4643150701017031E-2</v>
      </c>
      <c r="W5">
        <v>2.5452937427653533E-2</v>
      </c>
      <c r="X5">
        <v>9.0211240510130075E-2</v>
      </c>
      <c r="Y5">
        <v>1.5860179802130503E-2</v>
      </c>
      <c r="Z5">
        <v>4.7382005899704538E-2</v>
      </c>
      <c r="AA5">
        <v>2.2874285178588138E-2</v>
      </c>
      <c r="AB5">
        <v>-4.0459382572957114E-3</v>
      </c>
      <c r="AC5">
        <v>0.12159815597387613</v>
      </c>
      <c r="AD5">
        <v>3.3459214501510681E-2</v>
      </c>
      <c r="AE5">
        <v>3.5668013881286154E-2</v>
      </c>
      <c r="AF5">
        <v>8.3972812185240775E-2</v>
      </c>
      <c r="AG5">
        <v>2.3322976161314291E-2</v>
      </c>
      <c r="AH5">
        <v>8.3315340349032763E-2</v>
      </c>
      <c r="AI5">
        <v>8.1219870048207188E-2</v>
      </c>
      <c r="AJ5">
        <v>0.10380615912603708</v>
      </c>
      <c r="AK5">
        <v>3.5008651563317006E-2</v>
      </c>
      <c r="AL5">
        <v>4.4272294649624344E-2</v>
      </c>
      <c r="AM5">
        <v>2.1596724476598883E-2</v>
      </c>
      <c r="AN5">
        <v>0.20640204865557021</v>
      </c>
      <c r="AO5">
        <v>-3.7563903089575246E-2</v>
      </c>
      <c r="AP5">
        <v>1.1857161283189921E-2</v>
      </c>
      <c r="AQ5">
        <v>2.6556168516999046E-2</v>
      </c>
      <c r="AR5">
        <v>2.2676887865711093E-2</v>
      </c>
      <c r="AS5">
        <v>3.6619718309858884E-2</v>
      </c>
      <c r="AT5">
        <v>2.8753377074488773E-2</v>
      </c>
      <c r="AU5">
        <v>1.8404942026652549E-2</v>
      </c>
      <c r="AV5">
        <v>1.4629236539370316E-2</v>
      </c>
      <c r="AW5">
        <v>-5.377152741219815E-2</v>
      </c>
      <c r="AX5">
        <v>4.0574337356740875E-2</v>
      </c>
      <c r="AY5">
        <v>7.4247860888765782E-2</v>
      </c>
      <c r="AZ5">
        <v>-7.6719701619375136E-2</v>
      </c>
      <c r="BA5">
        <v>-2.5263787198457899E-2</v>
      </c>
      <c r="BB5">
        <v>3.1443343728716933E-2</v>
      </c>
      <c r="BC5">
        <v>2.2016905838410761E-2</v>
      </c>
      <c r="BD5">
        <v>6.4455453205135127E-2</v>
      </c>
      <c r="BE5">
        <v>9.3577680732547686E-2</v>
      </c>
      <c r="BF5">
        <v>0.12700788654775885</v>
      </c>
      <c r="BG5">
        <v>0.12700788654775885</v>
      </c>
    </row>
    <row r="6" spans="1:59" x14ac:dyDescent="0.25">
      <c r="A6" s="2">
        <v>43555</v>
      </c>
      <c r="B6">
        <v>0.20621040421165482</v>
      </c>
      <c r="C6">
        <v>4.161140583554368E-2</v>
      </c>
      <c r="D6">
        <v>0.10450554447826055</v>
      </c>
      <c r="E6">
        <v>-0.13656650026452999</v>
      </c>
      <c r="F6">
        <v>0.13269212451637169</v>
      </c>
      <c r="G6">
        <v>3.9338047138399723E-3</v>
      </c>
      <c r="H6">
        <v>7.3202289796900022E-2</v>
      </c>
      <c r="I6">
        <v>4.0253243707987885E-2</v>
      </c>
      <c r="J6">
        <v>4.6701790986721559E-2</v>
      </c>
      <c r="K6">
        <v>0.20458160992682184</v>
      </c>
      <c r="L6">
        <v>8.3387021987997301E-2</v>
      </c>
      <c r="M6">
        <v>3.6284226440450817E-2</v>
      </c>
      <c r="N6">
        <v>2.2752428975526762E-2</v>
      </c>
      <c r="O6">
        <v>2.2067585958837066E-2</v>
      </c>
      <c r="P6">
        <v>4.6442610827851061E-2</v>
      </c>
      <c r="Q6">
        <v>7.256524506683748E-2</v>
      </c>
      <c r="R6">
        <v>0.21916935016913808</v>
      </c>
      <c r="S6">
        <v>4.0520402941136346E-2</v>
      </c>
      <c r="T6">
        <v>4.7914615814230954E-2</v>
      </c>
      <c r="U6">
        <v>-1.0210078664411926E-2</v>
      </c>
      <c r="V6">
        <v>-0.11016650618820589</v>
      </c>
      <c r="W6">
        <v>4.5894191042265442E-2</v>
      </c>
      <c r="X6">
        <v>0.13347753868676104</v>
      </c>
      <c r="Y6">
        <v>1.2938759452725712E-2</v>
      </c>
      <c r="Z6">
        <v>7.4668141592920012E-2</v>
      </c>
      <c r="AA6">
        <v>2.8217868191618978E-2</v>
      </c>
      <c r="AB6">
        <v>4.1175850806027148E-2</v>
      </c>
      <c r="AC6">
        <v>0.14406454091432885</v>
      </c>
      <c r="AD6">
        <v>4.8942598187311059E-2</v>
      </c>
      <c r="AE6">
        <v>5.2948667621326884E-2</v>
      </c>
      <c r="AF6">
        <v>6.8677250977634552E-2</v>
      </c>
      <c r="AG6">
        <v>6.0376726016270865E-2</v>
      </c>
      <c r="AH6">
        <v>7.4284426837397666E-2</v>
      </c>
      <c r="AI6">
        <v>6.5080695870885386E-2</v>
      </c>
      <c r="AJ6">
        <v>0.12981506053338676</v>
      </c>
      <c r="AK6">
        <v>5.0299786728903673E-2</v>
      </c>
      <c r="AL6">
        <v>7.4752996639750879E-2</v>
      </c>
      <c r="AM6">
        <v>3.1196304040732592E-2</v>
      </c>
      <c r="AN6">
        <v>0.24430217669654342</v>
      </c>
      <c r="AO6">
        <v>-4.2809513225161022E-2</v>
      </c>
      <c r="AP6">
        <v>1.4105139024525037E-2</v>
      </c>
      <c r="AQ6">
        <v>3.1227702188152184E-2</v>
      </c>
      <c r="AR6">
        <v>2.6153989284454671E-2</v>
      </c>
      <c r="AS6">
        <v>4.5070422535211208E-2</v>
      </c>
      <c r="AT6">
        <v>9.2628328830568485E-3</v>
      </c>
      <c r="AU6">
        <v>2.3006177533315908E-2</v>
      </c>
      <c r="AV6">
        <v>-1.1989795506438528E-3</v>
      </c>
      <c r="AW6">
        <v>8.7463337594946289E-2</v>
      </c>
      <c r="AX6">
        <v>5.1015318084024042E-2</v>
      </c>
      <c r="AY6">
        <v>0.11513248688931776</v>
      </c>
      <c r="AZ6">
        <v>-0.13493225060195402</v>
      </c>
      <c r="BA6">
        <v>-3.3354097764710655E-2</v>
      </c>
      <c r="BB6">
        <v>4.9916923890445997E-2</v>
      </c>
      <c r="BC6">
        <v>3.6170631020246535E-2</v>
      </c>
      <c r="BD6">
        <v>9.333642381519458E-2</v>
      </c>
      <c r="BE6">
        <v>7.996149690664911E-2</v>
      </c>
      <c r="BF6">
        <v>0.15972871134961864</v>
      </c>
      <c r="BG6">
        <v>0.15972871134961864</v>
      </c>
    </row>
    <row r="7" spans="1:59" x14ac:dyDescent="0.25">
      <c r="A7" s="2">
        <v>43585</v>
      </c>
      <c r="B7">
        <v>0.21468724904077963</v>
      </c>
      <c r="C7">
        <v>7.3773209549071295E-2</v>
      </c>
      <c r="D7">
        <v>4.2837070463265237E-2</v>
      </c>
      <c r="E7">
        <v>-0.12108785027945612</v>
      </c>
      <c r="F7">
        <v>0.14456907773881977</v>
      </c>
      <c r="G7">
        <v>4.9377385185536138E-3</v>
      </c>
      <c r="H7">
        <v>8.0514103243930268E-2</v>
      </c>
      <c r="I7">
        <v>4.4473972174457144E-2</v>
      </c>
      <c r="J7">
        <v>5.6788246318133284E-2</v>
      </c>
      <c r="K7">
        <v>0.22939866369710482</v>
      </c>
      <c r="L7">
        <v>0.12356857618110539</v>
      </c>
      <c r="M7">
        <v>-6.6521081807491167E-2</v>
      </c>
      <c r="N7">
        <v>-0.11720575574959946</v>
      </c>
      <c r="O7">
        <v>2.3907307613562967E-2</v>
      </c>
      <c r="P7">
        <v>7.3840824648436998E-2</v>
      </c>
      <c r="Q7">
        <v>0.14576702737110181</v>
      </c>
      <c r="R7">
        <v>0.28690027529180107</v>
      </c>
      <c r="S7">
        <v>4.7641838474091758E-2</v>
      </c>
      <c r="T7">
        <v>5.4352704289750697E-2</v>
      </c>
      <c r="U7">
        <v>-1.3575364396952838E-2</v>
      </c>
      <c r="V7">
        <v>-0.14844649021864165</v>
      </c>
      <c r="W7">
        <v>2.6991992577852342E-2</v>
      </c>
      <c r="X7">
        <v>0.15416991206914288</v>
      </c>
      <c r="Y7">
        <v>2.0216811644883537E-2</v>
      </c>
      <c r="Z7">
        <v>0.11375368731563373</v>
      </c>
      <c r="AA7">
        <v>3.2811474641417426E-2</v>
      </c>
      <c r="AB7">
        <v>-3.3610789168685429E-2</v>
      </c>
      <c r="AC7">
        <v>0.21667306953515109</v>
      </c>
      <c r="AD7">
        <v>8.8935045317219963E-2</v>
      </c>
      <c r="AE7">
        <v>5.5018328384945248E-2</v>
      </c>
      <c r="AF7">
        <v>6.6310152677839129E-2</v>
      </c>
      <c r="AG7">
        <v>0.11447468509469805</v>
      </c>
      <c r="AH7">
        <v>2.2586671423074467E-2</v>
      </c>
      <c r="AI7">
        <v>5.5019911968139379E-2</v>
      </c>
      <c r="AJ7">
        <v>9.6925556477582608E-2</v>
      </c>
      <c r="AK7">
        <v>4.985714860568935E-2</v>
      </c>
      <c r="AL7">
        <v>8.0696596316879088E-2</v>
      </c>
      <c r="AM7">
        <v>3.4723231690727108E-2</v>
      </c>
      <c r="AN7">
        <v>0.19769526248399516</v>
      </c>
      <c r="AO7">
        <v>-0.21084685485663435</v>
      </c>
      <c r="AP7">
        <v>1.8131230307162349E-2</v>
      </c>
      <c r="AQ7">
        <v>4.2626560925768553E-2</v>
      </c>
      <c r="AR7">
        <v>3.5286759789086242E-2</v>
      </c>
      <c r="AS7">
        <v>5.4225352112676095E-2</v>
      </c>
      <c r="AT7">
        <v>-1.0324199150906543E-2</v>
      </c>
      <c r="AU7">
        <v>2.3816527815550659E-2</v>
      </c>
      <c r="AV7">
        <v>-9.0895076121937368E-3</v>
      </c>
      <c r="AW7">
        <v>4.3769271264195053E-2</v>
      </c>
      <c r="AX7">
        <v>5.6458342909577963E-2</v>
      </c>
      <c r="AY7">
        <v>0.15284294783328756</v>
      </c>
      <c r="AZ7">
        <v>-0.18518955667815451</v>
      </c>
      <c r="BA7">
        <v>-2.7167563990404875E-2</v>
      </c>
      <c r="BB7">
        <v>5.0542477065970814E-2</v>
      </c>
      <c r="BC7">
        <v>4.5540921302666071E-2</v>
      </c>
      <c r="BD7">
        <v>9.2620131761809832E-2</v>
      </c>
      <c r="BE7">
        <v>3.617164533970052E-2</v>
      </c>
      <c r="BF7">
        <v>0.26792488202400278</v>
      </c>
      <c r="BG7">
        <v>0.26792488202400278</v>
      </c>
    </row>
    <row r="8" spans="1:59" x14ac:dyDescent="0.25">
      <c r="A8" s="2">
        <v>43616</v>
      </c>
      <c r="B8">
        <v>1.4366021236728477E-2</v>
      </c>
      <c r="C8">
        <v>5.0812334217506638E-2</v>
      </c>
      <c r="D8">
        <v>-1.5167150569604826E-2</v>
      </c>
      <c r="E8">
        <v>-5.1834413617193431E-2</v>
      </c>
      <c r="F8">
        <v>-1.2743288172034073E-2</v>
      </c>
      <c r="G8">
        <v>9.9624272111462631E-3</v>
      </c>
      <c r="H8">
        <v>8.5921039039187574E-2</v>
      </c>
      <c r="I8">
        <v>5.5260278255433004E-2</v>
      </c>
      <c r="J8">
        <v>6.1667933735258362E-2</v>
      </c>
      <c r="K8">
        <v>0.17817371937639304</v>
      </c>
      <c r="L8">
        <v>7.684698029157655E-2</v>
      </c>
      <c r="M8">
        <v>-7.5592138417603705E-2</v>
      </c>
      <c r="N8">
        <v>-0.16283359980322154</v>
      </c>
      <c r="O8">
        <v>2.5545559305744758E-2</v>
      </c>
      <c r="P8">
        <v>5.8471478313458114E-2</v>
      </c>
      <c r="Q8">
        <v>5.6651814131127409E-2</v>
      </c>
      <c r="R8">
        <v>0.29266514968356883</v>
      </c>
      <c r="S8">
        <v>5.3872240653640713E-2</v>
      </c>
      <c r="T8">
        <v>5.9216033982254945E-2</v>
      </c>
      <c r="U8">
        <v>-2.0085766991932985E-2</v>
      </c>
      <c r="V8">
        <v>-0.21413306404264754</v>
      </c>
      <c r="W8">
        <v>5.6749949059440308E-3</v>
      </c>
      <c r="X8">
        <v>0.13106108238473735</v>
      </c>
      <c r="Y8">
        <v>2.0369803733007119E-2</v>
      </c>
      <c r="Z8">
        <v>6.9444444444443532E-2</v>
      </c>
      <c r="AA8">
        <v>3.8155057654448266E-2</v>
      </c>
      <c r="AB8">
        <v>-0.22876409229796646</v>
      </c>
      <c r="AC8">
        <v>7.2424126008450607E-2</v>
      </c>
      <c r="AD8">
        <v>2.8776435045316795E-2</v>
      </c>
      <c r="AE8">
        <v>6.0139034023158455E-2</v>
      </c>
      <c r="AF8">
        <v>6.503602578687806E-2</v>
      </c>
      <c r="AG8">
        <v>3.5880510037002766E-2</v>
      </c>
      <c r="AH8">
        <v>-3.9296677712793437E-2</v>
      </c>
      <c r="AI8">
        <v>6.848878641794065E-2</v>
      </c>
      <c r="AJ8">
        <v>7.6625823947979566E-2</v>
      </c>
      <c r="AK8">
        <v>6.0379863989376004E-2</v>
      </c>
      <c r="AL8">
        <v>9.5036559620048422E-2</v>
      </c>
      <c r="AM8">
        <v>3.8095477705345493E-2</v>
      </c>
      <c r="AN8">
        <v>0.17887323943662015</v>
      </c>
      <c r="AO8">
        <v>-0.25774616581462539</v>
      </c>
      <c r="AP8">
        <v>2.2986493707505051E-2</v>
      </c>
      <c r="AQ8">
        <v>4.8634655797626491E-2</v>
      </c>
      <c r="AR8">
        <v>4.5432570035019326E-2</v>
      </c>
      <c r="AS8">
        <v>5.9154929577464488E-2</v>
      </c>
      <c r="AT8">
        <v>2.219220378232345E-2</v>
      </c>
      <c r="AU8">
        <v>2.9722094255948406E-2</v>
      </c>
      <c r="AV8">
        <v>2.3412356538126344E-2</v>
      </c>
      <c r="AW8">
        <v>0.11446190870121087</v>
      </c>
      <c r="AX8">
        <v>6.2676648678295033E-2</v>
      </c>
      <c r="AY8">
        <v>9.5224951697488125E-2</v>
      </c>
      <c r="AZ8">
        <v>-0.22090552853972867</v>
      </c>
      <c r="BA8">
        <v>-2.7459413721207748E-2</v>
      </c>
      <c r="BB8">
        <v>6.5658941321827591E-2</v>
      </c>
      <c r="BC8">
        <v>4.9538038136425211E-2</v>
      </c>
      <c r="BD8">
        <v>0.11974407220453442</v>
      </c>
      <c r="BE8">
        <v>-2.0898971410299394E-2</v>
      </c>
      <c r="BF8">
        <v>7.1383167878892761E-2</v>
      </c>
      <c r="BG8">
        <v>7.1383167878892761E-2</v>
      </c>
    </row>
    <row r="9" spans="1:59" x14ac:dyDescent="0.25">
      <c r="A9" s="2">
        <v>43646</v>
      </c>
      <c r="B9">
        <v>0.16873382707236617</v>
      </c>
      <c r="C9">
        <v>8.4631962864722077E-2</v>
      </c>
      <c r="D9">
        <v>0.10267196044822424</v>
      </c>
      <c r="E9">
        <v>-4.6506885147067356E-3</v>
      </c>
      <c r="F9">
        <v>0.16298890093391671</v>
      </c>
      <c r="G9">
        <v>1.4002276919990786E-2</v>
      </c>
      <c r="H9">
        <v>0.10497430008270525</v>
      </c>
      <c r="I9">
        <v>7.0579959355948629E-2</v>
      </c>
      <c r="J9">
        <v>8.6968052191438217E-2</v>
      </c>
      <c r="K9">
        <v>0.22494432071269643</v>
      </c>
      <c r="L9">
        <v>0.17006639283447744</v>
      </c>
      <c r="M9">
        <v>-3.4268436082646736E-2</v>
      </c>
      <c r="N9">
        <v>-0.15151887836674338</v>
      </c>
      <c r="O9">
        <v>3.2929487332746143E-2</v>
      </c>
      <c r="P9">
        <v>0.10034984087255072</v>
      </c>
      <c r="Q9">
        <v>0.14449395289624567</v>
      </c>
      <c r="R9">
        <v>0.41446907284566548</v>
      </c>
      <c r="S9">
        <v>6.0951448021412391E-2</v>
      </c>
      <c r="T9">
        <v>7.1758031897508401E-2</v>
      </c>
      <c r="U9">
        <v>-1.5872135789998354E-2</v>
      </c>
      <c r="V9">
        <v>-0.19203400577722418</v>
      </c>
      <c r="W9">
        <v>-4.2790068542150062E-3</v>
      </c>
      <c r="X9">
        <v>0.18390874710259819</v>
      </c>
      <c r="Y9">
        <v>2.9185062143929352E-2</v>
      </c>
      <c r="Z9">
        <v>0.12917895771877919</v>
      </c>
      <c r="AA9">
        <v>4.3592387737883209E-2</v>
      </c>
      <c r="AB9">
        <v>-0.25624275629543725</v>
      </c>
      <c r="AC9">
        <v>0.16557817902420191</v>
      </c>
      <c r="AD9">
        <v>9.2296072507551896E-2</v>
      </c>
      <c r="AE9">
        <v>9.260856504134618E-2</v>
      </c>
      <c r="AF9">
        <v>0.12585354424662198</v>
      </c>
      <c r="AG9">
        <v>0.10457305674097306</v>
      </c>
      <c r="AH9">
        <v>4.9125540962985825E-2</v>
      </c>
      <c r="AI9">
        <v>0.16002934395304891</v>
      </c>
      <c r="AJ9">
        <v>0.17592775739546163</v>
      </c>
      <c r="AK9">
        <v>7.1043418775903033E-2</v>
      </c>
      <c r="AL9">
        <v>0.13301702267387161</v>
      </c>
      <c r="AM9">
        <v>4.8973510304034074E-2</v>
      </c>
      <c r="AN9">
        <v>0.17298335467349668</v>
      </c>
      <c r="AO9">
        <v>-0.27592798399644392</v>
      </c>
      <c r="AP9">
        <v>2.6984945919551917E-2</v>
      </c>
      <c r="AQ9">
        <v>5.4454781292627263E-2</v>
      </c>
      <c r="AR9">
        <v>6.3936726524639109E-2</v>
      </c>
      <c r="AS9">
        <v>7.3943661971830998E-2</v>
      </c>
      <c r="AT9">
        <v>5.113855654187649E-3</v>
      </c>
      <c r="AU9">
        <v>5.0225066465374058E-2</v>
      </c>
      <c r="AV9">
        <v>1.9932754525896712E-2</v>
      </c>
      <c r="AW9">
        <v>8.7688952395277076E-2</v>
      </c>
      <c r="AX9">
        <v>7.1278162135703704E-2</v>
      </c>
      <c r="AY9">
        <v>0.16026083356334531</v>
      </c>
      <c r="AZ9">
        <v>-0.27248477408998584</v>
      </c>
      <c r="BA9">
        <v>-2.6778635310812704E-2</v>
      </c>
      <c r="BB9">
        <v>8.0601738153915026E-2</v>
      </c>
      <c r="BC9">
        <v>6.0939650088459807E-2</v>
      </c>
      <c r="BD9">
        <v>0.13495435009081658</v>
      </c>
      <c r="BE9">
        <v>8.3995585989554922E-2</v>
      </c>
      <c r="BF9">
        <v>0.2017196716493399</v>
      </c>
      <c r="BG9">
        <v>0.2017196716493399</v>
      </c>
    </row>
    <row r="10" spans="1:59" x14ac:dyDescent="0.25">
      <c r="A10" s="2">
        <v>43677</v>
      </c>
      <c r="B10">
        <v>1.0886053359508097E-2</v>
      </c>
      <c r="C10">
        <v>9.5324933687002789E-2</v>
      </c>
      <c r="D10">
        <v>7.702801972924922E-2</v>
      </c>
      <c r="E10">
        <v>2.5808587296096919E-2</v>
      </c>
      <c r="F10">
        <v>0.17462545754731873</v>
      </c>
      <c r="G10">
        <v>2.3128297412270626E-2</v>
      </c>
      <c r="H10">
        <v>0.10578884423139612</v>
      </c>
      <c r="I10">
        <v>7.7927153353135381E-2</v>
      </c>
      <c r="J10">
        <v>9.5542865225153983E-2</v>
      </c>
      <c r="K10">
        <v>0.25326121539930102</v>
      </c>
      <c r="L10">
        <v>0.18419139467496204</v>
      </c>
      <c r="M10">
        <v>-5.8289937846463302E-2</v>
      </c>
      <c r="N10">
        <v>-0.19099741729184505</v>
      </c>
      <c r="O10">
        <v>3.8920478359276034E-2</v>
      </c>
      <c r="P10">
        <v>0.10917445338299125</v>
      </c>
      <c r="Q10">
        <v>0.10439210693825673</v>
      </c>
      <c r="R10">
        <v>0.4842799240154021</v>
      </c>
      <c r="S10">
        <v>6.5989380061571401E-2</v>
      </c>
      <c r="T10">
        <v>7.8606879187438361E-2</v>
      </c>
      <c r="U10">
        <v>-7.9991128763183816E-3</v>
      </c>
      <c r="V10">
        <v>-0.19236279091613662</v>
      </c>
      <c r="W10">
        <v>-1.2052319204373885E-2</v>
      </c>
      <c r="X10">
        <v>0.19372002890363249</v>
      </c>
      <c r="Y10">
        <v>2.9228774169107519E-2</v>
      </c>
      <c r="Z10">
        <v>0.13606194690265361</v>
      </c>
      <c r="AA10">
        <v>4.8935970750914048E-2</v>
      </c>
      <c r="AB10">
        <v>-0.15627436518807247</v>
      </c>
      <c r="AC10">
        <v>0.18094506338839755</v>
      </c>
      <c r="AD10">
        <v>0.12356495468277773</v>
      </c>
      <c r="AE10">
        <v>9.4133626734929532E-2</v>
      </c>
      <c r="AF10">
        <v>0.1347833018122786</v>
      </c>
      <c r="AG10">
        <v>0.15035519513170037</v>
      </c>
      <c r="AH10">
        <v>1.6043483566930528E-2</v>
      </c>
      <c r="AI10">
        <v>0.17291972332844208</v>
      </c>
      <c r="AJ10">
        <v>0.20328401707305344</v>
      </c>
      <c r="AK10">
        <v>7.3135889903825246E-2</v>
      </c>
      <c r="AL10">
        <v>0.13711111342424487</v>
      </c>
      <c r="AM10">
        <v>5.1751257021242392E-2</v>
      </c>
      <c r="AN10">
        <v>0.22138284250960449</v>
      </c>
      <c r="AO10">
        <v>-0.21053567459435374</v>
      </c>
      <c r="AP10">
        <v>2.9407971107958231E-2</v>
      </c>
      <c r="AQ10">
        <v>6.5920913280908433E-2</v>
      </c>
      <c r="AR10">
        <v>7.5959211534367688E-2</v>
      </c>
      <c r="AS10">
        <v>7.6760563380281255E-2</v>
      </c>
      <c r="AT10">
        <v>3.0007719027402846E-2</v>
      </c>
      <c r="AU10">
        <v>5.2916983498825898E-2</v>
      </c>
      <c r="AV10">
        <v>1.0141400082448015E-2</v>
      </c>
      <c r="AW10">
        <v>-2.3463939234413922E-2</v>
      </c>
      <c r="AX10">
        <v>7.5183714460830942E-2</v>
      </c>
      <c r="AY10">
        <v>0.17727021805133836</v>
      </c>
      <c r="AZ10">
        <v>-0.20855955809451843</v>
      </c>
      <c r="BA10">
        <v>-1.8603575847423559E-2</v>
      </c>
      <c r="BB10">
        <v>8.910462761382032E-2</v>
      </c>
      <c r="BC10">
        <v>7.0113360854464846E-2</v>
      </c>
      <c r="BD10">
        <v>0.142979333038594</v>
      </c>
      <c r="BE10">
        <v>6.0293767394176134E-2</v>
      </c>
      <c r="BF10">
        <v>0.27708663485488905</v>
      </c>
      <c r="BG10">
        <v>0.27708663485488905</v>
      </c>
    </row>
    <row r="11" spans="1:59" x14ac:dyDescent="0.25">
      <c r="A11" s="2">
        <v>43708</v>
      </c>
      <c r="B11">
        <v>-0.10091906843936738</v>
      </c>
      <c r="C11">
        <v>0.10477453580901819</v>
      </c>
      <c r="D11">
        <v>5.0165576427515512E-2</v>
      </c>
      <c r="E11">
        <v>3.7832102312190585E-2</v>
      </c>
      <c r="F11">
        <v>7.4275748517931284E-2</v>
      </c>
      <c r="G11">
        <v>2.8243938899331855E-2</v>
      </c>
      <c r="H11">
        <v>0.10842256810747664</v>
      </c>
      <c r="I11">
        <v>8.7853681413163631E-2</v>
      </c>
      <c r="J11">
        <v>0.11995014232421464</v>
      </c>
      <c r="K11">
        <v>0.24530703149856903</v>
      </c>
      <c r="L11">
        <v>0.19543260030222576</v>
      </c>
      <c r="M11">
        <v>-0.12548294977322283</v>
      </c>
      <c r="N11">
        <v>-0.24818595498708573</v>
      </c>
      <c r="O11">
        <v>4.2764484129205416E-2</v>
      </c>
      <c r="P11">
        <v>0.11566155402998013</v>
      </c>
      <c r="Q11">
        <v>4.9013367281986797E-2</v>
      </c>
      <c r="R11">
        <v>0.56075466523095319</v>
      </c>
      <c r="S11">
        <v>8.0681971857851087E-2</v>
      </c>
      <c r="T11">
        <v>9.4057824561238457E-2</v>
      </c>
      <c r="U11">
        <v>2.9101720302107337E-2</v>
      </c>
      <c r="V11">
        <v>-0.18740752917968129</v>
      </c>
      <c r="W11">
        <v>9.3340443334586354E-3</v>
      </c>
      <c r="X11">
        <v>0.18850705229868292</v>
      </c>
      <c r="Y11">
        <v>3.7279072139412506E-2</v>
      </c>
      <c r="Z11">
        <v>0.14085545722713722</v>
      </c>
      <c r="AA11">
        <v>5.4373300834348992E-2</v>
      </c>
      <c r="AB11">
        <v>-0.13132441260141114</v>
      </c>
      <c r="AC11">
        <v>0.11429888590088333</v>
      </c>
      <c r="AD11">
        <v>9.093655589123717E-2</v>
      </c>
      <c r="AE11">
        <v>0.11243805300764143</v>
      </c>
      <c r="AF11">
        <v>0.1020774910690343</v>
      </c>
      <c r="AG11">
        <v>0.10599125871872017</v>
      </c>
      <c r="AH11">
        <v>-1.0204369009508607E-2</v>
      </c>
      <c r="AI11">
        <v>0.25539719136449346</v>
      </c>
      <c r="AJ11">
        <v>0.2176460650390073</v>
      </c>
      <c r="AK11">
        <v>8.3155607420223321E-2</v>
      </c>
      <c r="AL11">
        <v>0.17729026360588351</v>
      </c>
      <c r="AM11">
        <v>5.9982929111084493E-2</v>
      </c>
      <c r="AN11">
        <v>0.29385403329065451</v>
      </c>
      <c r="AO11">
        <v>-0.24192042676150172</v>
      </c>
      <c r="AP11">
        <v>3.3378784249415094E-2</v>
      </c>
      <c r="AQ11">
        <v>6.6417548160815132E-2</v>
      </c>
      <c r="AR11">
        <v>7.6389595218981476E-2</v>
      </c>
      <c r="AS11">
        <v>6.7605633802816367E-2</v>
      </c>
      <c r="AT11">
        <v>0.19992280972597531</v>
      </c>
      <c r="AU11">
        <v>5.4471079930509481E-2</v>
      </c>
      <c r="AV11">
        <v>4.5597363225341914E-2</v>
      </c>
      <c r="AW11">
        <v>-0.12047830337670162</v>
      </c>
      <c r="AX11">
        <v>7.9984077351822558E-2</v>
      </c>
      <c r="AY11">
        <v>0.19314104333425242</v>
      </c>
      <c r="AZ11">
        <v>-0.23159907464236795</v>
      </c>
      <c r="BA11">
        <v>-1.7033341568779337E-2</v>
      </c>
      <c r="BB11">
        <v>0.11380375658991904</v>
      </c>
      <c r="BC11">
        <v>5.5500950134328431E-2</v>
      </c>
      <c r="BD11">
        <v>0.16409415674696803</v>
      </c>
      <c r="BE11">
        <v>3.4322310119670574E-2</v>
      </c>
      <c r="BF11">
        <v>0.247964895732945</v>
      </c>
      <c r="BG11">
        <v>0.247964895732945</v>
      </c>
    </row>
    <row r="12" spans="1:59" x14ac:dyDescent="0.25">
      <c r="A12" s="2">
        <v>43738</v>
      </c>
      <c r="B12">
        <v>-0.12608191309003192</v>
      </c>
      <c r="C12">
        <v>0.11969496021220172</v>
      </c>
      <c r="D12">
        <v>-3.6534671937126006E-2</v>
      </c>
      <c r="E12">
        <v>6.4388464755553265E-2</v>
      </c>
      <c r="F12">
        <v>3.9613278964388821E-2</v>
      </c>
      <c r="G12">
        <v>3.1328670716029849E-2</v>
      </c>
      <c r="H12">
        <v>0.11127198344965517</v>
      </c>
      <c r="I12">
        <v>8.6681256839144405E-2</v>
      </c>
      <c r="J12">
        <v>0.11758101872314608</v>
      </c>
      <c r="K12">
        <v>0.16258351893095813</v>
      </c>
      <c r="L12">
        <v>0.20140976330373683</v>
      </c>
      <c r="M12">
        <v>-0.11406013774567381</v>
      </c>
      <c r="N12">
        <v>-0.30229984011806588</v>
      </c>
      <c r="O12">
        <v>4.9333900379219475E-2</v>
      </c>
      <c r="P12">
        <v>0.13220227598657419</v>
      </c>
      <c r="Q12">
        <v>6.1107574793126007E-2</v>
      </c>
      <c r="R12">
        <v>0.50326337603234683</v>
      </c>
      <c r="S12">
        <v>8.572469420341311E-2</v>
      </c>
      <c r="T12">
        <v>9.3131531076650287E-2</v>
      </c>
      <c r="U12">
        <v>1.9325253959237454E-2</v>
      </c>
      <c r="V12">
        <v>-0.17514854042882955</v>
      </c>
      <c r="W12">
        <v>1.982563155453243E-2</v>
      </c>
      <c r="X12">
        <v>0.16422987772261854</v>
      </c>
      <c r="Y12">
        <v>3.7300928152001589E-2</v>
      </c>
      <c r="Z12">
        <v>0.13182153392330265</v>
      </c>
      <c r="AA12">
        <v>5.9810630917783714E-2</v>
      </c>
      <c r="AB12">
        <v>-0.25249183436940237</v>
      </c>
      <c r="AC12">
        <v>0.15904725316941981</v>
      </c>
      <c r="AD12">
        <v>0.1135951661631398</v>
      </c>
      <c r="AE12">
        <v>0.10495926104080033</v>
      </c>
      <c r="AF12">
        <v>0.10805803738565989</v>
      </c>
      <c r="AG12">
        <v>0.11811043925583209</v>
      </c>
      <c r="AH12">
        <v>-4.2526027242941966E-2</v>
      </c>
      <c r="AI12">
        <v>0.20488367218612447</v>
      </c>
      <c r="AJ12">
        <v>0.20869718599920128</v>
      </c>
      <c r="AK12">
        <v>8.3638485372820925E-2</v>
      </c>
      <c r="AL12">
        <v>0.16704864932383257</v>
      </c>
      <c r="AM12">
        <v>5.99708154890366E-2</v>
      </c>
      <c r="AN12">
        <v>0.2833546734955199</v>
      </c>
      <c r="AO12">
        <v>-0.27770615692376033</v>
      </c>
      <c r="AP12">
        <v>3.7340384367341883E-2</v>
      </c>
      <c r="AQ12">
        <v>6.8716710433530004E-2</v>
      </c>
      <c r="AR12">
        <v>7.402153810949974E-2</v>
      </c>
      <c r="AS12">
        <v>7.5352112676056127E-2</v>
      </c>
      <c r="AT12">
        <v>0.12157468159011997</v>
      </c>
      <c r="AU12">
        <v>6.4750317757216624E-2</v>
      </c>
      <c r="AV12">
        <v>2.6253812005673227E-2</v>
      </c>
      <c r="AW12">
        <v>-5.1289764608558386E-2</v>
      </c>
      <c r="AX12">
        <v>8.6698733802416772E-2</v>
      </c>
      <c r="AY12">
        <v>0.20080044162296384</v>
      </c>
      <c r="AZ12">
        <v>-0.33459232330862543</v>
      </c>
      <c r="BA12">
        <v>-1.5853781578661796E-2</v>
      </c>
      <c r="BB12">
        <v>0.10864260217660604</v>
      </c>
      <c r="BC12">
        <v>5.6942533254700667E-2</v>
      </c>
      <c r="BD12">
        <v>0.16442383178796072</v>
      </c>
      <c r="BE12">
        <v>-8.3755765780544333E-3</v>
      </c>
      <c r="BF12">
        <v>0.29933632703835045</v>
      </c>
      <c r="BG12">
        <v>0.29933632703835045</v>
      </c>
    </row>
    <row r="13" spans="1:59" x14ac:dyDescent="0.25">
      <c r="A13" s="2">
        <v>43769</v>
      </c>
      <c r="B13">
        <v>-5.9516373695011393E-2</v>
      </c>
      <c r="C13">
        <v>0.13958885941644472</v>
      </c>
      <c r="D13">
        <v>6.5122841384780861E-2</v>
      </c>
      <c r="E13">
        <v>4.9737392008558645E-2</v>
      </c>
      <c r="F13">
        <v>7.2094035896202779E-2</v>
      </c>
      <c r="G13">
        <v>3.235999938674583E-2</v>
      </c>
      <c r="H13">
        <v>0.11972183158951788</v>
      </c>
      <c r="I13">
        <v>8.6055963733001395E-2</v>
      </c>
      <c r="J13">
        <v>0.11869486041618504</v>
      </c>
      <c r="K13">
        <v>0.21571746738784703</v>
      </c>
      <c r="L13">
        <v>0.2338478269129376</v>
      </c>
      <c r="M13">
        <v>-0.11305224256677171</v>
      </c>
      <c r="N13">
        <v>-0.30672733981060019</v>
      </c>
      <c r="O13">
        <v>5.1747368350091749E-2</v>
      </c>
      <c r="P13">
        <v>0.15163513558017838</v>
      </c>
      <c r="Q13">
        <v>8.1476766390834454E-2</v>
      </c>
      <c r="R13">
        <v>0.67662610091324038</v>
      </c>
      <c r="S13">
        <v>8.4043817843098889E-2</v>
      </c>
      <c r="T13">
        <v>9.4271311703869154E-2</v>
      </c>
      <c r="U13">
        <v>3.0843629328976885E-2</v>
      </c>
      <c r="V13">
        <v>-0.11859749653601337</v>
      </c>
      <c r="W13">
        <v>2.4720794585993966E-2</v>
      </c>
      <c r="X13">
        <v>0.19782096639483449</v>
      </c>
      <c r="Y13">
        <v>3.9930935000219048E-2</v>
      </c>
      <c r="Z13">
        <v>0.16709685349065784</v>
      </c>
      <c r="AA13">
        <v>6.5622949282834853E-2</v>
      </c>
      <c r="AB13">
        <v>-0.30801812243177684</v>
      </c>
      <c r="AC13">
        <v>0.21129466000768282</v>
      </c>
      <c r="AD13">
        <v>0.13319486404833625</v>
      </c>
      <c r="AE13">
        <v>0.11699849428954057</v>
      </c>
      <c r="AF13">
        <v>0.14020226613430964</v>
      </c>
      <c r="AG13">
        <v>0.16601988061318118</v>
      </c>
      <c r="AH13">
        <v>3.2922467448344817E-2</v>
      </c>
      <c r="AI13">
        <v>0.24051561517501607</v>
      </c>
      <c r="AJ13">
        <v>0.2178392096615116</v>
      </c>
      <c r="AK13">
        <v>8.6777192064704911E-2</v>
      </c>
      <c r="AL13">
        <v>0.17434732538014397</v>
      </c>
      <c r="AM13">
        <v>6.328435702757873E-2</v>
      </c>
      <c r="AN13">
        <v>0.13533930857874643</v>
      </c>
      <c r="AO13">
        <v>-0.24423205156701433</v>
      </c>
      <c r="AP13">
        <v>4.0113504449890591E-2</v>
      </c>
      <c r="AQ13">
        <v>7.8767136220324607E-2</v>
      </c>
      <c r="AR13">
        <v>7.9928656569101975E-2</v>
      </c>
      <c r="AS13">
        <v>8.169014084506987E-2</v>
      </c>
      <c r="AT13">
        <v>0.12292551138556562</v>
      </c>
      <c r="AU13">
        <v>6.9684573927812021E-2</v>
      </c>
      <c r="AV13">
        <v>2.5330183574868048E-2</v>
      </c>
      <c r="AW13">
        <v>-2.4366398435737624E-2</v>
      </c>
      <c r="AX13">
        <v>9.5631490604171088E-2</v>
      </c>
      <c r="AY13">
        <v>0.21570521667126696</v>
      </c>
      <c r="AZ13">
        <v>-0.23702846891081575</v>
      </c>
      <c r="BA13">
        <v>-1.8018903259188757E-2</v>
      </c>
      <c r="BB13">
        <v>0.10672875601557097</v>
      </c>
      <c r="BC13">
        <v>6.6378350042591405E-2</v>
      </c>
      <c r="BD13">
        <v>0.17197434788716914</v>
      </c>
      <c r="BE13">
        <v>6.2479345381482254E-2</v>
      </c>
      <c r="BF13">
        <v>0.39051837183847282</v>
      </c>
      <c r="BG13">
        <v>0.39051837183847282</v>
      </c>
    </row>
    <row r="14" spans="1:59" x14ac:dyDescent="0.25">
      <c r="A14" s="2">
        <v>43799</v>
      </c>
      <c r="B14">
        <v>1.6685999821540287E-2</v>
      </c>
      <c r="C14">
        <v>0.14713196286471986</v>
      </c>
      <c r="D14">
        <v>0.20738447546087668</v>
      </c>
      <c r="E14">
        <v>0.11574849927734721</v>
      </c>
      <c r="F14">
        <v>0.22237593493869889</v>
      </c>
      <c r="G14">
        <v>3.5457079384906054E-2</v>
      </c>
      <c r="H14">
        <v>0.12367065786347409</v>
      </c>
      <c r="I14">
        <v>8.9651399093325868E-2</v>
      </c>
      <c r="J14">
        <v>0.1264121921465291</v>
      </c>
      <c r="K14">
        <v>0.26471524021635373</v>
      </c>
      <c r="L14">
        <v>0.25852478345119634</v>
      </c>
      <c r="M14">
        <v>-0.16479086175037649</v>
      </c>
      <c r="N14">
        <v>-0.32874185217070384</v>
      </c>
      <c r="O14">
        <v>5.5744008349822183E-2</v>
      </c>
      <c r="P14">
        <v>0.16892508884491098</v>
      </c>
      <c r="Q14">
        <v>0.15722469764481284</v>
      </c>
      <c r="R14">
        <v>0.66353704249246048</v>
      </c>
      <c r="S14">
        <v>8.4822499952918573E-2</v>
      </c>
      <c r="T14">
        <v>9.3002863742233988E-2</v>
      </c>
      <c r="U14">
        <v>1.9710518132223909E-2</v>
      </c>
      <c r="V14">
        <v>-0.12162701674455723</v>
      </c>
      <c r="W14">
        <v>4.7059707907968651E-2</v>
      </c>
      <c r="X14">
        <v>0.21733091844108077</v>
      </c>
      <c r="Y14">
        <v>5.3080969241305453E-2</v>
      </c>
      <c r="Z14">
        <v>0.19634955752212258</v>
      </c>
      <c r="AA14">
        <v>7.1060279366269796E-2</v>
      </c>
      <c r="AB14">
        <v>-0.27425982509745972</v>
      </c>
      <c r="AC14">
        <v>0.2604686899731079</v>
      </c>
      <c r="AD14">
        <v>0.17870090634440894</v>
      </c>
      <c r="AE14">
        <v>0.11523108140235427</v>
      </c>
      <c r="AF14">
        <v>0.11646727486600428</v>
      </c>
      <c r="AG14">
        <v>0.21849335378982504</v>
      </c>
      <c r="AH14">
        <v>0.15137575922570767</v>
      </c>
      <c r="AI14">
        <v>0.20194927688115727</v>
      </c>
      <c r="AJ14">
        <v>0.27049136457373679</v>
      </c>
      <c r="AK14">
        <v>8.6113234879883205E-2</v>
      </c>
      <c r="AL14">
        <v>0.18308577008933691</v>
      </c>
      <c r="AM14">
        <v>6.4527401013072083E-2</v>
      </c>
      <c r="AN14">
        <v>7.9513444302177438E-2</v>
      </c>
      <c r="AO14">
        <v>-0.25410091131362478</v>
      </c>
      <c r="AP14">
        <v>4.2960328720679897E-2</v>
      </c>
      <c r="AQ14">
        <v>8.2950938824159159E-2</v>
      </c>
      <c r="AR14">
        <v>7.7984784987277456E-2</v>
      </c>
      <c r="AS14">
        <v>8.5915492957745698E-2</v>
      </c>
      <c r="AT14">
        <v>5.5576997298340425E-2</v>
      </c>
      <c r="AU14">
        <v>7.4824192841165482E-2</v>
      </c>
      <c r="AV14">
        <v>2.4202320372935793E-2</v>
      </c>
      <c r="AW14">
        <v>-3.2488531247649943E-2</v>
      </c>
      <c r="AX14">
        <v>0.10476239299482448</v>
      </c>
      <c r="AY14">
        <v>0.24620480264973854</v>
      </c>
      <c r="AZ14">
        <v>-0.29937207874982252</v>
      </c>
      <c r="BA14">
        <v>-7.6099036337362591E-3</v>
      </c>
      <c r="BB14">
        <v>0.10543053361457555</v>
      </c>
      <c r="BC14">
        <v>6.7885459668435066E-2</v>
      </c>
      <c r="BD14">
        <v>0.17296058521340707</v>
      </c>
      <c r="BE14">
        <v>0.18763005713654568</v>
      </c>
      <c r="BF14">
        <v>0.44963379352027899</v>
      </c>
      <c r="BG14">
        <v>0.44963379352027899</v>
      </c>
    </row>
    <row r="15" spans="1:59" x14ac:dyDescent="0.25">
      <c r="A15" s="2">
        <v>43830</v>
      </c>
      <c r="B15">
        <v>-3.4978138663335212E-2</v>
      </c>
      <c r="C15">
        <v>0.17042440318302199</v>
      </c>
      <c r="D15">
        <v>0.29120462681172432</v>
      </c>
      <c r="E15">
        <v>0.16685730499472373</v>
      </c>
      <c r="F15">
        <v>0.21768593316974294</v>
      </c>
      <c r="G15">
        <v>3.7527993543675864E-2</v>
      </c>
      <c r="H15">
        <v>0.12624863174951595</v>
      </c>
      <c r="I15">
        <v>9.6607784899172877E-2</v>
      </c>
      <c r="J15">
        <v>0.13214052085358929</v>
      </c>
      <c r="K15">
        <v>0.30734966592427693</v>
      </c>
      <c r="L15">
        <v>0.29502200217128083</v>
      </c>
      <c r="M15">
        <v>-0.11825970099109517</v>
      </c>
      <c r="N15">
        <v>-0.29504366006641192</v>
      </c>
      <c r="O15">
        <v>6.0494856387396378E-2</v>
      </c>
      <c r="P15">
        <v>0.18634378115559724</v>
      </c>
      <c r="Q15">
        <v>0.1903246339910889</v>
      </c>
      <c r="R15">
        <v>0.51209861744598606</v>
      </c>
      <c r="S15">
        <v>8.9957183634848059E-2</v>
      </c>
      <c r="T15">
        <v>0.10568955235314959</v>
      </c>
      <c r="U15">
        <v>4.0002757443055259E-2</v>
      </c>
      <c r="V15">
        <v>-0.11425283577182299</v>
      </c>
      <c r="W15">
        <v>7.4283260313575905E-2</v>
      </c>
      <c r="X15">
        <v>0.25041056296393616</v>
      </c>
      <c r="Y15">
        <v>5.9630487680494726E-2</v>
      </c>
      <c r="Z15">
        <v>0.23051868239921247</v>
      </c>
      <c r="AA15">
        <v>7.7247586012937131E-2</v>
      </c>
      <c r="AB15">
        <v>-0.20360341376040358</v>
      </c>
      <c r="AC15">
        <v>0.30618517095658837</v>
      </c>
      <c r="AD15">
        <v>0.20959214501510393</v>
      </c>
      <c r="AE15">
        <v>0.12572405874666459</v>
      </c>
      <c r="AF15">
        <v>0.163002495114839</v>
      </c>
      <c r="AG15">
        <v>0.26048502507639237</v>
      </c>
      <c r="AH15">
        <v>0.16020953221370027</v>
      </c>
      <c r="AI15">
        <v>0.24816600293439528</v>
      </c>
      <c r="AJ15">
        <v>0.294340769478866</v>
      </c>
      <c r="AK15">
        <v>8.989577884189659E-2</v>
      </c>
      <c r="AL15">
        <v>0.19103501528719002</v>
      </c>
      <c r="AM15">
        <v>6.9133372842378193E-2</v>
      </c>
      <c r="AN15">
        <v>0.14891165172855381</v>
      </c>
      <c r="AO15">
        <v>-0.24423205156701455</v>
      </c>
      <c r="AP15">
        <v>4.6811372556245789E-2</v>
      </c>
      <c r="AQ15">
        <v>8.6964579676312326E-2</v>
      </c>
      <c r="AR15">
        <v>7.6260009331297729E-2</v>
      </c>
      <c r="AS15">
        <v>0.10070422535211199</v>
      </c>
      <c r="AT15">
        <v>5.0559629486684132E-2</v>
      </c>
      <c r="AU15">
        <v>8.7212561539443012E-2</v>
      </c>
      <c r="AV15">
        <v>-8.8794145751099895E-3</v>
      </c>
      <c r="AW15">
        <v>3.2338121380761642E-3</v>
      </c>
      <c r="AX15">
        <v>0.11073907848958253</v>
      </c>
      <c r="AY15">
        <v>0.28984957217775453</v>
      </c>
      <c r="AZ15">
        <v>-0.22890798357018038</v>
      </c>
      <c r="BA15">
        <v>1.7185632721066213E-3</v>
      </c>
      <c r="BB15">
        <v>0.10316409585663044</v>
      </c>
      <c r="BC15">
        <v>8.2956555926871234E-2</v>
      </c>
      <c r="BD15">
        <v>0.17809077892763381</v>
      </c>
      <c r="BE15">
        <v>0.17570827313791004</v>
      </c>
      <c r="BF15">
        <v>0.56537964690684572</v>
      </c>
      <c r="BG15">
        <v>0.56537964690684572</v>
      </c>
    </row>
    <row r="16" spans="1:59" x14ac:dyDescent="0.25">
      <c r="A16" s="2">
        <v>43861</v>
      </c>
      <c r="B16">
        <v>-0.11314357098242134</v>
      </c>
      <c r="C16">
        <v>0.18791445623342007</v>
      </c>
      <c r="D16">
        <v>0.21424656895325711</v>
      </c>
      <c r="E16">
        <v>0.16297803669122723</v>
      </c>
      <c r="F16">
        <v>0.26026334768153481</v>
      </c>
      <c r="G16">
        <v>4.2196869514622426E-2</v>
      </c>
      <c r="H16">
        <v>0.14365450955334458</v>
      </c>
      <c r="I16">
        <v>0.10872283883070333</v>
      </c>
      <c r="J16">
        <v>0.15165043050865168</v>
      </c>
      <c r="K16">
        <v>0.39611835825644381</v>
      </c>
      <c r="L16">
        <v>0.2885468921604244</v>
      </c>
      <c r="M16">
        <v>-0.21123803124474894</v>
      </c>
      <c r="N16">
        <v>-0.37129504366006605</v>
      </c>
      <c r="O16">
        <v>6.2933994557087258E-2</v>
      </c>
      <c r="P16">
        <v>0.20714486735387294</v>
      </c>
      <c r="Q16">
        <v>0.20305537873965696</v>
      </c>
      <c r="R16">
        <v>0.45486128747168642</v>
      </c>
      <c r="S16">
        <v>8.7692026396963829E-3</v>
      </c>
      <c r="T16">
        <v>-2.9578037121363865E-3</v>
      </c>
      <c r="U16">
        <v>3.2306737037976596E-2</v>
      </c>
      <c r="V16">
        <v>-0.17047509452572762</v>
      </c>
      <c r="W16">
        <v>7.9869533267206583E-2</v>
      </c>
      <c r="X16">
        <v>0.27200852094105743</v>
      </c>
      <c r="Y16">
        <v>6.9633256108756036E-2</v>
      </c>
      <c r="Z16">
        <v>0.23242379547689151</v>
      </c>
      <c r="AA16">
        <v>8.2497421955563865E-2</v>
      </c>
      <c r="AB16">
        <v>-0.16874934148140219</v>
      </c>
      <c r="AC16">
        <v>0.28082981175566646</v>
      </c>
      <c r="AD16">
        <v>0.21699395770392593</v>
      </c>
      <c r="AE16">
        <v>0.14284437367420821</v>
      </c>
      <c r="AF16">
        <v>0.14298964515264023</v>
      </c>
      <c r="AG16">
        <v>0.30577723914753485</v>
      </c>
      <c r="AH16">
        <v>9.5697642762595958E-2</v>
      </c>
      <c r="AI16">
        <v>0.30161391741773236</v>
      </c>
      <c r="AJ16">
        <v>0.29571186359428459</v>
      </c>
      <c r="AK16">
        <v>9.8144943865437151E-2</v>
      </c>
      <c r="AL16">
        <v>0.21495466834221499</v>
      </c>
      <c r="AM16">
        <v>7.5493024417335519E-2</v>
      </c>
      <c r="AN16">
        <v>7.6440460947503563E-2</v>
      </c>
      <c r="AO16">
        <v>-0.26605912424983302</v>
      </c>
      <c r="AP16">
        <v>4.8303882368115891E-2</v>
      </c>
      <c r="AQ16">
        <v>9.5693283950048835E-2</v>
      </c>
      <c r="AR16">
        <v>7.5721879326632102E-2</v>
      </c>
      <c r="AS16">
        <v>0.10563380281690082</v>
      </c>
      <c r="AT16">
        <v>0.14280200694712342</v>
      </c>
      <c r="AU16">
        <v>8.6846238809117793E-2</v>
      </c>
      <c r="AV16">
        <v>2.0229118645636035E-3</v>
      </c>
      <c r="AW16">
        <v>3.8128901255922054E-2</v>
      </c>
      <c r="AX16">
        <v>1.4446268195576151E-2</v>
      </c>
      <c r="AY16">
        <v>0.29885454043610427</v>
      </c>
      <c r="AZ16">
        <v>-0.30886171568858867</v>
      </c>
      <c r="BA16">
        <v>1.2436951899118087E-2</v>
      </c>
      <c r="BB16">
        <v>0.12307218451423951</v>
      </c>
      <c r="BC16">
        <v>9.9731341327565337E-2</v>
      </c>
      <c r="BD16">
        <v>0.19620733442487426</v>
      </c>
      <c r="BE16">
        <v>0.11642488229442693</v>
      </c>
      <c r="BF16">
        <v>0.52287118378282793</v>
      </c>
      <c r="BG16">
        <v>0.52287118378282793</v>
      </c>
    </row>
    <row r="17" spans="1:59" x14ac:dyDescent="0.25">
      <c r="A17" s="2">
        <v>39568</v>
      </c>
      <c r="B17">
        <v>0.74251052240653448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0.14501891551071888</v>
      </c>
      <c r="L17">
        <v>0</v>
      </c>
      <c r="M17">
        <v>0.13084112149532756</v>
      </c>
      <c r="N17">
        <v>0.29065743944636635</v>
      </c>
      <c r="O17">
        <v>0</v>
      </c>
      <c r="P17">
        <v>0</v>
      </c>
      <c r="Q17">
        <v>0</v>
      </c>
      <c r="R17">
        <v>-0.5473251028806585</v>
      </c>
      <c r="S17">
        <v>0</v>
      </c>
      <c r="T17">
        <v>0</v>
      </c>
      <c r="U17">
        <v>0</v>
      </c>
      <c r="V17">
        <v>-0.23874426007574023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0.26396290769558672</v>
      </c>
      <c r="AC17">
        <v>0.7984429065743941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-6.5586419753016489E-4</v>
      </c>
      <c r="AJ17">
        <v>0</v>
      </c>
      <c r="AK17">
        <v>0.10773624599906562</v>
      </c>
      <c r="AL17">
        <v>0</v>
      </c>
      <c r="AM17">
        <v>3.7819550521653422E-2</v>
      </c>
      <c r="AN17">
        <v>0</v>
      </c>
      <c r="AO17">
        <v>0</v>
      </c>
      <c r="AP17">
        <v>-0.20411867987977339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-5.0428996673084647E-2</v>
      </c>
      <c r="BA17">
        <v>0</v>
      </c>
      <c r="BB17">
        <v>0</v>
      </c>
      <c r="BC17">
        <v>0</v>
      </c>
      <c r="BD17">
        <v>0</v>
      </c>
      <c r="BE17">
        <v>0.16610741779679761</v>
      </c>
      <c r="BF17">
        <v>0</v>
      </c>
      <c r="BG17">
        <v>0</v>
      </c>
    </row>
    <row r="18" spans="1:59" x14ac:dyDescent="0.25">
      <c r="A18" s="2">
        <v>39599</v>
      </c>
      <c r="B18">
        <v>0.76652636791284801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0.21941992433795687</v>
      </c>
      <c r="L18">
        <v>0</v>
      </c>
      <c r="M18">
        <v>0.30841121495327228</v>
      </c>
      <c r="N18">
        <v>0.22837370242214505</v>
      </c>
      <c r="O18">
        <v>0</v>
      </c>
      <c r="P18">
        <v>0</v>
      </c>
      <c r="Q18">
        <v>0</v>
      </c>
      <c r="R18">
        <v>-0.50317994762439233</v>
      </c>
      <c r="S18">
        <v>0</v>
      </c>
      <c r="T18">
        <v>0</v>
      </c>
      <c r="U18">
        <v>0</v>
      </c>
      <c r="V18">
        <v>-0.22899324930023313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0.21589213387337369</v>
      </c>
      <c r="AC18">
        <v>0.54238754325259553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2.3533950617284471E-2</v>
      </c>
      <c r="AJ18">
        <v>0</v>
      </c>
      <c r="AK18">
        <v>0.14534794889775826</v>
      </c>
      <c r="AL18">
        <v>0</v>
      </c>
      <c r="AM18">
        <v>2.3736919465589201E-2</v>
      </c>
      <c r="AN18">
        <v>0</v>
      </c>
      <c r="AO18">
        <v>0</v>
      </c>
      <c r="AP18">
        <v>-0.25235842037913347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-2.7753458238484852E-2</v>
      </c>
      <c r="BA18">
        <v>0</v>
      </c>
      <c r="BB18">
        <v>0</v>
      </c>
      <c r="BC18">
        <v>0</v>
      </c>
      <c r="BD18">
        <v>0</v>
      </c>
      <c r="BE18">
        <v>0.15802551174449819</v>
      </c>
      <c r="BF18">
        <v>0</v>
      </c>
      <c r="BG18">
        <v>0</v>
      </c>
    </row>
    <row r="19" spans="1:59" x14ac:dyDescent="0.25">
      <c r="A19" s="2">
        <v>39629</v>
      </c>
      <c r="B19">
        <v>0.79499876206981734</v>
      </c>
      <c r="C19">
        <v>0</v>
      </c>
      <c r="D19">
        <v>0</v>
      </c>
      <c r="E19">
        <v>0</v>
      </c>
      <c r="F19">
        <v>0</v>
      </c>
      <c r="G19">
        <v>-2.100000000000013E-2</v>
      </c>
      <c r="H19">
        <v>0</v>
      </c>
      <c r="I19">
        <v>0</v>
      </c>
      <c r="J19">
        <v>0</v>
      </c>
      <c r="K19">
        <v>8.3228247162673519E-2</v>
      </c>
      <c r="L19">
        <v>0</v>
      </c>
      <c r="M19">
        <v>2.8037383177570652E-2</v>
      </c>
      <c r="N19">
        <v>5.1903114186850896E-3</v>
      </c>
      <c r="O19">
        <v>0</v>
      </c>
      <c r="P19">
        <v>0</v>
      </c>
      <c r="Q19">
        <v>0</v>
      </c>
      <c r="R19">
        <v>-0.58772914328469894</v>
      </c>
      <c r="S19">
        <v>0</v>
      </c>
      <c r="T19">
        <v>0</v>
      </c>
      <c r="U19">
        <v>0</v>
      </c>
      <c r="V19">
        <v>-0.23093247470774458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0.1369111063739068</v>
      </c>
      <c r="AC19">
        <v>1.0717993079584787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-8.4104938271599705E-3</v>
      </c>
      <c r="AJ19">
        <v>0</v>
      </c>
      <c r="AK19">
        <v>0.1098909709190472</v>
      </c>
      <c r="AL19">
        <v>0</v>
      </c>
      <c r="AM19">
        <v>5.2596362679064868E-3</v>
      </c>
      <c r="AN19">
        <v>0</v>
      </c>
      <c r="AO19">
        <v>0</v>
      </c>
      <c r="AP19">
        <v>-0.20090468112966153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-0.10182104710208151</v>
      </c>
      <c r="BA19">
        <v>0</v>
      </c>
      <c r="BB19">
        <v>0</v>
      </c>
      <c r="BC19">
        <v>0</v>
      </c>
      <c r="BD19">
        <v>0</v>
      </c>
      <c r="BE19">
        <v>0.15131024812993532</v>
      </c>
      <c r="BF19">
        <v>0</v>
      </c>
      <c r="BG19">
        <v>0</v>
      </c>
    </row>
    <row r="20" spans="1:59" x14ac:dyDescent="0.25">
      <c r="A20" s="2">
        <v>39660</v>
      </c>
      <c r="B20">
        <v>1.3211190888833846</v>
      </c>
      <c r="C20">
        <v>0</v>
      </c>
      <c r="D20">
        <v>0</v>
      </c>
      <c r="E20">
        <v>0</v>
      </c>
      <c r="F20">
        <v>0</v>
      </c>
      <c r="G20">
        <v>-2.100000000000013E-2</v>
      </c>
      <c r="H20">
        <v>0</v>
      </c>
      <c r="I20">
        <v>0</v>
      </c>
      <c r="J20">
        <v>0</v>
      </c>
      <c r="K20">
        <v>7.5662042875157764E-2</v>
      </c>
      <c r="L20">
        <v>0</v>
      </c>
      <c r="M20">
        <v>0.13084112149532823</v>
      </c>
      <c r="N20">
        <v>0.10726643598615881</v>
      </c>
      <c r="O20">
        <v>0</v>
      </c>
      <c r="P20">
        <v>0</v>
      </c>
      <c r="Q20">
        <v>0</v>
      </c>
      <c r="R20">
        <v>-0.33632622521511446</v>
      </c>
      <c r="S20">
        <v>0</v>
      </c>
      <c r="T20">
        <v>0</v>
      </c>
      <c r="U20">
        <v>0</v>
      </c>
      <c r="V20">
        <v>-0.18214083167157602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0.14847580473246635</v>
      </c>
      <c r="AC20">
        <v>0.98442906574394606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0.14718364197530942</v>
      </c>
      <c r="AJ20">
        <v>0</v>
      </c>
      <c r="AK20">
        <v>0.16454458909395542</v>
      </c>
      <c r="AL20">
        <v>0</v>
      </c>
      <c r="AM20">
        <v>8.2267512010902877E-5</v>
      </c>
      <c r="AN20">
        <v>0</v>
      </c>
      <c r="AO20">
        <v>0</v>
      </c>
      <c r="AP20">
        <v>-0.19126268487932707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-7.9583260374713194E-2</v>
      </c>
      <c r="BA20">
        <v>0</v>
      </c>
      <c r="BB20">
        <v>0</v>
      </c>
      <c r="BC20">
        <v>0</v>
      </c>
      <c r="BD20">
        <v>0</v>
      </c>
      <c r="BE20">
        <v>0.14705999852199536</v>
      </c>
      <c r="BF20">
        <v>0</v>
      </c>
      <c r="BG20">
        <v>0</v>
      </c>
    </row>
    <row r="21" spans="1:59" x14ac:dyDescent="0.25">
      <c r="A21" s="2">
        <v>39691</v>
      </c>
      <c r="B21">
        <v>1.2322357019064096</v>
      </c>
      <c r="C21">
        <v>0</v>
      </c>
      <c r="D21">
        <v>0</v>
      </c>
      <c r="E21">
        <v>0</v>
      </c>
      <c r="F21">
        <v>0</v>
      </c>
      <c r="G21">
        <v>-2.100000000000013E-2</v>
      </c>
      <c r="H21">
        <v>0</v>
      </c>
      <c r="I21">
        <v>0</v>
      </c>
      <c r="J21">
        <v>0</v>
      </c>
      <c r="K21">
        <v>4.7919293820933406E-2</v>
      </c>
      <c r="L21">
        <v>0</v>
      </c>
      <c r="M21">
        <v>9.3457943925243647E-3</v>
      </c>
      <c r="N21">
        <v>4.6712802768165362E-2</v>
      </c>
      <c r="O21">
        <v>0</v>
      </c>
      <c r="P21">
        <v>0</v>
      </c>
      <c r="Q21">
        <v>0</v>
      </c>
      <c r="R21">
        <v>-0.29292929292929337</v>
      </c>
      <c r="S21">
        <v>0</v>
      </c>
      <c r="T21">
        <v>0</v>
      </c>
      <c r="U21">
        <v>0</v>
      </c>
      <c r="V21">
        <v>-0.21532719855106952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0.10109784694095092</v>
      </c>
      <c r="AC21">
        <v>0.78633217993079607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0.10848765432098895</v>
      </c>
      <c r="AJ21">
        <v>0</v>
      </c>
      <c r="AK21">
        <v>0.21821682800985465</v>
      </c>
      <c r="AL21">
        <v>0</v>
      </c>
      <c r="AM21">
        <v>6.909687508813489E-3</v>
      </c>
      <c r="AN21">
        <v>0</v>
      </c>
      <c r="AO21">
        <v>0</v>
      </c>
      <c r="AP21">
        <v>-0.13820194625479942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-4.5438627210643623E-2</v>
      </c>
      <c r="BA21">
        <v>0</v>
      </c>
      <c r="BB21">
        <v>0</v>
      </c>
      <c r="BC21">
        <v>0</v>
      </c>
      <c r="BD21">
        <v>0</v>
      </c>
      <c r="BE21">
        <v>0.16770969273066472</v>
      </c>
      <c r="BF21">
        <v>0</v>
      </c>
      <c r="BG21">
        <v>0</v>
      </c>
    </row>
    <row r="22" spans="1:59" x14ac:dyDescent="0.25">
      <c r="A22" s="2">
        <v>39721</v>
      </c>
      <c r="B22">
        <v>0.94602624411982839</v>
      </c>
      <c r="C22">
        <v>0</v>
      </c>
      <c r="D22">
        <v>0</v>
      </c>
      <c r="E22">
        <v>0</v>
      </c>
      <c r="F22">
        <v>0</v>
      </c>
      <c r="G22">
        <v>-1.9042000000000114E-2</v>
      </c>
      <c r="H22">
        <v>0</v>
      </c>
      <c r="I22">
        <v>0</v>
      </c>
      <c r="J22">
        <v>0</v>
      </c>
      <c r="K22">
        <v>-0.1916771752837324</v>
      </c>
      <c r="L22">
        <v>0</v>
      </c>
      <c r="M22">
        <v>-5.7943925233643667E-2</v>
      </c>
      <c r="N22">
        <v>-0.19896193771626347</v>
      </c>
      <c r="O22">
        <v>0</v>
      </c>
      <c r="P22">
        <v>0</v>
      </c>
      <c r="Q22">
        <v>0</v>
      </c>
      <c r="R22">
        <v>-0.34418256640478884</v>
      </c>
      <c r="S22">
        <v>0</v>
      </c>
      <c r="T22">
        <v>0</v>
      </c>
      <c r="U22">
        <v>0</v>
      </c>
      <c r="V22">
        <v>-0.33100382356707714</v>
      </c>
      <c r="W22">
        <v>0</v>
      </c>
      <c r="X22">
        <v>0</v>
      </c>
      <c r="Y22">
        <v>0</v>
      </c>
      <c r="Z22">
        <v>0</v>
      </c>
      <c r="AA22">
        <v>0</v>
      </c>
      <c r="AB22">
        <v>9.1984651460243372E-2</v>
      </c>
      <c r="AC22">
        <v>2.4074394463667819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4.9884259259260766E-2</v>
      </c>
      <c r="AJ22">
        <v>0</v>
      </c>
      <c r="AK22">
        <v>0.12399658378157885</v>
      </c>
      <c r="AL22">
        <v>0</v>
      </c>
      <c r="AM22">
        <v>-0.13028274952128216</v>
      </c>
      <c r="AN22">
        <v>0</v>
      </c>
      <c r="AO22">
        <v>0</v>
      </c>
      <c r="AP22">
        <v>-0.23500877897806827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-0.12616004202416164</v>
      </c>
      <c r="BA22">
        <v>0</v>
      </c>
      <c r="BB22">
        <v>0</v>
      </c>
      <c r="BC22">
        <v>0</v>
      </c>
      <c r="BD22">
        <v>0</v>
      </c>
      <c r="BE22">
        <v>0.16999075477831616</v>
      </c>
      <c r="BF22">
        <v>0</v>
      </c>
      <c r="BG22">
        <v>0</v>
      </c>
    </row>
    <row r="23" spans="1:59" x14ac:dyDescent="0.25">
      <c r="A23" s="2">
        <v>39752</v>
      </c>
      <c r="B23">
        <v>1.017826194602621</v>
      </c>
      <c r="C23">
        <v>0</v>
      </c>
      <c r="D23">
        <v>0</v>
      </c>
      <c r="E23">
        <v>0</v>
      </c>
      <c r="F23">
        <v>0</v>
      </c>
      <c r="G23">
        <v>-2.3946789999999996E-2</v>
      </c>
      <c r="H23">
        <v>0</v>
      </c>
      <c r="I23">
        <v>0</v>
      </c>
      <c r="J23">
        <v>0</v>
      </c>
      <c r="K23">
        <v>-0.31147540983606559</v>
      </c>
      <c r="L23">
        <v>0</v>
      </c>
      <c r="M23">
        <v>-0.12336448598130756</v>
      </c>
      <c r="N23">
        <v>-0.23875432525951634</v>
      </c>
      <c r="O23">
        <v>0</v>
      </c>
      <c r="P23">
        <v>0</v>
      </c>
      <c r="Q23">
        <v>0</v>
      </c>
      <c r="R23">
        <v>-0.37785260007482235</v>
      </c>
      <c r="S23">
        <v>0</v>
      </c>
      <c r="T23">
        <v>0</v>
      </c>
      <c r="U23">
        <v>0</v>
      </c>
      <c r="V23">
        <v>-0.4286968771153109</v>
      </c>
      <c r="W23">
        <v>0</v>
      </c>
      <c r="X23">
        <v>0</v>
      </c>
      <c r="Y23">
        <v>0</v>
      </c>
      <c r="Z23">
        <v>0</v>
      </c>
      <c r="AA23">
        <v>0</v>
      </c>
      <c r="AB23">
        <v>1.1724578981027634E-2</v>
      </c>
      <c r="AC23">
        <v>4.180795847750864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-7.8510802469134555E-2</v>
      </c>
      <c r="AJ23">
        <v>0</v>
      </c>
      <c r="AK23">
        <v>-0.11714064085437026</v>
      </c>
      <c r="AL23">
        <v>0</v>
      </c>
      <c r="AM23">
        <v>-0.14732779450985867</v>
      </c>
      <c r="AN23">
        <v>0</v>
      </c>
      <c r="AO23">
        <v>0</v>
      </c>
      <c r="AP23">
        <v>-0.20245216200934524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-0.26037471546138868</v>
      </c>
      <c r="BA23">
        <v>0</v>
      </c>
      <c r="BB23">
        <v>0</v>
      </c>
      <c r="BC23">
        <v>0</v>
      </c>
      <c r="BD23">
        <v>0</v>
      </c>
      <c r="BE23">
        <v>0.12265134003210365</v>
      </c>
      <c r="BF23">
        <v>0</v>
      </c>
      <c r="BG23">
        <v>0</v>
      </c>
    </row>
    <row r="24" spans="1:59" x14ac:dyDescent="0.25">
      <c r="A24" s="2">
        <v>39782</v>
      </c>
      <c r="B24">
        <v>0.66674919534537858</v>
      </c>
      <c r="C24">
        <v>0</v>
      </c>
      <c r="D24">
        <v>0</v>
      </c>
      <c r="E24">
        <v>0</v>
      </c>
      <c r="F24">
        <v>0</v>
      </c>
      <c r="G24">
        <v>-5.8108652350000067E-2</v>
      </c>
      <c r="H24">
        <v>0</v>
      </c>
      <c r="I24">
        <v>0</v>
      </c>
      <c r="J24">
        <v>0</v>
      </c>
      <c r="K24">
        <v>-0.41992433795712536</v>
      </c>
      <c r="L24">
        <v>0</v>
      </c>
      <c r="M24">
        <v>-2.0560747663549317E-2</v>
      </c>
      <c r="N24">
        <v>-0.1124567474048449</v>
      </c>
      <c r="O24">
        <v>0</v>
      </c>
      <c r="P24">
        <v>0</v>
      </c>
      <c r="Q24">
        <v>0</v>
      </c>
      <c r="R24">
        <v>-0.36999625888514776</v>
      </c>
      <c r="S24">
        <v>0</v>
      </c>
      <c r="T24">
        <v>0</v>
      </c>
      <c r="U24">
        <v>0</v>
      </c>
      <c r="V24">
        <v>-0.3428587109639416</v>
      </c>
      <c r="W24">
        <v>0</v>
      </c>
      <c r="X24">
        <v>0</v>
      </c>
      <c r="Y24">
        <v>0</v>
      </c>
      <c r="Z24">
        <v>0</v>
      </c>
      <c r="AA24">
        <v>0</v>
      </c>
      <c r="AB24">
        <v>-1.6787465359198395E-2</v>
      </c>
      <c r="AC24">
        <v>3.7820069204152231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-0.15671296296296178</v>
      </c>
      <c r="AJ24">
        <v>0</v>
      </c>
      <c r="AK24">
        <v>-0.26131328525032194</v>
      </c>
      <c r="AL24">
        <v>0</v>
      </c>
      <c r="AM24">
        <v>-9.6950304154744593E-2</v>
      </c>
      <c r="AN24">
        <v>0</v>
      </c>
      <c r="AO24">
        <v>0</v>
      </c>
      <c r="AP24">
        <v>-0.15852751242448715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-0.32052180003501851</v>
      </c>
      <c r="BA24">
        <v>0</v>
      </c>
      <c r="BB24">
        <v>0</v>
      </c>
      <c r="BC24">
        <v>0</v>
      </c>
      <c r="BD24">
        <v>0</v>
      </c>
      <c r="BE24">
        <v>0.1606107695570882</v>
      </c>
      <c r="BF24">
        <v>0</v>
      </c>
      <c r="BG24">
        <v>0</v>
      </c>
    </row>
    <row r="25" spans="1:59" x14ac:dyDescent="0.25">
      <c r="A25" s="2">
        <v>39813</v>
      </c>
      <c r="B25">
        <v>0.79202772963604451</v>
      </c>
      <c r="C25">
        <v>0</v>
      </c>
      <c r="D25">
        <v>0</v>
      </c>
      <c r="E25">
        <v>0</v>
      </c>
      <c r="F25">
        <v>0</v>
      </c>
      <c r="G25">
        <v>-3.1735694615800059E-2</v>
      </c>
      <c r="H25">
        <v>0</v>
      </c>
      <c r="I25">
        <v>0</v>
      </c>
      <c r="J25">
        <v>0</v>
      </c>
      <c r="K25">
        <v>-0.40605296343001318</v>
      </c>
      <c r="L25">
        <v>0</v>
      </c>
      <c r="M25">
        <v>7.8504672897198091E-2</v>
      </c>
      <c r="N25">
        <v>-7.0934256055363187E-2</v>
      </c>
      <c r="O25">
        <v>0</v>
      </c>
      <c r="P25">
        <v>0</v>
      </c>
      <c r="Q25">
        <v>0</v>
      </c>
      <c r="R25">
        <v>-0.34642723531612474</v>
      </c>
      <c r="S25">
        <v>0</v>
      </c>
      <c r="T25">
        <v>0</v>
      </c>
      <c r="U25">
        <v>0</v>
      </c>
      <c r="V25">
        <v>-0.30733063793198112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0.12417395011724541</v>
      </c>
      <c r="AC25">
        <v>2.4602076124567458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-8.3140432098764205E-2</v>
      </c>
      <c r="AJ25">
        <v>0</v>
      </c>
      <c r="AK25">
        <v>-0.24934476774024383</v>
      </c>
      <c r="AL25">
        <v>0</v>
      </c>
      <c r="AM25">
        <v>4.1722948091550416E-2</v>
      </c>
      <c r="AN25">
        <v>0</v>
      </c>
      <c r="AO25">
        <v>0</v>
      </c>
      <c r="AP25">
        <v>-0.15364699580394714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-0.3009980738924859</v>
      </c>
      <c r="BA25">
        <v>0</v>
      </c>
      <c r="BB25">
        <v>0</v>
      </c>
      <c r="BC25">
        <v>0</v>
      </c>
      <c r="BD25">
        <v>0</v>
      </c>
      <c r="BE25">
        <v>0.22015293788212431</v>
      </c>
      <c r="BF25">
        <v>0</v>
      </c>
      <c r="BG25">
        <v>0</v>
      </c>
    </row>
    <row r="26" spans="1:59" x14ac:dyDescent="0.25">
      <c r="A26" s="2">
        <v>39844</v>
      </c>
      <c r="B26">
        <v>0.8256994305521137</v>
      </c>
      <c r="C26">
        <v>0</v>
      </c>
      <c r="D26">
        <v>0</v>
      </c>
      <c r="E26">
        <v>0</v>
      </c>
      <c r="F26">
        <v>0</v>
      </c>
      <c r="G26">
        <v>-5.5925583704267146E-3</v>
      </c>
      <c r="H26">
        <v>0</v>
      </c>
      <c r="I26">
        <v>0</v>
      </c>
      <c r="J26">
        <v>0</v>
      </c>
      <c r="K26">
        <v>-0.39596469104665866</v>
      </c>
      <c r="L26">
        <v>0</v>
      </c>
      <c r="M26">
        <v>9.3457943925254749E-3</v>
      </c>
      <c r="N26">
        <v>-0.22837370242214483</v>
      </c>
      <c r="O26">
        <v>0</v>
      </c>
      <c r="P26">
        <v>0</v>
      </c>
      <c r="Q26">
        <v>0</v>
      </c>
      <c r="R26">
        <v>-0.45753834642723545</v>
      </c>
      <c r="S26">
        <v>0</v>
      </c>
      <c r="T26">
        <v>0</v>
      </c>
      <c r="U26">
        <v>0</v>
      </c>
      <c r="V26">
        <v>-0.30930645249812527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0.17688126199104648</v>
      </c>
      <c r="AC26">
        <v>2.8788927335640127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-8.7268518518517246E-2</v>
      </c>
      <c r="AJ26">
        <v>0</v>
      </c>
      <c r="AK26">
        <v>-0.22385241309602788</v>
      </c>
      <c r="AL26">
        <v>0</v>
      </c>
      <c r="AM26">
        <v>-9.598659901404516E-3</v>
      </c>
      <c r="AN26">
        <v>0</v>
      </c>
      <c r="AO26">
        <v>0</v>
      </c>
      <c r="AP26">
        <v>-0.19108412939320985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-0.33960777447031787</v>
      </c>
      <c r="BA26">
        <v>0</v>
      </c>
      <c r="BB26">
        <v>0</v>
      </c>
      <c r="BC26">
        <v>0</v>
      </c>
      <c r="BD26">
        <v>0</v>
      </c>
      <c r="BE26">
        <v>0.21917841951772221</v>
      </c>
      <c r="BF26">
        <v>0</v>
      </c>
      <c r="BG26">
        <v>0</v>
      </c>
    </row>
    <row r="27" spans="1:59" x14ac:dyDescent="0.25">
      <c r="A27" s="2">
        <v>39872</v>
      </c>
      <c r="B27">
        <v>0.69348848724931722</v>
      </c>
      <c r="C27">
        <v>0</v>
      </c>
      <c r="D27">
        <v>0</v>
      </c>
      <c r="E27">
        <v>0</v>
      </c>
      <c r="F27">
        <v>0</v>
      </c>
      <c r="G27">
        <v>-8.5757806953153937E-3</v>
      </c>
      <c r="H27">
        <v>0</v>
      </c>
      <c r="I27">
        <v>0</v>
      </c>
      <c r="J27">
        <v>0</v>
      </c>
      <c r="K27">
        <v>-0.40857503152585162</v>
      </c>
      <c r="L27">
        <v>0</v>
      </c>
      <c r="M27">
        <v>-0.1121495327102785</v>
      </c>
      <c r="N27">
        <v>-0.25605536332179879</v>
      </c>
      <c r="O27">
        <v>0</v>
      </c>
      <c r="P27">
        <v>0</v>
      </c>
      <c r="Q27">
        <v>0</v>
      </c>
      <c r="R27">
        <v>-0.49420127197904995</v>
      </c>
      <c r="S27">
        <v>0</v>
      </c>
      <c r="T27">
        <v>0</v>
      </c>
      <c r="U27">
        <v>0</v>
      </c>
      <c r="V27">
        <v>-0.3783684894165863</v>
      </c>
      <c r="W27">
        <v>0</v>
      </c>
      <c r="X27">
        <v>0</v>
      </c>
      <c r="Y27">
        <v>0</v>
      </c>
      <c r="Z27">
        <v>0</v>
      </c>
      <c r="AA27">
        <v>0</v>
      </c>
      <c r="AB27">
        <v>4.4446813046258304E-2</v>
      </c>
      <c r="AC27">
        <v>3.0095155709342558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-0.18611111111110978</v>
      </c>
      <c r="AJ27">
        <v>0</v>
      </c>
      <c r="AK27">
        <v>-0.31366526544252316</v>
      </c>
      <c r="AL27">
        <v>0</v>
      </c>
      <c r="AM27">
        <v>-7.1629147457855979E-2</v>
      </c>
      <c r="AN27">
        <v>0</v>
      </c>
      <c r="AO27">
        <v>0</v>
      </c>
      <c r="AP27">
        <v>-0.23012826235752848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-0.41017334967606167</v>
      </c>
      <c r="BA27">
        <v>0</v>
      </c>
      <c r="BB27">
        <v>0</v>
      </c>
      <c r="BC27">
        <v>0</v>
      </c>
      <c r="BD27">
        <v>0</v>
      </c>
      <c r="BE27">
        <v>0.22367698319256069</v>
      </c>
      <c r="BF27">
        <v>0</v>
      </c>
      <c r="BG27">
        <v>0</v>
      </c>
    </row>
    <row r="28" spans="1:59" x14ac:dyDescent="0.25">
      <c r="A28" s="2">
        <v>39903</v>
      </c>
      <c r="B28">
        <v>0.8648180242634298</v>
      </c>
      <c r="C28">
        <v>0</v>
      </c>
      <c r="D28">
        <v>0</v>
      </c>
      <c r="E28">
        <v>0</v>
      </c>
      <c r="F28">
        <v>0</v>
      </c>
      <c r="G28">
        <v>3.470372784266651E-4</v>
      </c>
      <c r="H28">
        <v>0</v>
      </c>
      <c r="I28">
        <v>0</v>
      </c>
      <c r="J28">
        <v>0</v>
      </c>
      <c r="K28">
        <v>-0.32912988650693631</v>
      </c>
      <c r="L28">
        <v>0</v>
      </c>
      <c r="M28">
        <v>-5.420560747663361E-2</v>
      </c>
      <c r="N28">
        <v>-0.2162629757785457</v>
      </c>
      <c r="O28">
        <v>0</v>
      </c>
      <c r="P28">
        <v>0</v>
      </c>
      <c r="Q28">
        <v>0</v>
      </c>
      <c r="R28">
        <v>-0.46576879910213265</v>
      </c>
      <c r="S28">
        <v>0</v>
      </c>
      <c r="T28">
        <v>0</v>
      </c>
      <c r="U28">
        <v>0</v>
      </c>
      <c r="V28">
        <v>-0.41697005177365964</v>
      </c>
      <c r="W28">
        <v>0</v>
      </c>
      <c r="X28">
        <v>0</v>
      </c>
      <c r="Y28">
        <v>0</v>
      </c>
      <c r="Z28">
        <v>0</v>
      </c>
      <c r="AA28">
        <v>0</v>
      </c>
      <c r="AB28">
        <v>-2.5794073758261038E-2</v>
      </c>
      <c r="AC28">
        <v>2.8183391003460203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-0.14378858024691199</v>
      </c>
      <c r="AJ28">
        <v>0</v>
      </c>
      <c r="AK28">
        <v>-0.27777930132065154</v>
      </c>
      <c r="AL28">
        <v>0</v>
      </c>
      <c r="AM28">
        <v>-7.8654792983600452E-2</v>
      </c>
      <c r="AN28">
        <v>0</v>
      </c>
      <c r="AO28">
        <v>0</v>
      </c>
      <c r="AP28">
        <v>-0.29408088563521184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-0.38163193836455789</v>
      </c>
      <c r="BA28">
        <v>0</v>
      </c>
      <c r="BB28">
        <v>0</v>
      </c>
      <c r="BC28">
        <v>0</v>
      </c>
      <c r="BD28">
        <v>0</v>
      </c>
      <c r="BE28">
        <v>0.26400163652769559</v>
      </c>
      <c r="BF28">
        <v>0</v>
      </c>
      <c r="BG28">
        <v>0</v>
      </c>
    </row>
    <row r="29" spans="1:59" x14ac:dyDescent="0.25">
      <c r="A29" s="2">
        <v>39933</v>
      </c>
      <c r="B29">
        <v>0.65486506561029856</v>
      </c>
      <c r="C29">
        <v>0</v>
      </c>
      <c r="D29">
        <v>0</v>
      </c>
      <c r="E29">
        <v>0</v>
      </c>
      <c r="F29">
        <v>0</v>
      </c>
      <c r="G29">
        <v>4.2361612844120877E-2</v>
      </c>
      <c r="H29">
        <v>0</v>
      </c>
      <c r="I29">
        <v>0</v>
      </c>
      <c r="J29">
        <v>0</v>
      </c>
      <c r="K29">
        <v>-0.2005044136191686</v>
      </c>
      <c r="L29">
        <v>0</v>
      </c>
      <c r="M29">
        <v>9.3457943925252529E-3</v>
      </c>
      <c r="N29">
        <v>-7.4394463667819322E-2</v>
      </c>
      <c r="O29">
        <v>0</v>
      </c>
      <c r="P29">
        <v>0</v>
      </c>
      <c r="Q29">
        <v>0</v>
      </c>
      <c r="R29">
        <v>-0.45753834642723579</v>
      </c>
      <c r="S29">
        <v>0</v>
      </c>
      <c r="T29">
        <v>0</v>
      </c>
      <c r="U29">
        <v>0</v>
      </c>
      <c r="V29">
        <v>-0.42794679936334878</v>
      </c>
      <c r="W29">
        <v>0</v>
      </c>
      <c r="X29">
        <v>0</v>
      </c>
      <c r="Y29">
        <v>0</v>
      </c>
      <c r="Z29">
        <v>0</v>
      </c>
      <c r="AA29">
        <v>0</v>
      </c>
      <c r="AB29">
        <v>-3.5759965892134704E-2</v>
      </c>
      <c r="AC29">
        <v>2.1574394463667819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-0.15489969135802317</v>
      </c>
      <c r="AJ29">
        <v>0</v>
      </c>
      <c r="AK29">
        <v>-0.21953904557439208</v>
      </c>
      <c r="AL29">
        <v>0</v>
      </c>
      <c r="AM29">
        <v>-5.5873743657567587E-2</v>
      </c>
      <c r="AN29">
        <v>0</v>
      </c>
      <c r="AO29">
        <v>0</v>
      </c>
      <c r="AP29">
        <v>-0.33696396155105257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-0.31947119593766193</v>
      </c>
      <c r="BA29">
        <v>0</v>
      </c>
      <c r="BB29">
        <v>0</v>
      </c>
      <c r="BC29">
        <v>0</v>
      </c>
      <c r="BD29">
        <v>0</v>
      </c>
      <c r="BE29">
        <v>0.28444988752164346</v>
      </c>
      <c r="BF29">
        <v>0</v>
      </c>
      <c r="BG29">
        <v>0</v>
      </c>
    </row>
    <row r="30" spans="1:59" x14ac:dyDescent="0.25">
      <c r="A30" s="2">
        <v>39964</v>
      </c>
      <c r="B30">
        <v>0.80737806387719679</v>
      </c>
      <c r="C30">
        <v>0</v>
      </c>
      <c r="D30">
        <v>0</v>
      </c>
      <c r="E30">
        <v>0</v>
      </c>
      <c r="F30">
        <v>0</v>
      </c>
      <c r="G30">
        <v>0.1142845641303647</v>
      </c>
      <c r="H30">
        <v>0</v>
      </c>
      <c r="I30">
        <v>0</v>
      </c>
      <c r="J30">
        <v>0</v>
      </c>
      <c r="K30">
        <v>-0.15889029003783217</v>
      </c>
      <c r="L30">
        <v>0</v>
      </c>
      <c r="M30">
        <v>3.9252336448600378E-2</v>
      </c>
      <c r="N30">
        <v>0.10380622837370312</v>
      </c>
      <c r="O30">
        <v>0</v>
      </c>
      <c r="P30">
        <v>0</v>
      </c>
      <c r="Q30">
        <v>0</v>
      </c>
      <c r="R30">
        <v>-0.48484848484848542</v>
      </c>
      <c r="S30">
        <v>0</v>
      </c>
      <c r="T30">
        <v>0</v>
      </c>
      <c r="U30">
        <v>0</v>
      </c>
      <c r="V30">
        <v>-0.45789502570388407</v>
      </c>
      <c r="W30">
        <v>0</v>
      </c>
      <c r="X30">
        <v>0</v>
      </c>
      <c r="Y30">
        <v>0</v>
      </c>
      <c r="Z30">
        <v>0</v>
      </c>
      <c r="AA30">
        <v>0</v>
      </c>
      <c r="AB30">
        <v>-5.2760605414632344E-3</v>
      </c>
      <c r="AC30">
        <v>1.5017301038062278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-0.12727623456789927</v>
      </c>
      <c r="AJ30">
        <v>0</v>
      </c>
      <c r="AK30">
        <v>-0.18149639769170356</v>
      </c>
      <c r="AL30">
        <v>0</v>
      </c>
      <c r="AM30">
        <v>-2.7974088084217641E-2</v>
      </c>
      <c r="AN30">
        <v>0</v>
      </c>
      <c r="AO30">
        <v>0</v>
      </c>
      <c r="AP30">
        <v>-0.3171740618397173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-0.29285589213797703</v>
      </c>
      <c r="BA30">
        <v>0</v>
      </c>
      <c r="BB30">
        <v>0</v>
      </c>
      <c r="BC30">
        <v>0</v>
      </c>
      <c r="BD30">
        <v>0</v>
      </c>
      <c r="BE30">
        <v>0.29929738503986081</v>
      </c>
      <c r="BF30">
        <v>0</v>
      </c>
      <c r="BG30">
        <v>0</v>
      </c>
    </row>
    <row r="31" spans="1:59" x14ac:dyDescent="0.25">
      <c r="A31" s="2">
        <v>39994</v>
      </c>
      <c r="B31">
        <v>1.03565238920525</v>
      </c>
      <c r="C31">
        <v>0</v>
      </c>
      <c r="D31">
        <v>0</v>
      </c>
      <c r="E31">
        <v>0</v>
      </c>
      <c r="F31">
        <v>0</v>
      </c>
      <c r="G31">
        <v>0.12319884064340791</v>
      </c>
      <c r="H31">
        <v>0</v>
      </c>
      <c r="I31">
        <v>0</v>
      </c>
      <c r="J31">
        <v>0</v>
      </c>
      <c r="K31">
        <v>-0.15258511979823564</v>
      </c>
      <c r="L31">
        <v>0</v>
      </c>
      <c r="M31">
        <v>0.11775700934579758</v>
      </c>
      <c r="N31">
        <v>7.7854671280277454E-2</v>
      </c>
      <c r="O31">
        <v>0</v>
      </c>
      <c r="P31">
        <v>0</v>
      </c>
      <c r="Q31">
        <v>0</v>
      </c>
      <c r="R31">
        <v>-0.50467639356528327</v>
      </c>
      <c r="S31">
        <v>0</v>
      </c>
      <c r="T31">
        <v>0</v>
      </c>
      <c r="U31">
        <v>0</v>
      </c>
      <c r="V31">
        <v>-0.45291890012989144</v>
      </c>
      <c r="W31">
        <v>0</v>
      </c>
      <c r="X31">
        <v>0</v>
      </c>
      <c r="Y31">
        <v>0</v>
      </c>
      <c r="Z31">
        <v>0</v>
      </c>
      <c r="AA31">
        <v>0</v>
      </c>
      <c r="AB31">
        <v>-5.9688765721603865E-3</v>
      </c>
      <c r="AC31">
        <v>1.27941176470588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-6.1072530864195396E-2</v>
      </c>
      <c r="AJ31">
        <v>0</v>
      </c>
      <c r="AK31">
        <v>-0.13227660399682029</v>
      </c>
      <c r="AL31">
        <v>0</v>
      </c>
      <c r="AM31">
        <v>2.529921869367735E-3</v>
      </c>
      <c r="AN31">
        <v>0</v>
      </c>
      <c r="AO31">
        <v>0</v>
      </c>
      <c r="AP31">
        <v>-0.29738416212838181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-0.28305025389598781</v>
      </c>
      <c r="BA31">
        <v>0</v>
      </c>
      <c r="BB31">
        <v>0</v>
      </c>
      <c r="BC31">
        <v>0</v>
      </c>
      <c r="BD31">
        <v>0</v>
      </c>
      <c r="BE31">
        <v>0.30304434983333128</v>
      </c>
      <c r="BF31">
        <v>0</v>
      </c>
      <c r="BG31">
        <v>0</v>
      </c>
    </row>
    <row r="32" spans="1:59" x14ac:dyDescent="0.25">
      <c r="A32" s="2">
        <v>40025</v>
      </c>
      <c r="B32">
        <v>1.1812329784600162</v>
      </c>
      <c r="C32">
        <v>0</v>
      </c>
      <c r="D32">
        <v>0</v>
      </c>
      <c r="E32">
        <v>0</v>
      </c>
      <c r="F32">
        <v>0</v>
      </c>
      <c r="G32">
        <v>0.20294595832908979</v>
      </c>
      <c r="H32">
        <v>0</v>
      </c>
      <c r="I32">
        <v>0</v>
      </c>
      <c r="J32">
        <v>0</v>
      </c>
      <c r="K32">
        <v>-6.935687263556245E-2</v>
      </c>
      <c r="L32">
        <v>0</v>
      </c>
      <c r="M32">
        <v>0.1660747663551434</v>
      </c>
      <c r="N32">
        <v>0.20761245674740669</v>
      </c>
      <c r="O32">
        <v>0</v>
      </c>
      <c r="P32">
        <v>0</v>
      </c>
      <c r="Q32">
        <v>0</v>
      </c>
      <c r="R32">
        <v>-0.37598204264871016</v>
      </c>
      <c r="S32">
        <v>0</v>
      </c>
      <c r="T32">
        <v>0</v>
      </c>
      <c r="U32">
        <v>0</v>
      </c>
      <c r="V32">
        <v>-0.43894184153235405</v>
      </c>
      <c r="W32">
        <v>0</v>
      </c>
      <c r="X32">
        <v>0</v>
      </c>
      <c r="Y32">
        <v>0</v>
      </c>
      <c r="Z32">
        <v>0</v>
      </c>
      <c r="AA32">
        <v>0</v>
      </c>
      <c r="AB32">
        <v>7.7808569601362843E-2</v>
      </c>
      <c r="AC32">
        <v>1.2422145328719707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1.6203703703706385E-2</v>
      </c>
      <c r="AJ32">
        <v>0</v>
      </c>
      <c r="AK32">
        <v>-8.893920933348598E-2</v>
      </c>
      <c r="AL32">
        <v>0</v>
      </c>
      <c r="AM32">
        <v>4.6014961718183534E-2</v>
      </c>
      <c r="AN32">
        <v>0</v>
      </c>
      <c r="AO32">
        <v>0</v>
      </c>
      <c r="AP32">
        <v>-0.30232419724429416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-0.23997548590439266</v>
      </c>
      <c r="BA32">
        <v>0</v>
      </c>
      <c r="BB32">
        <v>0</v>
      </c>
      <c r="BC32">
        <v>0</v>
      </c>
      <c r="BD32">
        <v>0</v>
      </c>
      <c r="BE32">
        <v>0.3362597299812371</v>
      </c>
      <c r="BF32">
        <v>0</v>
      </c>
      <c r="BG32">
        <v>0</v>
      </c>
    </row>
    <row r="33" spans="1:59" x14ac:dyDescent="0.25">
      <c r="A33" s="2">
        <v>40056</v>
      </c>
      <c r="B33">
        <v>1.2347115622678899</v>
      </c>
      <c r="C33">
        <v>0</v>
      </c>
      <c r="D33">
        <v>0</v>
      </c>
      <c r="E33">
        <v>0</v>
      </c>
      <c r="F33">
        <v>0</v>
      </c>
      <c r="G33">
        <v>0.22580193153734274</v>
      </c>
      <c r="H33">
        <v>0</v>
      </c>
      <c r="I33">
        <v>0</v>
      </c>
      <c r="J33">
        <v>0</v>
      </c>
      <c r="K33">
        <v>-5.9268600252208037E-2</v>
      </c>
      <c r="L33">
        <v>0</v>
      </c>
      <c r="M33">
        <v>8.1214953271031565E-2</v>
      </c>
      <c r="N33">
        <v>0.15743944636678342</v>
      </c>
      <c r="O33">
        <v>0</v>
      </c>
      <c r="P33">
        <v>0</v>
      </c>
      <c r="Q33">
        <v>0</v>
      </c>
      <c r="R33">
        <v>-0.43621399176954823</v>
      </c>
      <c r="S33">
        <v>0</v>
      </c>
      <c r="T33">
        <v>0</v>
      </c>
      <c r="U33">
        <v>0</v>
      </c>
      <c r="V33">
        <v>-0.4359415305245059</v>
      </c>
      <c r="W33">
        <v>0</v>
      </c>
      <c r="X33">
        <v>0</v>
      </c>
      <c r="Y33">
        <v>0</v>
      </c>
      <c r="Z33">
        <v>0</v>
      </c>
      <c r="AA33">
        <v>0</v>
      </c>
      <c r="AB33">
        <v>8.9799616286504458E-2</v>
      </c>
      <c r="AC33">
        <v>1.2499999999999978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1.0146604938274351E-2</v>
      </c>
      <c r="AJ33">
        <v>0</v>
      </c>
      <c r="AK33">
        <v>-4.8150266598238511E-2</v>
      </c>
      <c r="AL33">
        <v>0</v>
      </c>
      <c r="AM33">
        <v>7.278951112726828E-2</v>
      </c>
      <c r="AN33">
        <v>0</v>
      </c>
      <c r="AO33">
        <v>0</v>
      </c>
      <c r="AP33">
        <v>-0.29408088563521162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-0.21362283312904706</v>
      </c>
      <c r="BA33">
        <v>0</v>
      </c>
      <c r="BB33">
        <v>0</v>
      </c>
      <c r="BC33">
        <v>0</v>
      </c>
      <c r="BD33">
        <v>0</v>
      </c>
      <c r="BE33">
        <v>0.35696327498067082</v>
      </c>
      <c r="BF33">
        <v>0</v>
      </c>
      <c r="BG33">
        <v>0</v>
      </c>
    </row>
    <row r="34" spans="1:59" x14ac:dyDescent="0.25">
      <c r="A34" s="2">
        <v>40086</v>
      </c>
      <c r="B34">
        <v>1.2054964100024792</v>
      </c>
      <c r="C34">
        <v>0</v>
      </c>
      <c r="D34">
        <v>0</v>
      </c>
      <c r="E34">
        <v>0</v>
      </c>
      <c r="F34">
        <v>0</v>
      </c>
      <c r="G34">
        <v>0.25522117789423904</v>
      </c>
      <c r="H34">
        <v>0</v>
      </c>
      <c r="I34">
        <v>0</v>
      </c>
      <c r="J34">
        <v>0</v>
      </c>
      <c r="K34">
        <v>1.2610340479184412E-3</v>
      </c>
      <c r="L34">
        <v>0</v>
      </c>
      <c r="M34">
        <v>-2.8224299065417568E-2</v>
      </c>
      <c r="N34">
        <v>0.15224913494809811</v>
      </c>
      <c r="O34">
        <v>0</v>
      </c>
      <c r="P34">
        <v>0</v>
      </c>
      <c r="Q34">
        <v>0</v>
      </c>
      <c r="R34">
        <v>-0.40104751215862422</v>
      </c>
      <c r="S34">
        <v>0</v>
      </c>
      <c r="T34">
        <v>0</v>
      </c>
      <c r="U34">
        <v>0</v>
      </c>
      <c r="V34">
        <v>-0.42489160461755227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0.13893626092517364</v>
      </c>
      <c r="AC34">
        <v>1.2153979238754302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4.9884259259262764E-2</v>
      </c>
      <c r="AJ34">
        <v>0</v>
      </c>
      <c r="AK34">
        <v>-1.383333398628106E-2</v>
      </c>
      <c r="AL34">
        <v>0</v>
      </c>
      <c r="AM34">
        <v>0.1010958032599869</v>
      </c>
      <c r="AN34">
        <v>0</v>
      </c>
      <c r="AO34">
        <v>0</v>
      </c>
      <c r="AP34">
        <v>-0.27405291194238646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-0.1960252144983341</v>
      </c>
      <c r="BA34">
        <v>0.22750000000000026</v>
      </c>
      <c r="BB34">
        <v>0</v>
      </c>
      <c r="BC34">
        <v>0</v>
      </c>
      <c r="BD34">
        <v>0</v>
      </c>
      <c r="BE34">
        <v>0.38029787199390541</v>
      </c>
      <c r="BF34">
        <v>0</v>
      </c>
      <c r="BG34">
        <v>0</v>
      </c>
    </row>
    <row r="35" spans="1:59" x14ac:dyDescent="0.25">
      <c r="A35" s="2">
        <v>40117</v>
      </c>
      <c r="B35">
        <v>1.1990591730626434</v>
      </c>
      <c r="C35">
        <v>0</v>
      </c>
      <c r="D35">
        <v>0</v>
      </c>
      <c r="E35">
        <v>0</v>
      </c>
      <c r="F35">
        <v>0</v>
      </c>
      <c r="G35">
        <v>0.27530471674054668</v>
      </c>
      <c r="H35">
        <v>0</v>
      </c>
      <c r="I35">
        <v>0</v>
      </c>
      <c r="J35">
        <v>0</v>
      </c>
      <c r="K35">
        <v>-4.2875157629257421E-2</v>
      </c>
      <c r="L35">
        <v>0</v>
      </c>
      <c r="M35">
        <v>-1.5046728971960022E-2</v>
      </c>
      <c r="N35">
        <v>8.1314878892735143E-2</v>
      </c>
      <c r="O35">
        <v>0</v>
      </c>
      <c r="P35">
        <v>0</v>
      </c>
      <c r="Q35">
        <v>0</v>
      </c>
      <c r="R35">
        <v>-0.38870183314627871</v>
      </c>
      <c r="S35">
        <v>0</v>
      </c>
      <c r="T35">
        <v>0</v>
      </c>
      <c r="U35">
        <v>0</v>
      </c>
      <c r="V35">
        <v>-0.43197160681290159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0.13387337454700265</v>
      </c>
      <c r="AC35">
        <v>1.6548442906574383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-5.3086419753083258E-2</v>
      </c>
      <c r="AJ35">
        <v>0</v>
      </c>
      <c r="AK35">
        <v>-6.6387074784626132E-2</v>
      </c>
      <c r="AL35">
        <v>0</v>
      </c>
      <c r="AM35">
        <v>9.9339979503636489E-2</v>
      </c>
      <c r="AN35">
        <v>0</v>
      </c>
      <c r="AO35">
        <v>0</v>
      </c>
      <c r="AP35">
        <v>-0.34532631015087967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-0.19085974435300035</v>
      </c>
      <c r="BA35">
        <v>0.76250000000000107</v>
      </c>
      <c r="BB35">
        <v>0</v>
      </c>
      <c r="BC35">
        <v>0</v>
      </c>
      <c r="BD35">
        <v>0</v>
      </c>
      <c r="BE35">
        <v>0.4780229613310738</v>
      </c>
      <c r="BF35">
        <v>0</v>
      </c>
      <c r="BG35">
        <v>0</v>
      </c>
    </row>
    <row r="36" spans="1:59" x14ac:dyDescent="0.25">
      <c r="A36" s="2">
        <v>40147</v>
      </c>
      <c r="B36">
        <v>1.2470908640752696</v>
      </c>
      <c r="C36">
        <v>0</v>
      </c>
      <c r="D36">
        <v>0</v>
      </c>
      <c r="E36">
        <v>0</v>
      </c>
      <c r="F36">
        <v>0</v>
      </c>
      <c r="G36">
        <v>0.27785532617402797</v>
      </c>
      <c r="H36">
        <v>0</v>
      </c>
      <c r="I36">
        <v>0</v>
      </c>
      <c r="J36">
        <v>0</v>
      </c>
      <c r="K36">
        <v>3.4047919293819673E-2</v>
      </c>
      <c r="L36">
        <v>0</v>
      </c>
      <c r="M36">
        <v>-3.5794392523362362E-2</v>
      </c>
      <c r="N36">
        <v>5.8823529411765829E-2</v>
      </c>
      <c r="O36">
        <v>0</v>
      </c>
      <c r="P36">
        <v>0</v>
      </c>
      <c r="Q36">
        <v>0</v>
      </c>
      <c r="R36">
        <v>-0.27572016460905457</v>
      </c>
      <c r="S36">
        <v>0</v>
      </c>
      <c r="T36">
        <v>0</v>
      </c>
      <c r="U36">
        <v>0</v>
      </c>
      <c r="V36">
        <v>-0.4572364208485028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0.11372841611596374</v>
      </c>
      <c r="AC36">
        <v>1.1202422145328708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1.184413580247301E-2</v>
      </c>
      <c r="AJ36">
        <v>0</v>
      </c>
      <c r="AK36">
        <v>5.5787787019145885E-3</v>
      </c>
      <c r="AL36">
        <v>0</v>
      </c>
      <c r="AM36">
        <v>0.10966416051096695</v>
      </c>
      <c r="AN36">
        <v>0</v>
      </c>
      <c r="AO36">
        <v>0</v>
      </c>
      <c r="AP36">
        <v>-0.28074874267178573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-0.15146209070215078</v>
      </c>
      <c r="BA36">
        <v>0.70625000000000138</v>
      </c>
      <c r="BB36">
        <v>0</v>
      </c>
      <c r="BC36">
        <v>0</v>
      </c>
      <c r="BD36">
        <v>0</v>
      </c>
      <c r="BE36">
        <v>0.55044608643629633</v>
      </c>
      <c r="BF36">
        <v>0</v>
      </c>
      <c r="BG36">
        <v>0</v>
      </c>
    </row>
    <row r="37" spans="1:59" x14ac:dyDescent="0.25">
      <c r="A37" s="2">
        <v>40178</v>
      </c>
      <c r="B37">
        <v>1.4174300569447915</v>
      </c>
      <c r="C37">
        <v>0</v>
      </c>
      <c r="D37">
        <v>0</v>
      </c>
      <c r="E37">
        <v>0</v>
      </c>
      <c r="F37">
        <v>0</v>
      </c>
      <c r="G37">
        <v>0.30724599867603053</v>
      </c>
      <c r="H37">
        <v>0</v>
      </c>
      <c r="I37">
        <v>0</v>
      </c>
      <c r="J37">
        <v>0</v>
      </c>
      <c r="K37">
        <v>9.2055485498107936E-2</v>
      </c>
      <c r="L37">
        <v>0</v>
      </c>
      <c r="M37">
        <v>-6.1308411214951231E-2</v>
      </c>
      <c r="N37">
        <v>4.4982698961939072E-2</v>
      </c>
      <c r="O37">
        <v>0</v>
      </c>
      <c r="P37">
        <v>0</v>
      </c>
      <c r="Q37">
        <v>0</v>
      </c>
      <c r="R37">
        <v>-0.28582117471006496</v>
      </c>
      <c r="S37">
        <v>0</v>
      </c>
      <c r="T37">
        <v>0</v>
      </c>
      <c r="U37">
        <v>0</v>
      </c>
      <c r="V37">
        <v>-0.46632882676862852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0.23465146024301498</v>
      </c>
      <c r="AC37">
        <v>0.87543252595155607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5.5979938271609075E-2</v>
      </c>
      <c r="AJ37">
        <v>0</v>
      </c>
      <c r="AK37">
        <v>3.9621473596783696E-2</v>
      </c>
      <c r="AL37">
        <v>0</v>
      </c>
      <c r="AM37">
        <v>0.11678147555009466</v>
      </c>
      <c r="AN37">
        <v>0</v>
      </c>
      <c r="AO37">
        <v>0</v>
      </c>
      <c r="AP37">
        <v>-0.29747343987144081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-0.1346524251444553</v>
      </c>
      <c r="BA37">
        <v>0.72187500000000138</v>
      </c>
      <c r="BB37">
        <v>0</v>
      </c>
      <c r="BC37">
        <v>0</v>
      </c>
      <c r="BD37">
        <v>0</v>
      </c>
      <c r="BE37">
        <v>0.48300168167631741</v>
      </c>
      <c r="BF37">
        <v>0</v>
      </c>
      <c r="BG37">
        <v>0</v>
      </c>
    </row>
    <row r="38" spans="1:59" x14ac:dyDescent="0.25">
      <c r="A38" s="2">
        <v>40209</v>
      </c>
      <c r="B38">
        <v>1.2961128992324857</v>
      </c>
      <c r="C38">
        <v>0</v>
      </c>
      <c r="D38">
        <v>0</v>
      </c>
      <c r="E38">
        <v>0</v>
      </c>
      <c r="F38">
        <v>0</v>
      </c>
      <c r="G38">
        <v>0.31770396666543887</v>
      </c>
      <c r="H38">
        <v>0</v>
      </c>
      <c r="I38">
        <v>0</v>
      </c>
      <c r="J38">
        <v>0</v>
      </c>
      <c r="K38">
        <v>-2.5220680958386477E-2</v>
      </c>
      <c r="L38">
        <v>0</v>
      </c>
      <c r="M38">
        <v>-7.1682242990652623E-2</v>
      </c>
      <c r="N38">
        <v>-2.595155709342456E-2</v>
      </c>
      <c r="O38">
        <v>0</v>
      </c>
      <c r="P38">
        <v>0</v>
      </c>
      <c r="Q38">
        <v>0</v>
      </c>
      <c r="R38">
        <v>-0.27384960718294193</v>
      </c>
      <c r="S38">
        <v>0</v>
      </c>
      <c r="T38">
        <v>0</v>
      </c>
      <c r="U38">
        <v>0</v>
      </c>
      <c r="V38">
        <v>-0.46896324619015439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0.30952888509912202</v>
      </c>
      <c r="AC38">
        <v>1.1297577854671279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7.4691358024695953E-2</v>
      </c>
      <c r="AJ38">
        <v>0</v>
      </c>
      <c r="AK38">
        <v>3.9447136762348789E-2</v>
      </c>
      <c r="AL38">
        <v>0</v>
      </c>
      <c r="AM38">
        <v>0.11611393345263399</v>
      </c>
      <c r="AN38">
        <v>0</v>
      </c>
      <c r="AO38">
        <v>0</v>
      </c>
      <c r="AP38">
        <v>-0.31119245305478782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-0.13229931086122881</v>
      </c>
      <c r="BA38">
        <v>0.83125000000000226</v>
      </c>
      <c r="BB38">
        <v>0</v>
      </c>
      <c r="BC38">
        <v>0</v>
      </c>
      <c r="BD38">
        <v>0</v>
      </c>
      <c r="BE38">
        <v>0.62373854126739992</v>
      </c>
      <c r="BF38">
        <v>0</v>
      </c>
      <c r="BG38">
        <v>0</v>
      </c>
    </row>
    <row r="39" spans="1:59" x14ac:dyDescent="0.25">
      <c r="A39" s="2">
        <v>40237</v>
      </c>
      <c r="B39">
        <v>1.4520921020054502</v>
      </c>
      <c r="C39">
        <v>0</v>
      </c>
      <c r="D39">
        <v>0</v>
      </c>
      <c r="E39">
        <v>0</v>
      </c>
      <c r="F39">
        <v>0</v>
      </c>
      <c r="G39">
        <v>0.3256101904654316</v>
      </c>
      <c r="H39">
        <v>0</v>
      </c>
      <c r="I39">
        <v>0</v>
      </c>
      <c r="J39">
        <v>0</v>
      </c>
      <c r="K39">
        <v>4.2875157629254534E-2</v>
      </c>
      <c r="L39">
        <v>0</v>
      </c>
      <c r="M39">
        <v>-3.5794392523362695E-2</v>
      </c>
      <c r="N39">
        <v>5.1903114186866439E-3</v>
      </c>
      <c r="O39">
        <v>0</v>
      </c>
      <c r="P39">
        <v>0</v>
      </c>
      <c r="Q39">
        <v>0</v>
      </c>
      <c r="R39">
        <v>-0.24728769173213783</v>
      </c>
      <c r="S39">
        <v>0</v>
      </c>
      <c r="T39">
        <v>0</v>
      </c>
      <c r="U39">
        <v>0</v>
      </c>
      <c r="V39">
        <v>-0.39862058871956285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0.32242592197825304</v>
      </c>
      <c r="AC39">
        <v>0.68685121107266478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0.10204475308642413</v>
      </c>
      <c r="AJ39">
        <v>0</v>
      </c>
      <c r="AK39">
        <v>8.0461346193775762E-2</v>
      </c>
      <c r="AL39">
        <v>0</v>
      </c>
      <c r="AM39">
        <v>0.12266947890974311</v>
      </c>
      <c r="AN39">
        <v>0</v>
      </c>
      <c r="AO39">
        <v>0</v>
      </c>
      <c r="AP39">
        <v>-0.29613427372556145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-0.1310561866647546</v>
      </c>
      <c r="BA39">
        <v>1.1843750000000033</v>
      </c>
      <c r="BB39">
        <v>0</v>
      </c>
      <c r="BC39">
        <v>0</v>
      </c>
      <c r="BD39">
        <v>0</v>
      </c>
      <c r="BE39">
        <v>0.64549663772038324</v>
      </c>
      <c r="BF39">
        <v>0</v>
      </c>
      <c r="BG39">
        <v>0</v>
      </c>
    </row>
    <row r="40" spans="1:59" x14ac:dyDescent="0.25">
      <c r="A40" s="2">
        <v>40268</v>
      </c>
      <c r="B40">
        <v>1.6922505570685842</v>
      </c>
      <c r="C40">
        <v>0</v>
      </c>
      <c r="D40">
        <v>0</v>
      </c>
      <c r="E40">
        <v>0</v>
      </c>
      <c r="F40">
        <v>0</v>
      </c>
      <c r="G40">
        <v>0.33621507198915501</v>
      </c>
      <c r="H40">
        <v>0</v>
      </c>
      <c r="I40">
        <v>0</v>
      </c>
      <c r="J40">
        <v>0</v>
      </c>
      <c r="K40">
        <v>0.13114754098360581</v>
      </c>
      <c r="L40">
        <v>0</v>
      </c>
      <c r="M40">
        <v>-9.7102803738316146E-2</v>
      </c>
      <c r="N40">
        <v>-3.1141868512109538E-2</v>
      </c>
      <c r="O40">
        <v>0</v>
      </c>
      <c r="P40">
        <v>0</v>
      </c>
      <c r="Q40">
        <v>0</v>
      </c>
      <c r="R40">
        <v>-0.21586232697343999</v>
      </c>
      <c r="S40">
        <v>0</v>
      </c>
      <c r="T40">
        <v>0</v>
      </c>
      <c r="U40">
        <v>0</v>
      </c>
      <c r="V40">
        <v>-0.37011763414500298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0.29913664463866607</v>
      </c>
      <c r="AC40">
        <v>0.52162629757785495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0.1735339506172886</v>
      </c>
      <c r="AJ40">
        <v>0</v>
      </c>
      <c r="AK40">
        <v>0.14695028070189142</v>
      </c>
      <c r="AL40">
        <v>0</v>
      </c>
      <c r="AM40">
        <v>0.13597409435221763</v>
      </c>
      <c r="AN40">
        <v>0</v>
      </c>
      <c r="AO40">
        <v>0</v>
      </c>
      <c r="AP40">
        <v>-0.27316013451180032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-9.0654650279352933E-2</v>
      </c>
      <c r="BA40">
        <v>1.1812500000000035</v>
      </c>
      <c r="BB40">
        <v>0</v>
      </c>
      <c r="BC40">
        <v>0</v>
      </c>
      <c r="BD40">
        <v>0</v>
      </c>
      <c r="BE40">
        <v>0.65142042561617663</v>
      </c>
      <c r="BF40">
        <v>0</v>
      </c>
      <c r="BG40">
        <v>0</v>
      </c>
    </row>
    <row r="41" spans="1:59" x14ac:dyDescent="0.25">
      <c r="A41" s="2">
        <v>40298</v>
      </c>
      <c r="B41">
        <v>1.7175043327556372</v>
      </c>
      <c r="C41">
        <v>0</v>
      </c>
      <c r="D41">
        <v>0</v>
      </c>
      <c r="E41">
        <v>0</v>
      </c>
      <c r="F41">
        <v>0</v>
      </c>
      <c r="G41">
        <v>0.37496530907684034</v>
      </c>
      <c r="H41">
        <v>0</v>
      </c>
      <c r="I41">
        <v>0</v>
      </c>
      <c r="J41">
        <v>0</v>
      </c>
      <c r="K41">
        <v>0.19419924337957095</v>
      </c>
      <c r="L41">
        <v>0</v>
      </c>
      <c r="M41">
        <v>-7.5420560747661902E-2</v>
      </c>
      <c r="N41">
        <v>-5.8823529411763276E-2</v>
      </c>
      <c r="O41">
        <v>0</v>
      </c>
      <c r="P41">
        <v>0</v>
      </c>
      <c r="Q41">
        <v>0</v>
      </c>
      <c r="R41">
        <v>-0.15001870557426356</v>
      </c>
      <c r="S41">
        <v>0</v>
      </c>
      <c r="T41">
        <v>0</v>
      </c>
      <c r="U41">
        <v>0</v>
      </c>
      <c r="V41">
        <v>-0.40795082417079842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0.20672564485184064</v>
      </c>
      <c r="AC41">
        <v>0.90743944636678209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0.1772762345679062</v>
      </c>
      <c r="AJ41">
        <v>0</v>
      </c>
      <c r="AK41">
        <v>0.17817616247409407</v>
      </c>
      <c r="AL41">
        <v>0</v>
      </c>
      <c r="AM41">
        <v>0.15209774320627023</v>
      </c>
      <c r="AN41">
        <v>0</v>
      </c>
      <c r="AO41">
        <v>0</v>
      </c>
      <c r="AP41">
        <v>-0.29048001666517953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-9.6781476676259692E-2</v>
      </c>
      <c r="BA41">
        <v>1.228875000000003</v>
      </c>
      <c r="BB41">
        <v>0</v>
      </c>
      <c r="BC41">
        <v>0</v>
      </c>
      <c r="BD41">
        <v>0</v>
      </c>
      <c r="BE41">
        <v>0.74109255472713498</v>
      </c>
      <c r="BF41">
        <v>0</v>
      </c>
      <c r="BG41">
        <v>0</v>
      </c>
    </row>
    <row r="42" spans="1:59" x14ac:dyDescent="0.25">
      <c r="A42" s="2">
        <v>40329</v>
      </c>
      <c r="B42">
        <v>1.4773458776925024</v>
      </c>
      <c r="C42">
        <v>0</v>
      </c>
      <c r="D42">
        <v>0</v>
      </c>
      <c r="E42">
        <v>0</v>
      </c>
      <c r="F42">
        <v>0</v>
      </c>
      <c r="G42">
        <v>0.36259062129514885</v>
      </c>
      <c r="H42">
        <v>0</v>
      </c>
      <c r="I42">
        <v>0</v>
      </c>
      <c r="J42">
        <v>0</v>
      </c>
      <c r="K42">
        <v>0.17654476670870034</v>
      </c>
      <c r="L42">
        <v>0</v>
      </c>
      <c r="M42">
        <v>-0.12542056074766206</v>
      </c>
      <c r="N42">
        <v>-0.11937716262975684</v>
      </c>
      <c r="O42">
        <v>0</v>
      </c>
      <c r="P42">
        <v>0</v>
      </c>
      <c r="Q42">
        <v>0</v>
      </c>
      <c r="R42">
        <v>-0.2323232323232346</v>
      </c>
      <c r="S42">
        <v>0</v>
      </c>
      <c r="T42">
        <v>0</v>
      </c>
      <c r="U42">
        <v>0</v>
      </c>
      <c r="V42">
        <v>-0.4435337809407075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0.16345128970368417</v>
      </c>
      <c r="AC42">
        <v>1.7742214532871983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4.8225308641979936E-2</v>
      </c>
      <c r="AJ42">
        <v>0</v>
      </c>
      <c r="AK42">
        <v>8.6263432751034985E-2</v>
      </c>
      <c r="AL42">
        <v>0</v>
      </c>
      <c r="AM42">
        <v>0.14607576132706135</v>
      </c>
      <c r="AN42">
        <v>0</v>
      </c>
      <c r="AO42">
        <v>0</v>
      </c>
      <c r="AP42">
        <v>-0.29217629378329368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-0.17838370071622434</v>
      </c>
      <c r="BA42">
        <v>0.92875000000000307</v>
      </c>
      <c r="BB42">
        <v>0</v>
      </c>
      <c r="BC42">
        <v>0</v>
      </c>
      <c r="BD42">
        <v>0</v>
      </c>
      <c r="BE42">
        <v>0.7294272346104631</v>
      </c>
      <c r="BF42">
        <v>0</v>
      </c>
      <c r="BG42">
        <v>0</v>
      </c>
    </row>
    <row r="43" spans="1:59" x14ac:dyDescent="0.25">
      <c r="A43" s="2">
        <v>40359</v>
      </c>
      <c r="B43">
        <v>1.5347858380787365</v>
      </c>
      <c r="C43">
        <v>0</v>
      </c>
      <c r="D43">
        <v>0</v>
      </c>
      <c r="E43">
        <v>0</v>
      </c>
      <c r="F43">
        <v>0</v>
      </c>
      <c r="G43">
        <v>0.35577766818867285</v>
      </c>
      <c r="H43">
        <v>0</v>
      </c>
      <c r="I43">
        <v>0</v>
      </c>
      <c r="J43">
        <v>0</v>
      </c>
      <c r="K43">
        <v>0.11475409836065431</v>
      </c>
      <c r="L43">
        <v>0</v>
      </c>
      <c r="M43">
        <v>-6.9719626168222804E-2</v>
      </c>
      <c r="N43">
        <v>-0.12802768166089895</v>
      </c>
      <c r="O43">
        <v>0</v>
      </c>
      <c r="P43">
        <v>0</v>
      </c>
      <c r="Q43">
        <v>0</v>
      </c>
      <c r="R43">
        <v>-0.31425364758698326</v>
      </c>
      <c r="S43">
        <v>0</v>
      </c>
      <c r="T43">
        <v>0</v>
      </c>
      <c r="U43">
        <v>0</v>
      </c>
      <c r="V43">
        <v>-0.42452571303122921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0.21450650181197628</v>
      </c>
      <c r="AC43">
        <v>1.9878892733564011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3.4722222222671739E-4</v>
      </c>
      <c r="AJ43">
        <v>0</v>
      </c>
      <c r="AK43">
        <v>4.8949473659467113E-2</v>
      </c>
      <c r="AL43">
        <v>0</v>
      </c>
      <c r="AM43">
        <v>0.174744814012743</v>
      </c>
      <c r="AN43">
        <v>0</v>
      </c>
      <c r="AO43">
        <v>0</v>
      </c>
      <c r="AP43">
        <v>-0.26673213701157705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-0.19356757483029829</v>
      </c>
      <c r="BA43">
        <v>0.79743750000000357</v>
      </c>
      <c r="BB43">
        <v>0</v>
      </c>
      <c r="BC43">
        <v>0</v>
      </c>
      <c r="BD43">
        <v>0</v>
      </c>
      <c r="BE43">
        <v>0.8361328949859288</v>
      </c>
      <c r="BF43">
        <v>0</v>
      </c>
      <c r="BG43">
        <v>0</v>
      </c>
    </row>
    <row r="44" spans="1:59" x14ac:dyDescent="0.25">
      <c r="A44" s="2">
        <v>40390</v>
      </c>
      <c r="B44">
        <v>1.6917553849962901</v>
      </c>
      <c r="C44">
        <v>0</v>
      </c>
      <c r="D44">
        <v>0</v>
      </c>
      <c r="E44">
        <v>0</v>
      </c>
      <c r="F44">
        <v>0</v>
      </c>
      <c r="G44">
        <v>0.36255655652961605</v>
      </c>
      <c r="H44">
        <v>0</v>
      </c>
      <c r="I44">
        <v>0</v>
      </c>
      <c r="J44">
        <v>0</v>
      </c>
      <c r="K44">
        <v>0.2030264817150047</v>
      </c>
      <c r="L44">
        <v>0</v>
      </c>
      <c r="M44">
        <v>3.8785046728973427E-2</v>
      </c>
      <c r="N44">
        <v>1.7474048442907675E-2</v>
      </c>
      <c r="O44">
        <v>0</v>
      </c>
      <c r="P44">
        <v>0</v>
      </c>
      <c r="Q44">
        <v>0</v>
      </c>
      <c r="R44">
        <v>-0.29442573887018564</v>
      </c>
      <c r="S44">
        <v>0</v>
      </c>
      <c r="T44">
        <v>0</v>
      </c>
      <c r="U44">
        <v>0</v>
      </c>
      <c r="V44">
        <v>-0.45233347359177511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0.18087827755275621</v>
      </c>
      <c r="AC44">
        <v>1.0328719723183397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4.5640432098770667E-2</v>
      </c>
      <c r="AJ44">
        <v>0</v>
      </c>
      <c r="AK44">
        <v>2.9112292509784421E-2</v>
      </c>
      <c r="AL44">
        <v>0</v>
      </c>
      <c r="AM44">
        <v>0.2114087018656694</v>
      </c>
      <c r="AN44">
        <v>0</v>
      </c>
      <c r="AO44">
        <v>0</v>
      </c>
      <c r="AP44">
        <v>-0.28946820224384795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-0.15298844927397204</v>
      </c>
      <c r="BA44">
        <v>0.81625000000000392</v>
      </c>
      <c r="BB44">
        <v>0</v>
      </c>
      <c r="BC44">
        <v>0</v>
      </c>
      <c r="BD44">
        <v>0</v>
      </c>
      <c r="BE44">
        <v>0.93069373907770436</v>
      </c>
      <c r="BF44">
        <v>0</v>
      </c>
      <c r="BG44">
        <v>0</v>
      </c>
    </row>
    <row r="45" spans="1:59" x14ac:dyDescent="0.25">
      <c r="A45" s="2">
        <v>40421</v>
      </c>
      <c r="B45">
        <v>1.7962366922505608</v>
      </c>
      <c r="C45">
        <v>0</v>
      </c>
      <c r="D45">
        <v>0</v>
      </c>
      <c r="E45">
        <v>0</v>
      </c>
      <c r="F45">
        <v>0</v>
      </c>
      <c r="G45">
        <v>0.37754467865144159</v>
      </c>
      <c r="H45">
        <v>0</v>
      </c>
      <c r="I45">
        <v>0</v>
      </c>
      <c r="J45">
        <v>0</v>
      </c>
      <c r="K45">
        <v>0.1904161412358123</v>
      </c>
      <c r="L45">
        <v>0</v>
      </c>
      <c r="M45">
        <v>-4.7570093457943052E-2</v>
      </c>
      <c r="N45">
        <v>-7.0934256055354972E-3</v>
      </c>
      <c r="O45">
        <v>0</v>
      </c>
      <c r="P45">
        <v>0</v>
      </c>
      <c r="Q45">
        <v>0</v>
      </c>
      <c r="R45">
        <v>-0.31537598204265105</v>
      </c>
      <c r="S45">
        <v>0</v>
      </c>
      <c r="T45">
        <v>0</v>
      </c>
      <c r="U45">
        <v>0</v>
      </c>
      <c r="V45">
        <v>-0.44700975101077611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0.17826689405243612</v>
      </c>
      <c r="AC45">
        <v>1.2534602076124579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1.4043209876547946E-2</v>
      </c>
      <c r="AJ45">
        <v>0</v>
      </c>
      <c r="AK45">
        <v>-5.9854340595409061E-2</v>
      </c>
      <c r="AL45">
        <v>0</v>
      </c>
      <c r="AM45">
        <v>0.2341450916851826</v>
      </c>
      <c r="AN45">
        <v>0</v>
      </c>
      <c r="AO45">
        <v>0</v>
      </c>
      <c r="AP45">
        <v>-0.26911287682647467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-0.18175789496379602</v>
      </c>
      <c r="BA45">
        <v>0.85375000000000356</v>
      </c>
      <c r="BB45">
        <v>0</v>
      </c>
      <c r="BC45">
        <v>0</v>
      </c>
      <c r="BD45">
        <v>0</v>
      </c>
      <c r="BE45">
        <v>0.96409474076374879</v>
      </c>
      <c r="BF45">
        <v>0</v>
      </c>
      <c r="BG45">
        <v>0</v>
      </c>
    </row>
    <row r="46" spans="1:59" x14ac:dyDescent="0.25">
      <c r="A46" s="2">
        <v>40451</v>
      </c>
      <c r="B46">
        <v>2.186927457291413</v>
      </c>
      <c r="C46">
        <v>0</v>
      </c>
      <c r="D46">
        <v>0</v>
      </c>
      <c r="E46">
        <v>0</v>
      </c>
      <c r="F46">
        <v>0</v>
      </c>
      <c r="G46">
        <v>0.42300365304693899</v>
      </c>
      <c r="H46">
        <v>0</v>
      </c>
      <c r="I46">
        <v>0</v>
      </c>
      <c r="J46">
        <v>0</v>
      </c>
      <c r="K46">
        <v>0.39344262295081922</v>
      </c>
      <c r="L46">
        <v>0</v>
      </c>
      <c r="M46">
        <v>2.3364485981316463E-3</v>
      </c>
      <c r="N46">
        <v>6.6608996539793797E-2</v>
      </c>
      <c r="O46">
        <v>0</v>
      </c>
      <c r="P46">
        <v>0</v>
      </c>
      <c r="Q46">
        <v>0</v>
      </c>
      <c r="R46">
        <v>-0.31799476243920921</v>
      </c>
      <c r="S46">
        <v>0</v>
      </c>
      <c r="T46">
        <v>0</v>
      </c>
      <c r="U46">
        <v>0</v>
      </c>
      <c r="V46">
        <v>-0.47995828835915966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0.24173950117245369</v>
      </c>
      <c r="AC46">
        <v>1.0501730103806239</v>
      </c>
      <c r="AD46">
        <v>0</v>
      </c>
      <c r="AE46">
        <v>1.7060916893447686E-2</v>
      </c>
      <c r="AF46">
        <v>0</v>
      </c>
      <c r="AG46">
        <v>0</v>
      </c>
      <c r="AH46">
        <v>2.7802251590797633E-2</v>
      </c>
      <c r="AI46">
        <v>0.11940586419753618</v>
      </c>
      <c r="AJ46">
        <v>0</v>
      </c>
      <c r="AK46">
        <v>5.8179531680333074E-2</v>
      </c>
      <c r="AL46">
        <v>0</v>
      </c>
      <c r="AM46">
        <v>0.24142694174833257</v>
      </c>
      <c r="AN46">
        <v>0</v>
      </c>
      <c r="AO46">
        <v>0</v>
      </c>
      <c r="AP46">
        <v>-0.3025622712257845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-0.10264191931678002</v>
      </c>
      <c r="BA46">
        <v>1.0038125000000027</v>
      </c>
      <c r="BB46">
        <v>0</v>
      </c>
      <c r="BC46">
        <v>0</v>
      </c>
      <c r="BD46">
        <v>0</v>
      </c>
      <c r="BE46">
        <v>1.040105207231306</v>
      </c>
      <c r="BF46">
        <v>0</v>
      </c>
      <c r="BG46">
        <v>0</v>
      </c>
    </row>
    <row r="47" spans="1:59" x14ac:dyDescent="0.25">
      <c r="A47" s="2">
        <v>40482</v>
      </c>
      <c r="B47">
        <v>2.3820252537756907</v>
      </c>
      <c r="C47">
        <v>0</v>
      </c>
      <c r="D47">
        <v>0</v>
      </c>
      <c r="E47">
        <v>0</v>
      </c>
      <c r="F47">
        <v>0</v>
      </c>
      <c r="G47">
        <v>0.44861771880178392</v>
      </c>
      <c r="H47">
        <v>0</v>
      </c>
      <c r="I47">
        <v>0</v>
      </c>
      <c r="J47">
        <v>0</v>
      </c>
      <c r="K47">
        <v>0.47414880201765408</v>
      </c>
      <c r="L47">
        <v>0</v>
      </c>
      <c r="M47">
        <v>-6.971962616822347E-2</v>
      </c>
      <c r="N47">
        <v>9.6539792387544621E-2</v>
      </c>
      <c r="O47">
        <v>0</v>
      </c>
      <c r="P47">
        <v>0</v>
      </c>
      <c r="Q47">
        <v>0</v>
      </c>
      <c r="R47">
        <v>-0.27272727272727493</v>
      </c>
      <c r="S47">
        <v>0</v>
      </c>
      <c r="T47">
        <v>0</v>
      </c>
      <c r="U47">
        <v>0</v>
      </c>
      <c r="V47">
        <v>-0.50586341267082624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0.3085163078234876</v>
      </c>
      <c r="AC47">
        <v>0.83391003460207758</v>
      </c>
      <c r="AD47">
        <v>0</v>
      </c>
      <c r="AE47">
        <v>5.5474146954154868E-2</v>
      </c>
      <c r="AF47">
        <v>0</v>
      </c>
      <c r="AG47">
        <v>0</v>
      </c>
      <c r="AH47">
        <v>9.8776309348996394E-2</v>
      </c>
      <c r="AI47">
        <v>0.15910493827161032</v>
      </c>
      <c r="AJ47">
        <v>0</v>
      </c>
      <c r="AK47">
        <v>6.4071724916063388E-2</v>
      </c>
      <c r="AL47">
        <v>0</v>
      </c>
      <c r="AM47">
        <v>0.24119580921458716</v>
      </c>
      <c r="AN47">
        <v>0</v>
      </c>
      <c r="AO47">
        <v>0</v>
      </c>
      <c r="AP47">
        <v>-0.29878284676963496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-6.5792166349875836E-2</v>
      </c>
      <c r="BA47">
        <v>0.90375000000000227</v>
      </c>
      <c r="BB47">
        <v>0</v>
      </c>
      <c r="BC47">
        <v>0</v>
      </c>
      <c r="BD47">
        <v>0</v>
      </c>
      <c r="BE47">
        <v>1.0770311114821927</v>
      </c>
      <c r="BF47">
        <v>0</v>
      </c>
      <c r="BG47">
        <v>0</v>
      </c>
    </row>
    <row r="48" spans="1:59" x14ac:dyDescent="0.25">
      <c r="A48" s="2">
        <v>40512</v>
      </c>
      <c r="B48">
        <v>2.7855904926962141</v>
      </c>
      <c r="C48">
        <v>0</v>
      </c>
      <c r="D48">
        <v>0</v>
      </c>
      <c r="E48">
        <v>0</v>
      </c>
      <c r="F48">
        <v>0</v>
      </c>
      <c r="G48">
        <v>0.48193592633422488</v>
      </c>
      <c r="H48">
        <v>0</v>
      </c>
      <c r="I48">
        <v>0</v>
      </c>
      <c r="J48">
        <v>0</v>
      </c>
      <c r="K48">
        <v>0.56116015132408625</v>
      </c>
      <c r="L48">
        <v>0</v>
      </c>
      <c r="M48">
        <v>-0.11476635514018607</v>
      </c>
      <c r="N48">
        <v>-4.5674740484427767E-2</v>
      </c>
      <c r="O48">
        <v>0</v>
      </c>
      <c r="P48">
        <v>0</v>
      </c>
      <c r="Q48">
        <v>0</v>
      </c>
      <c r="R48">
        <v>-0.29592218481107579</v>
      </c>
      <c r="S48">
        <v>0</v>
      </c>
      <c r="T48">
        <v>0</v>
      </c>
      <c r="U48">
        <v>0</v>
      </c>
      <c r="V48">
        <v>-0.47084758785971759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0.23454487316136796</v>
      </c>
      <c r="AC48">
        <v>1.0363321799307967</v>
      </c>
      <c r="AD48">
        <v>0</v>
      </c>
      <c r="AE48">
        <v>5.5474146954154868E-2</v>
      </c>
      <c r="AF48">
        <v>0</v>
      </c>
      <c r="AG48">
        <v>0</v>
      </c>
      <c r="AH48">
        <v>9.4468918257464951E-2</v>
      </c>
      <c r="AI48">
        <v>0.13445216049383268</v>
      </c>
      <c r="AJ48">
        <v>0</v>
      </c>
      <c r="AK48">
        <v>6.4071724916063388E-2</v>
      </c>
      <c r="AL48">
        <v>0</v>
      </c>
      <c r="AM48">
        <v>0.22454016378286346</v>
      </c>
      <c r="AN48">
        <v>0</v>
      </c>
      <c r="AO48">
        <v>0</v>
      </c>
      <c r="AP48">
        <v>-0.30738326935095173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-9.758062794542266E-2</v>
      </c>
      <c r="BA48">
        <v>0.77556250000000237</v>
      </c>
      <c r="BB48">
        <v>0</v>
      </c>
      <c r="BC48">
        <v>0</v>
      </c>
      <c r="BD48">
        <v>0</v>
      </c>
      <c r="BE48">
        <v>1.036321301697142</v>
      </c>
      <c r="BF48">
        <v>0</v>
      </c>
      <c r="BG48">
        <v>0</v>
      </c>
    </row>
    <row r="49" spans="1:59" x14ac:dyDescent="0.25">
      <c r="A49" s="2">
        <v>40543</v>
      </c>
      <c r="B49">
        <v>2.9886110423372152</v>
      </c>
      <c r="C49">
        <v>0</v>
      </c>
      <c r="D49">
        <v>0</v>
      </c>
      <c r="E49">
        <v>0</v>
      </c>
      <c r="F49">
        <v>0</v>
      </c>
      <c r="G49">
        <v>0.49082754189223032</v>
      </c>
      <c r="H49">
        <v>0</v>
      </c>
      <c r="I49">
        <v>0</v>
      </c>
      <c r="J49">
        <v>0</v>
      </c>
      <c r="K49">
        <v>0.59016393442622883</v>
      </c>
      <c r="L49">
        <v>0</v>
      </c>
      <c r="M49">
        <v>-0.10140186915887817</v>
      </c>
      <c r="N49">
        <v>-1.5743944636676721E-2</v>
      </c>
      <c r="O49">
        <v>0</v>
      </c>
      <c r="P49">
        <v>0</v>
      </c>
      <c r="Q49">
        <v>0</v>
      </c>
      <c r="R49">
        <v>-0.29143284698840477</v>
      </c>
      <c r="S49">
        <v>0</v>
      </c>
      <c r="T49">
        <v>0</v>
      </c>
      <c r="U49">
        <v>0</v>
      </c>
      <c r="V49">
        <v>-0.47229285962569367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0.28821146876998038</v>
      </c>
      <c r="AC49">
        <v>0.53546712802768237</v>
      </c>
      <c r="AD49">
        <v>0</v>
      </c>
      <c r="AE49">
        <v>0.12560184216035175</v>
      </c>
      <c r="AF49">
        <v>0</v>
      </c>
      <c r="AG49">
        <v>0</v>
      </c>
      <c r="AH49">
        <v>0.15017131669114092</v>
      </c>
      <c r="AI49">
        <v>0.21257716049383357</v>
      </c>
      <c r="AJ49">
        <v>0</v>
      </c>
      <c r="AK49">
        <v>0.15762008673747152</v>
      </c>
      <c r="AL49">
        <v>0</v>
      </c>
      <c r="AM49">
        <v>0.21098326130355582</v>
      </c>
      <c r="AN49">
        <v>0</v>
      </c>
      <c r="AO49">
        <v>0</v>
      </c>
      <c r="AP49">
        <v>-0.31047823111031869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-5.3449718970600135E-2</v>
      </c>
      <c r="BA49">
        <v>0.69431250000000322</v>
      </c>
      <c r="BB49">
        <v>0</v>
      </c>
      <c r="BC49">
        <v>0</v>
      </c>
      <c r="BD49">
        <v>0</v>
      </c>
      <c r="BE49">
        <v>1.0082200677337214</v>
      </c>
      <c r="BF49">
        <v>0</v>
      </c>
      <c r="BG49">
        <v>0</v>
      </c>
    </row>
    <row r="50" spans="1:59" x14ac:dyDescent="0.25">
      <c r="A50" s="2">
        <v>40574</v>
      </c>
      <c r="B50">
        <v>3.1505323099777209</v>
      </c>
      <c r="C50">
        <v>0</v>
      </c>
      <c r="D50">
        <v>0</v>
      </c>
      <c r="E50">
        <v>0</v>
      </c>
      <c r="F50">
        <v>0</v>
      </c>
      <c r="G50">
        <v>0.51766243764629039</v>
      </c>
      <c r="H50">
        <v>0</v>
      </c>
      <c r="I50">
        <v>0</v>
      </c>
      <c r="J50">
        <v>0</v>
      </c>
      <c r="K50">
        <v>0.63430012610340492</v>
      </c>
      <c r="L50">
        <v>0</v>
      </c>
      <c r="M50">
        <v>-7.4579439252336011E-2</v>
      </c>
      <c r="N50">
        <v>-8.8235294117637864E-3</v>
      </c>
      <c r="O50">
        <v>0</v>
      </c>
      <c r="P50">
        <v>0</v>
      </c>
      <c r="Q50">
        <v>0</v>
      </c>
      <c r="R50">
        <v>-0.27235316124205222</v>
      </c>
      <c r="S50">
        <v>0</v>
      </c>
      <c r="T50">
        <v>0</v>
      </c>
      <c r="U50">
        <v>0</v>
      </c>
      <c r="V50">
        <v>-0.47269534037064853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0.206086122361965</v>
      </c>
      <c r="AC50">
        <v>0.68944636678200855</v>
      </c>
      <c r="AD50">
        <v>0</v>
      </c>
      <c r="AE50">
        <v>0.14904751936361693</v>
      </c>
      <c r="AF50">
        <v>0</v>
      </c>
      <c r="AG50">
        <v>0</v>
      </c>
      <c r="AH50">
        <v>0.17640724424865351</v>
      </c>
      <c r="AI50">
        <v>0.21647376543210517</v>
      </c>
      <c r="AJ50">
        <v>0</v>
      </c>
      <c r="AK50">
        <v>0.18454239519222049</v>
      </c>
      <c r="AL50">
        <v>0</v>
      </c>
      <c r="AM50">
        <v>0.21472290734954469</v>
      </c>
      <c r="AN50">
        <v>0</v>
      </c>
      <c r="AO50">
        <v>0</v>
      </c>
      <c r="AP50">
        <v>-0.30152069755676736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-3.9597763638462569E-2</v>
      </c>
      <c r="BA50">
        <v>0.72243750000000362</v>
      </c>
      <c r="BB50">
        <v>0</v>
      </c>
      <c r="BC50">
        <v>0</v>
      </c>
      <c r="BD50">
        <v>0</v>
      </c>
      <c r="BE50">
        <v>1.0534050192577302</v>
      </c>
      <c r="BF50">
        <v>0</v>
      </c>
      <c r="BG50">
        <v>0</v>
      </c>
    </row>
    <row r="51" spans="1:59" x14ac:dyDescent="0.25">
      <c r="A51" s="2">
        <v>40602</v>
      </c>
      <c r="B51">
        <v>3.7675167120574438</v>
      </c>
      <c r="C51">
        <v>0</v>
      </c>
      <c r="D51">
        <v>0</v>
      </c>
      <c r="E51">
        <v>0</v>
      </c>
      <c r="F51">
        <v>0</v>
      </c>
      <c r="G51">
        <v>0.52980373714746065</v>
      </c>
      <c r="H51">
        <v>0</v>
      </c>
      <c r="I51">
        <v>0</v>
      </c>
      <c r="J51">
        <v>0</v>
      </c>
      <c r="K51">
        <v>0.70365699873896603</v>
      </c>
      <c r="L51">
        <v>0</v>
      </c>
      <c r="M51">
        <v>-0.15859813084112118</v>
      </c>
      <c r="N51">
        <v>-0.1316608996539782</v>
      </c>
      <c r="O51">
        <v>0</v>
      </c>
      <c r="P51">
        <v>0</v>
      </c>
      <c r="Q51">
        <v>0</v>
      </c>
      <c r="R51">
        <v>-0.26861204638982628</v>
      </c>
      <c r="S51">
        <v>0</v>
      </c>
      <c r="T51">
        <v>0</v>
      </c>
      <c r="U51">
        <v>0</v>
      </c>
      <c r="V51">
        <v>-0.46524944658897605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0.33452355574503834</v>
      </c>
      <c r="AC51">
        <v>0.58737024221453482</v>
      </c>
      <c r="AD51">
        <v>0</v>
      </c>
      <c r="AE51">
        <v>0.18997278626753178</v>
      </c>
      <c r="AF51">
        <v>0</v>
      </c>
      <c r="AG51">
        <v>0</v>
      </c>
      <c r="AH51">
        <v>0.21683798335780713</v>
      </c>
      <c r="AI51">
        <v>0.22893518518519196</v>
      </c>
      <c r="AJ51">
        <v>0</v>
      </c>
      <c r="AK51">
        <v>0.25233787653817941</v>
      </c>
      <c r="AL51">
        <v>0</v>
      </c>
      <c r="AM51">
        <v>0.22760443273024666</v>
      </c>
      <c r="AN51">
        <v>0</v>
      </c>
      <c r="AO51">
        <v>0</v>
      </c>
      <c r="AP51">
        <v>-0.26161354640954826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-3.4583673552570637E-3</v>
      </c>
      <c r="BA51">
        <v>0.76931250000000428</v>
      </c>
      <c r="BB51">
        <v>0</v>
      </c>
      <c r="BC51">
        <v>0</v>
      </c>
      <c r="BD51">
        <v>0</v>
      </c>
      <c r="BE51">
        <v>1.0883129045851114</v>
      </c>
      <c r="BF51">
        <v>0</v>
      </c>
      <c r="BG51">
        <v>0</v>
      </c>
    </row>
    <row r="52" spans="1:59" x14ac:dyDescent="0.25">
      <c r="A52" s="2">
        <v>40633</v>
      </c>
      <c r="B52">
        <v>3.8863580094082728</v>
      </c>
      <c r="C52">
        <v>0</v>
      </c>
      <c r="D52">
        <v>0</v>
      </c>
      <c r="E52">
        <v>0</v>
      </c>
      <c r="F52">
        <v>0</v>
      </c>
      <c r="G52">
        <v>0.53439314835890284</v>
      </c>
      <c r="H52">
        <v>0</v>
      </c>
      <c r="I52">
        <v>0</v>
      </c>
      <c r="J52">
        <v>0</v>
      </c>
      <c r="K52">
        <v>0.66708701134930726</v>
      </c>
      <c r="L52">
        <v>0</v>
      </c>
      <c r="M52">
        <v>-0.21943925233644812</v>
      </c>
      <c r="N52">
        <v>-0.11937716262975695</v>
      </c>
      <c r="O52">
        <v>0</v>
      </c>
      <c r="P52">
        <v>0</v>
      </c>
      <c r="Q52">
        <v>0</v>
      </c>
      <c r="R52">
        <v>-0.2540216984661452</v>
      </c>
      <c r="S52">
        <v>0</v>
      </c>
      <c r="T52">
        <v>0</v>
      </c>
      <c r="U52">
        <v>0</v>
      </c>
      <c r="V52">
        <v>-0.4618649494154885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0.30276060541461858</v>
      </c>
      <c r="AC52">
        <v>0.53460207612456889</v>
      </c>
      <c r="AD52">
        <v>0</v>
      </c>
      <c r="AE52">
        <v>0.19222315260623835</v>
      </c>
      <c r="AF52">
        <v>0</v>
      </c>
      <c r="AG52">
        <v>0</v>
      </c>
      <c r="AH52">
        <v>0.20827214880078304</v>
      </c>
      <c r="AI52">
        <v>0.30007716049383415</v>
      </c>
      <c r="AJ52">
        <v>0</v>
      </c>
      <c r="AK52">
        <v>0.26271973297081619</v>
      </c>
      <c r="AL52">
        <v>0</v>
      </c>
      <c r="AM52">
        <v>0.22069317822120427</v>
      </c>
      <c r="AN52">
        <v>0</v>
      </c>
      <c r="AO52">
        <v>0</v>
      </c>
      <c r="AP52">
        <v>-0.36687200547570253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-3.3695727697953259E-3</v>
      </c>
      <c r="BA52">
        <v>0.72556250000000411</v>
      </c>
      <c r="BB52">
        <v>0</v>
      </c>
      <c r="BC52">
        <v>0</v>
      </c>
      <c r="BD52">
        <v>0</v>
      </c>
      <c r="BE52">
        <v>1.0912365426515307</v>
      </c>
      <c r="BF52">
        <v>0</v>
      </c>
      <c r="BG52">
        <v>0</v>
      </c>
    </row>
    <row r="53" spans="1:59" x14ac:dyDescent="0.25">
      <c r="A53" s="2">
        <v>40663</v>
      </c>
      <c r="B53">
        <v>3.7967318643228554</v>
      </c>
      <c r="C53">
        <v>0</v>
      </c>
      <c r="D53">
        <v>0</v>
      </c>
      <c r="E53">
        <v>0</v>
      </c>
      <c r="F53">
        <v>0</v>
      </c>
      <c r="G53">
        <v>0.53592754150726152</v>
      </c>
      <c r="H53">
        <v>0</v>
      </c>
      <c r="I53">
        <v>0</v>
      </c>
      <c r="J53">
        <v>0</v>
      </c>
      <c r="K53">
        <v>0.7112232030264829</v>
      </c>
      <c r="L53">
        <v>0</v>
      </c>
      <c r="M53">
        <v>-0.33728971962616783</v>
      </c>
      <c r="N53">
        <v>-0.27024221453287123</v>
      </c>
      <c r="O53">
        <v>0</v>
      </c>
      <c r="P53">
        <v>0</v>
      </c>
      <c r="Q53">
        <v>0</v>
      </c>
      <c r="R53">
        <v>-0.20538720538720823</v>
      </c>
      <c r="S53">
        <v>0</v>
      </c>
      <c r="T53">
        <v>0</v>
      </c>
      <c r="U53">
        <v>0</v>
      </c>
      <c r="V53">
        <v>-0.55344761347212834</v>
      </c>
      <c r="W53">
        <v>0</v>
      </c>
      <c r="X53">
        <v>0</v>
      </c>
      <c r="Y53">
        <v>0</v>
      </c>
      <c r="Z53">
        <v>0</v>
      </c>
      <c r="AA53">
        <v>0</v>
      </c>
      <c r="AB53">
        <v>0.42442975911318981</v>
      </c>
      <c r="AC53">
        <v>0.27595155709342656</v>
      </c>
      <c r="AD53">
        <v>0</v>
      </c>
      <c r="AE53">
        <v>0.22132091270671972</v>
      </c>
      <c r="AF53">
        <v>0</v>
      </c>
      <c r="AG53">
        <v>0</v>
      </c>
      <c r="AH53">
        <v>0.24557023984336812</v>
      </c>
      <c r="AI53">
        <v>0.39471450617284631</v>
      </c>
      <c r="AJ53">
        <v>4.5265362748565074E-2</v>
      </c>
      <c r="AK53">
        <v>0.34899687760770592</v>
      </c>
      <c r="AL53">
        <v>0</v>
      </c>
      <c r="AM53">
        <v>0.24219633886066627</v>
      </c>
      <c r="AN53">
        <v>0</v>
      </c>
      <c r="AO53">
        <v>0</v>
      </c>
      <c r="AP53">
        <v>-0.40499360176174826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5.2127043144217566E-2</v>
      </c>
      <c r="BA53">
        <v>0.69343750000000415</v>
      </c>
      <c r="BB53">
        <v>0</v>
      </c>
      <c r="BC53">
        <v>0</v>
      </c>
      <c r="BD53">
        <v>0</v>
      </c>
      <c r="BE53">
        <v>1.1755133753203872</v>
      </c>
      <c r="BF53">
        <v>0</v>
      </c>
      <c r="BG53">
        <v>0</v>
      </c>
    </row>
    <row r="54" spans="1:59" x14ac:dyDescent="0.25">
      <c r="A54" s="2">
        <v>40694</v>
      </c>
      <c r="B54">
        <v>3.6962119336469446</v>
      </c>
      <c r="C54">
        <v>0</v>
      </c>
      <c r="D54">
        <v>0</v>
      </c>
      <c r="E54">
        <v>0</v>
      </c>
      <c r="F54">
        <v>0</v>
      </c>
      <c r="G54">
        <v>0.53131975888273963</v>
      </c>
      <c r="H54">
        <v>0</v>
      </c>
      <c r="I54">
        <v>0</v>
      </c>
      <c r="J54">
        <v>0</v>
      </c>
      <c r="K54">
        <v>0.6834804539722581</v>
      </c>
      <c r="L54">
        <v>0</v>
      </c>
      <c r="M54">
        <v>-0.31897196261682226</v>
      </c>
      <c r="N54">
        <v>-0.30882352941176372</v>
      </c>
      <c r="O54">
        <v>0</v>
      </c>
      <c r="P54">
        <v>0</v>
      </c>
      <c r="Q54">
        <v>0</v>
      </c>
      <c r="R54">
        <v>-0.28582117471006585</v>
      </c>
      <c r="S54">
        <v>0</v>
      </c>
      <c r="T54">
        <v>0</v>
      </c>
      <c r="U54">
        <v>0</v>
      </c>
      <c r="V54">
        <v>-0.59671429355481975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0.47111490087400809</v>
      </c>
      <c r="AC54">
        <v>0.33650519031141934</v>
      </c>
      <c r="AD54">
        <v>0</v>
      </c>
      <c r="AE54">
        <v>0.20546368013397509</v>
      </c>
      <c r="AF54">
        <v>0</v>
      </c>
      <c r="AG54">
        <v>0</v>
      </c>
      <c r="AH54">
        <v>0.21752325012236895</v>
      </c>
      <c r="AI54">
        <v>0.41948302469136411</v>
      </c>
      <c r="AJ54">
        <v>4.5265362748565297E-2</v>
      </c>
      <c r="AK54">
        <v>0.35096159496656254</v>
      </c>
      <c r="AL54">
        <v>0</v>
      </c>
      <c r="AM54">
        <v>0.26150804968017538</v>
      </c>
      <c r="AN54">
        <v>0</v>
      </c>
      <c r="AO54">
        <v>0</v>
      </c>
      <c r="AP54">
        <v>-0.51614439186977412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5.5678826562714834E-2</v>
      </c>
      <c r="BA54">
        <v>0.75637500000000424</v>
      </c>
      <c r="BB54">
        <v>0</v>
      </c>
      <c r="BC54">
        <v>0</v>
      </c>
      <c r="BD54">
        <v>0</v>
      </c>
      <c r="BE54">
        <v>1.225767734290288</v>
      </c>
      <c r="BF54">
        <v>0</v>
      </c>
      <c r="BG54">
        <v>0</v>
      </c>
    </row>
    <row r="55" spans="1:59" x14ac:dyDescent="0.25">
      <c r="A55" s="2">
        <v>40724</v>
      </c>
      <c r="B55">
        <v>3.6575885120079263</v>
      </c>
      <c r="C55">
        <v>0</v>
      </c>
      <c r="D55">
        <v>0</v>
      </c>
      <c r="E55">
        <v>0</v>
      </c>
      <c r="F55">
        <v>0</v>
      </c>
      <c r="G55">
        <v>0.51906920081167751</v>
      </c>
      <c r="H55">
        <v>0</v>
      </c>
      <c r="I55">
        <v>0</v>
      </c>
      <c r="J55">
        <v>0</v>
      </c>
      <c r="K55">
        <v>0.68852459016393608</v>
      </c>
      <c r="L55">
        <v>0</v>
      </c>
      <c r="M55">
        <v>-0.37112149532710259</v>
      </c>
      <c r="N55">
        <v>-0.35968858131487802</v>
      </c>
      <c r="O55">
        <v>0</v>
      </c>
      <c r="P55">
        <v>0</v>
      </c>
      <c r="Q55">
        <v>0</v>
      </c>
      <c r="R55">
        <v>-0.30864197530864435</v>
      </c>
      <c r="S55">
        <v>0</v>
      </c>
      <c r="T55">
        <v>0</v>
      </c>
      <c r="U55">
        <v>0</v>
      </c>
      <c r="V55">
        <v>-0.54314776531713693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0.40012790449796931</v>
      </c>
      <c r="AC55">
        <v>0.42906574394463637</v>
      </c>
      <c r="AD55">
        <v>0</v>
      </c>
      <c r="AE55">
        <v>0.19028679087293243</v>
      </c>
      <c r="AF55">
        <v>0</v>
      </c>
      <c r="AG55">
        <v>9.6168219642234209E-3</v>
      </c>
      <c r="AH55">
        <v>0.20327949094468933</v>
      </c>
      <c r="AI55">
        <v>0.38445216049383335</v>
      </c>
      <c r="AJ55">
        <v>2.4523271945812386E-2</v>
      </c>
      <c r="AK55">
        <v>0.31684642296074905</v>
      </c>
      <c r="AL55">
        <v>0</v>
      </c>
      <c r="AM55">
        <v>0.24879184282360889</v>
      </c>
      <c r="AN55">
        <v>0</v>
      </c>
      <c r="AO55">
        <v>0</v>
      </c>
      <c r="AP55">
        <v>-0.44064518048983803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3.7120758201069526E-2</v>
      </c>
      <c r="BA55">
        <v>0.6462500000000031</v>
      </c>
      <c r="BB55">
        <v>0</v>
      </c>
      <c r="BC55">
        <v>0</v>
      </c>
      <c r="BD55">
        <v>0</v>
      </c>
      <c r="BE55">
        <v>1.2197581614077042</v>
      </c>
      <c r="BF55">
        <v>0</v>
      </c>
      <c r="BG55">
        <v>0</v>
      </c>
    </row>
    <row r="56" spans="1:59" x14ac:dyDescent="0.25">
      <c r="A56" s="2">
        <v>40755</v>
      </c>
      <c r="B56">
        <v>4.6251547412725964</v>
      </c>
      <c r="C56">
        <v>0</v>
      </c>
      <c r="D56">
        <v>0</v>
      </c>
      <c r="E56">
        <v>0</v>
      </c>
      <c r="F56">
        <v>0</v>
      </c>
      <c r="G56">
        <v>0.51755013161086594</v>
      </c>
      <c r="H56">
        <v>0</v>
      </c>
      <c r="I56">
        <v>0</v>
      </c>
      <c r="J56">
        <v>0</v>
      </c>
      <c r="K56">
        <v>0.6860025220680972</v>
      </c>
      <c r="L56">
        <v>0</v>
      </c>
      <c r="M56">
        <v>-0.53392523364485966</v>
      </c>
      <c r="N56">
        <v>-0.47802768166089915</v>
      </c>
      <c r="O56">
        <v>0</v>
      </c>
      <c r="P56">
        <v>0</v>
      </c>
      <c r="Q56">
        <v>0</v>
      </c>
      <c r="R56">
        <v>-0.33557800224467127</v>
      </c>
      <c r="S56">
        <v>0</v>
      </c>
      <c r="T56">
        <v>0</v>
      </c>
      <c r="U56">
        <v>0</v>
      </c>
      <c r="V56">
        <v>-0.57130312288468965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0.4502238328714494</v>
      </c>
      <c r="AC56">
        <v>1.1842560553633215</v>
      </c>
      <c r="AD56">
        <v>0</v>
      </c>
      <c r="AE56">
        <v>0.17348754448398518</v>
      </c>
      <c r="AF56">
        <v>0</v>
      </c>
      <c r="AG56">
        <v>2.3518859933230107E-2</v>
      </c>
      <c r="AH56">
        <v>0.23289280469897156</v>
      </c>
      <c r="AI56">
        <v>0.34861111111111809</v>
      </c>
      <c r="AJ56">
        <v>0.10579146377955029</v>
      </c>
      <c r="AK56">
        <v>0.27320149028610818</v>
      </c>
      <c r="AL56">
        <v>0</v>
      </c>
      <c r="AM56">
        <v>0.27786674856854443</v>
      </c>
      <c r="AN56">
        <v>0</v>
      </c>
      <c r="AO56">
        <v>0</v>
      </c>
      <c r="AP56">
        <v>-0.5462309912805412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2.6909380872891075E-2</v>
      </c>
      <c r="BA56">
        <v>0.42906250000000257</v>
      </c>
      <c r="BB56">
        <v>0</v>
      </c>
      <c r="BC56">
        <v>0</v>
      </c>
      <c r="BD56">
        <v>0</v>
      </c>
      <c r="BE56">
        <v>1.2472831626091598</v>
      </c>
      <c r="BF56">
        <v>0</v>
      </c>
      <c r="BG56">
        <v>0</v>
      </c>
    </row>
    <row r="57" spans="1:59" x14ac:dyDescent="0.25">
      <c r="A57" s="2">
        <v>40786</v>
      </c>
      <c r="B57">
        <v>4.7385491458281797</v>
      </c>
      <c r="C57">
        <v>0</v>
      </c>
      <c r="D57">
        <v>0</v>
      </c>
      <c r="E57">
        <v>0</v>
      </c>
      <c r="F57">
        <v>0</v>
      </c>
      <c r="G57">
        <v>0.53576073319019635</v>
      </c>
      <c r="H57">
        <v>0</v>
      </c>
      <c r="I57">
        <v>0</v>
      </c>
      <c r="J57">
        <v>0</v>
      </c>
      <c r="K57">
        <v>0.60655737704918189</v>
      </c>
      <c r="L57">
        <v>0</v>
      </c>
      <c r="M57">
        <v>-0.59626168224299048</v>
      </c>
      <c r="N57">
        <v>-0.59965397923875396</v>
      </c>
      <c r="O57">
        <v>0</v>
      </c>
      <c r="P57">
        <v>0</v>
      </c>
      <c r="Q57">
        <v>0</v>
      </c>
      <c r="R57">
        <v>-0.50018705574261335</v>
      </c>
      <c r="S57">
        <v>0</v>
      </c>
      <c r="T57">
        <v>0</v>
      </c>
      <c r="U57">
        <v>0</v>
      </c>
      <c r="V57">
        <v>-0.55092296152650011</v>
      </c>
      <c r="W57">
        <v>0</v>
      </c>
      <c r="X57">
        <v>0</v>
      </c>
      <c r="Y57">
        <v>0</v>
      </c>
      <c r="Z57">
        <v>0</v>
      </c>
      <c r="AA57">
        <v>0</v>
      </c>
      <c r="AB57">
        <v>0.3988488595182198</v>
      </c>
      <c r="AC57">
        <v>1.7352941176470567</v>
      </c>
      <c r="AD57">
        <v>0</v>
      </c>
      <c r="AE57">
        <v>0.10545321331379442</v>
      </c>
      <c r="AF57">
        <v>0</v>
      </c>
      <c r="AG57">
        <v>1.6343614529871653E-2</v>
      </c>
      <c r="AH57">
        <v>0.16803720019579016</v>
      </c>
      <c r="AI57">
        <v>0.24880401234568561</v>
      </c>
      <c r="AJ57">
        <v>0.24210440412393708</v>
      </c>
      <c r="AK57">
        <v>0.20557055157040294</v>
      </c>
      <c r="AL57">
        <v>0</v>
      </c>
      <c r="AM57">
        <v>0.27851313616291762</v>
      </c>
      <c r="AN57">
        <v>0</v>
      </c>
      <c r="AO57">
        <v>0</v>
      </c>
      <c r="AP57">
        <v>-0.5276909799720273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-1.7310322687394408E-2</v>
      </c>
      <c r="BA57">
        <v>0.18100000000000183</v>
      </c>
      <c r="BB57">
        <v>0</v>
      </c>
      <c r="BC57">
        <v>0</v>
      </c>
      <c r="BD57">
        <v>0</v>
      </c>
      <c r="BE57">
        <v>1.2209899496066328</v>
      </c>
      <c r="BF57">
        <v>0</v>
      </c>
      <c r="BG57">
        <v>0</v>
      </c>
    </row>
    <row r="58" spans="1:59" x14ac:dyDescent="0.25">
      <c r="A58" s="2">
        <v>40816</v>
      </c>
      <c r="B58">
        <v>5.3441445902451115</v>
      </c>
      <c r="C58">
        <v>0</v>
      </c>
      <c r="D58">
        <v>0</v>
      </c>
      <c r="E58">
        <v>0</v>
      </c>
      <c r="F58">
        <v>0</v>
      </c>
      <c r="G58">
        <v>0.52654616879105509</v>
      </c>
      <c r="H58">
        <v>0</v>
      </c>
      <c r="I58">
        <v>0</v>
      </c>
      <c r="J58">
        <v>0</v>
      </c>
      <c r="K58">
        <v>0.4829760403530905</v>
      </c>
      <c r="L58">
        <v>0</v>
      </c>
      <c r="M58">
        <v>-0.67719626168224289</v>
      </c>
      <c r="N58">
        <v>-0.71747404844290641</v>
      </c>
      <c r="O58">
        <v>0</v>
      </c>
      <c r="P58">
        <v>0</v>
      </c>
      <c r="Q58">
        <v>0</v>
      </c>
      <c r="R58">
        <v>-0.52712308267864028</v>
      </c>
      <c r="S58">
        <v>0</v>
      </c>
      <c r="T58">
        <v>0</v>
      </c>
      <c r="U58">
        <v>0</v>
      </c>
      <c r="V58">
        <v>-0.51133349188635435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0.48928799829460035</v>
      </c>
      <c r="AC58">
        <v>2.7162629757785446</v>
      </c>
      <c r="AD58">
        <v>0</v>
      </c>
      <c r="AE58">
        <v>4.0035587188611332E-2</v>
      </c>
      <c r="AF58">
        <v>0</v>
      </c>
      <c r="AG58">
        <v>-9.1883003637451055E-2</v>
      </c>
      <c r="AH58">
        <v>0.12770435633871746</v>
      </c>
      <c r="AI58">
        <v>0.21168981481482141</v>
      </c>
      <c r="AJ58">
        <v>0.10179606104295447</v>
      </c>
      <c r="AK58">
        <v>0.11050212925998926</v>
      </c>
      <c r="AL58">
        <v>0</v>
      </c>
      <c r="AM58">
        <v>0.24486180624982357</v>
      </c>
      <c r="AN58">
        <v>0</v>
      </c>
      <c r="AO58">
        <v>0</v>
      </c>
      <c r="AP58">
        <v>-0.51840609469392673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-7.3073322357794401E-2</v>
      </c>
      <c r="BA58">
        <v>0.30631250000000154</v>
      </c>
      <c r="BB58">
        <v>0</v>
      </c>
      <c r="BC58">
        <v>0</v>
      </c>
      <c r="BD58">
        <v>0</v>
      </c>
      <c r="BE58">
        <v>1.2118838908132457</v>
      </c>
      <c r="BF58">
        <v>0</v>
      </c>
      <c r="BG58">
        <v>0</v>
      </c>
    </row>
    <row r="59" spans="1:59" x14ac:dyDescent="0.25">
      <c r="A59" s="2">
        <v>40847</v>
      </c>
      <c r="B59">
        <v>5.6858133201287462</v>
      </c>
      <c r="C59">
        <v>0</v>
      </c>
      <c r="D59">
        <v>0</v>
      </c>
      <c r="E59">
        <v>0</v>
      </c>
      <c r="F59">
        <v>0</v>
      </c>
      <c r="G59">
        <v>0.51891343794709988</v>
      </c>
      <c r="H59">
        <v>0</v>
      </c>
      <c r="I59">
        <v>0</v>
      </c>
      <c r="J59">
        <v>0</v>
      </c>
      <c r="K59">
        <v>0.6292559899117296</v>
      </c>
      <c r="L59">
        <v>0</v>
      </c>
      <c r="M59">
        <v>-0.54168224299065404</v>
      </c>
      <c r="N59">
        <v>-0.52993079584775038</v>
      </c>
      <c r="O59">
        <v>0</v>
      </c>
      <c r="P59">
        <v>0</v>
      </c>
      <c r="Q59">
        <v>0</v>
      </c>
      <c r="R59">
        <v>-0.46726524504302513</v>
      </c>
      <c r="S59">
        <v>0</v>
      </c>
      <c r="T59">
        <v>0</v>
      </c>
      <c r="U59">
        <v>0</v>
      </c>
      <c r="V59">
        <v>-0.58083459870840293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0.55777019825196605</v>
      </c>
      <c r="AC59">
        <v>1.5916955017301029</v>
      </c>
      <c r="AD59">
        <v>0</v>
      </c>
      <c r="AE59">
        <v>0.14548880050240598</v>
      </c>
      <c r="AF59">
        <v>0</v>
      </c>
      <c r="AG59">
        <v>-3.8367631670736091E-2</v>
      </c>
      <c r="AH59">
        <v>0.22931962799804206</v>
      </c>
      <c r="AI59">
        <v>0.27503858024692063</v>
      </c>
      <c r="AJ59">
        <v>0.17035717200293909</v>
      </c>
      <c r="AK59">
        <v>0.16559452778224082</v>
      </c>
      <c r="AL59">
        <v>0</v>
      </c>
      <c r="AM59">
        <v>0.29931898170057125</v>
      </c>
      <c r="AN59">
        <v>0</v>
      </c>
      <c r="AO59">
        <v>0</v>
      </c>
      <c r="AP59">
        <v>-0.58521560574948728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2.3623981210781686E-2</v>
      </c>
      <c r="BA59">
        <v>0.34718750000000198</v>
      </c>
      <c r="BB59">
        <v>0</v>
      </c>
      <c r="BC59">
        <v>0</v>
      </c>
      <c r="BD59">
        <v>0</v>
      </c>
      <c r="BE59">
        <v>1.2873091314899772</v>
      </c>
      <c r="BF59">
        <v>0</v>
      </c>
      <c r="BG59">
        <v>0</v>
      </c>
    </row>
    <row r="60" spans="1:59" x14ac:dyDescent="0.25">
      <c r="A60" s="2">
        <v>40877</v>
      </c>
      <c r="B60">
        <v>5.7997028967566218</v>
      </c>
      <c r="C60">
        <v>0</v>
      </c>
      <c r="D60">
        <v>0</v>
      </c>
      <c r="E60">
        <v>0</v>
      </c>
      <c r="F60">
        <v>0</v>
      </c>
      <c r="G60">
        <v>0.52954583201272931</v>
      </c>
      <c r="H60">
        <v>0</v>
      </c>
      <c r="I60">
        <v>0</v>
      </c>
      <c r="J60">
        <v>0</v>
      </c>
      <c r="K60">
        <v>0.54350567465321831</v>
      </c>
      <c r="L60">
        <v>0</v>
      </c>
      <c r="M60">
        <v>-0.59046728971962614</v>
      </c>
      <c r="N60">
        <v>-0.57820069204152214</v>
      </c>
      <c r="O60">
        <v>0</v>
      </c>
      <c r="P60">
        <v>0</v>
      </c>
      <c r="Q60">
        <v>0</v>
      </c>
      <c r="R60">
        <v>-0.43247287691732383</v>
      </c>
      <c r="S60">
        <v>0</v>
      </c>
      <c r="T60">
        <v>0</v>
      </c>
      <c r="U60">
        <v>0</v>
      </c>
      <c r="V60">
        <v>-0.58871956239366297</v>
      </c>
      <c r="W60">
        <v>0</v>
      </c>
      <c r="X60">
        <v>0</v>
      </c>
      <c r="Y60">
        <v>0</v>
      </c>
      <c r="Z60">
        <v>0</v>
      </c>
      <c r="AA60">
        <v>0</v>
      </c>
      <c r="AB60">
        <v>0.56736303560007917</v>
      </c>
      <c r="AC60">
        <v>1.4048442906574392</v>
      </c>
      <c r="AD60">
        <v>0</v>
      </c>
      <c r="AE60">
        <v>0.12387481683064561</v>
      </c>
      <c r="AF60">
        <v>0</v>
      </c>
      <c r="AG60">
        <v>-9.5869251083761542E-2</v>
      </c>
      <c r="AH60">
        <v>0.1890846793930494</v>
      </c>
      <c r="AI60">
        <v>0.32654320987654994</v>
      </c>
      <c r="AJ60">
        <v>0.18365931285873782</v>
      </c>
      <c r="AK60">
        <v>0.14945955581325254</v>
      </c>
      <c r="AL60">
        <v>0</v>
      </c>
      <c r="AM60">
        <v>0.23693043459184349</v>
      </c>
      <c r="AN60">
        <v>0</v>
      </c>
      <c r="AO60">
        <v>0.34772727272727266</v>
      </c>
      <c r="AP60">
        <v>-0.59128649227747576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7.4633666566210621E-3</v>
      </c>
      <c r="BA60">
        <v>0.15831250000000141</v>
      </c>
      <c r="BB60">
        <v>0</v>
      </c>
      <c r="BC60">
        <v>0</v>
      </c>
      <c r="BD60">
        <v>0</v>
      </c>
      <c r="BE60">
        <v>1.2596326909989486</v>
      </c>
      <c r="BF60">
        <v>0</v>
      </c>
      <c r="BG60">
        <v>0</v>
      </c>
    </row>
    <row r="61" spans="1:59" x14ac:dyDescent="0.25">
      <c r="A61" s="2">
        <v>40908</v>
      </c>
      <c r="B61">
        <v>6.0809606338202515</v>
      </c>
      <c r="C61">
        <v>0</v>
      </c>
      <c r="D61">
        <v>0</v>
      </c>
      <c r="E61">
        <v>0</v>
      </c>
      <c r="F61">
        <v>0</v>
      </c>
      <c r="G61">
        <v>0.52495719451669132</v>
      </c>
      <c r="H61">
        <v>0</v>
      </c>
      <c r="I61">
        <v>0</v>
      </c>
      <c r="J61">
        <v>0</v>
      </c>
      <c r="K61">
        <v>0.47162673392181831</v>
      </c>
      <c r="L61">
        <v>0</v>
      </c>
      <c r="M61">
        <v>-0.58261682242990642</v>
      </c>
      <c r="N61">
        <v>-0.56557093425605509</v>
      </c>
      <c r="O61">
        <v>0</v>
      </c>
      <c r="P61">
        <v>0</v>
      </c>
      <c r="Q61">
        <v>0</v>
      </c>
      <c r="R61">
        <v>-0.44968200523756297</v>
      </c>
      <c r="S61">
        <v>0</v>
      </c>
      <c r="T61">
        <v>0</v>
      </c>
      <c r="U61">
        <v>0</v>
      </c>
      <c r="V61">
        <v>-0.56356451583395806</v>
      </c>
      <c r="W61">
        <v>0</v>
      </c>
      <c r="X61">
        <v>0</v>
      </c>
      <c r="Y61">
        <v>0</v>
      </c>
      <c r="Z61">
        <v>0</v>
      </c>
      <c r="AA61">
        <v>0</v>
      </c>
      <c r="AB61">
        <v>0.66808782775526931</v>
      </c>
      <c r="AC61">
        <v>1.0242214532871965</v>
      </c>
      <c r="AD61">
        <v>0</v>
      </c>
      <c r="AE61">
        <v>0.15140255390412261</v>
      </c>
      <c r="AF61">
        <v>0</v>
      </c>
      <c r="AG61">
        <v>-8.892720115601227E-2</v>
      </c>
      <c r="AH61">
        <v>0.18756730298580537</v>
      </c>
      <c r="AI61">
        <v>0.35466820987655057</v>
      </c>
      <c r="AJ61">
        <v>6.5837436413591854E-2</v>
      </c>
      <c r="AK61">
        <v>0.15771606993845411</v>
      </c>
      <c r="AL61">
        <v>0</v>
      </c>
      <c r="AM61">
        <v>0.28679316537180255</v>
      </c>
      <c r="AN61">
        <v>0</v>
      </c>
      <c r="AO61">
        <v>-4.9999999999999489E-2</v>
      </c>
      <c r="AP61">
        <v>-0.57807338630479488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1.2169479686129137E-2</v>
      </c>
      <c r="BA61">
        <v>0.17468750000000166</v>
      </c>
      <c r="BB61">
        <v>0</v>
      </c>
      <c r="BC61">
        <v>0</v>
      </c>
      <c r="BD61">
        <v>0</v>
      </c>
      <c r="BE61">
        <v>1.2478826010057542</v>
      </c>
      <c r="BF61">
        <v>3.347517730496441E-2</v>
      </c>
      <c r="BG61">
        <v>2.5269541778975446E-2</v>
      </c>
    </row>
    <row r="62" spans="1:59" x14ac:dyDescent="0.25">
      <c r="A62" s="2">
        <v>40939</v>
      </c>
      <c r="B62">
        <v>6.6018816538747194</v>
      </c>
      <c r="C62">
        <v>0</v>
      </c>
      <c r="D62">
        <v>0</v>
      </c>
      <c r="E62">
        <v>0</v>
      </c>
      <c r="F62">
        <v>0</v>
      </c>
      <c r="G62">
        <v>0.56308112437960856</v>
      </c>
      <c r="H62">
        <v>0</v>
      </c>
      <c r="I62">
        <v>0</v>
      </c>
      <c r="J62">
        <v>0</v>
      </c>
      <c r="K62">
        <v>0.60781841109710255</v>
      </c>
      <c r="L62">
        <v>0</v>
      </c>
      <c r="M62">
        <v>-0.50850467289719625</v>
      </c>
      <c r="N62">
        <v>-0.50484429065743908</v>
      </c>
      <c r="O62">
        <v>0</v>
      </c>
      <c r="P62">
        <v>0</v>
      </c>
      <c r="Q62">
        <v>0</v>
      </c>
      <c r="R62">
        <v>-0.39132061354283854</v>
      </c>
      <c r="S62">
        <v>0</v>
      </c>
      <c r="T62">
        <v>0</v>
      </c>
      <c r="U62">
        <v>0</v>
      </c>
      <c r="V62">
        <v>-0.56846746309068563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0.60141760818588086</v>
      </c>
      <c r="AC62">
        <v>0.68166089965397925</v>
      </c>
      <c r="AD62">
        <v>0</v>
      </c>
      <c r="AE62">
        <v>0.19180447979903548</v>
      </c>
      <c r="AF62">
        <v>0</v>
      </c>
      <c r="AG62">
        <v>-2.1902436593752572E-2</v>
      </c>
      <c r="AH62">
        <v>0.27645619187469417</v>
      </c>
      <c r="AI62">
        <v>0.50590277777778603</v>
      </c>
      <c r="AJ62">
        <v>0.17821876445145879</v>
      </c>
      <c r="AK62">
        <v>0.25662382028810771</v>
      </c>
      <c r="AL62">
        <v>0</v>
      </c>
      <c r="AM62">
        <v>0.33123015785960308</v>
      </c>
      <c r="AN62">
        <v>0</v>
      </c>
      <c r="AO62">
        <v>-3.7499999999998868E-2</v>
      </c>
      <c r="AP62">
        <v>-0.56164628158200203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3.70319636156069E-2</v>
      </c>
      <c r="BA62">
        <v>0.15706250000000166</v>
      </c>
      <c r="BB62">
        <v>0</v>
      </c>
      <c r="BC62">
        <v>0</v>
      </c>
      <c r="BD62">
        <v>0</v>
      </c>
      <c r="BE62">
        <v>1.307226701672306</v>
      </c>
      <c r="BF62">
        <v>0.19167943262411447</v>
      </c>
      <c r="BG62">
        <v>0.12938005390835516</v>
      </c>
    </row>
    <row r="63" spans="1:59" x14ac:dyDescent="0.25">
      <c r="A63" s="2">
        <v>40968</v>
      </c>
      <c r="B63">
        <v>7.2921515226541178</v>
      </c>
      <c r="C63">
        <v>0</v>
      </c>
      <c r="D63">
        <v>0</v>
      </c>
      <c r="E63">
        <v>0</v>
      </c>
      <c r="F63">
        <v>0</v>
      </c>
      <c r="G63">
        <v>0.58965350349406176</v>
      </c>
      <c r="H63">
        <v>0</v>
      </c>
      <c r="I63">
        <v>0</v>
      </c>
      <c r="J63">
        <v>0</v>
      </c>
      <c r="K63">
        <v>0.75157629255990299</v>
      </c>
      <c r="L63">
        <v>0</v>
      </c>
      <c r="M63">
        <v>-0.40514018691588793</v>
      </c>
      <c r="N63">
        <v>-0.436851211072664</v>
      </c>
      <c r="O63">
        <v>0</v>
      </c>
      <c r="P63">
        <v>0</v>
      </c>
      <c r="Q63">
        <v>0</v>
      </c>
      <c r="R63">
        <v>-0.40104751215862577</v>
      </c>
      <c r="S63">
        <v>0</v>
      </c>
      <c r="T63">
        <v>0</v>
      </c>
      <c r="U63">
        <v>0</v>
      </c>
      <c r="V63">
        <v>-0.55717970765262193</v>
      </c>
      <c r="W63">
        <v>0</v>
      </c>
      <c r="X63">
        <v>0</v>
      </c>
      <c r="Y63">
        <v>0</v>
      </c>
      <c r="Z63">
        <v>0</v>
      </c>
      <c r="AA63">
        <v>0</v>
      </c>
      <c r="AB63">
        <v>0.7573545086335447</v>
      </c>
      <c r="AC63">
        <v>0.59429065743944642</v>
      </c>
      <c r="AD63">
        <v>0</v>
      </c>
      <c r="AE63">
        <v>0.24565626962528642</v>
      </c>
      <c r="AF63">
        <v>0</v>
      </c>
      <c r="AG63">
        <v>6.2334944441662099E-3</v>
      </c>
      <c r="AH63">
        <v>0.36324033284385782</v>
      </c>
      <c r="AI63">
        <v>0.54560185185185994</v>
      </c>
      <c r="AJ63">
        <v>0.16368229917575894</v>
      </c>
      <c r="AK63">
        <v>0.28794960294296468</v>
      </c>
      <c r="AL63">
        <v>0</v>
      </c>
      <c r="AM63">
        <v>0.34578915698521762</v>
      </c>
      <c r="AN63">
        <v>0</v>
      </c>
      <c r="AO63">
        <v>7.7272727272729158E-2</v>
      </c>
      <c r="AP63">
        <v>-0.51912031663839575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9.2084606602307773E-2</v>
      </c>
      <c r="BA63">
        <v>0.32831250000000245</v>
      </c>
      <c r="BB63">
        <v>0</v>
      </c>
      <c r="BC63">
        <v>0</v>
      </c>
      <c r="BD63">
        <v>0</v>
      </c>
      <c r="BE63">
        <v>1.3118411550756508</v>
      </c>
      <c r="BF63">
        <v>0.19659574468085173</v>
      </c>
      <c r="BG63">
        <v>0.16239892183288318</v>
      </c>
    </row>
    <row r="64" spans="1:59" x14ac:dyDescent="0.25">
      <c r="A64" s="2">
        <v>40999</v>
      </c>
      <c r="B64">
        <v>8.1963357266650156</v>
      </c>
      <c r="C64">
        <v>0</v>
      </c>
      <c r="D64">
        <v>0</v>
      </c>
      <c r="E64">
        <v>0</v>
      </c>
      <c r="F64">
        <v>0</v>
      </c>
      <c r="G64">
        <v>0.61349830604647249</v>
      </c>
      <c r="H64">
        <v>0</v>
      </c>
      <c r="I64">
        <v>0</v>
      </c>
      <c r="J64">
        <v>0</v>
      </c>
      <c r="K64">
        <v>0.890290037831027</v>
      </c>
      <c r="L64">
        <v>0</v>
      </c>
      <c r="M64">
        <v>-0.52906542056074768</v>
      </c>
      <c r="N64">
        <v>-0.5548442906574389</v>
      </c>
      <c r="O64">
        <v>0</v>
      </c>
      <c r="P64">
        <v>0</v>
      </c>
      <c r="Q64">
        <v>0</v>
      </c>
      <c r="R64">
        <v>-0.43359521137299162</v>
      </c>
      <c r="S64">
        <v>0</v>
      </c>
      <c r="T64">
        <v>0</v>
      </c>
      <c r="U64">
        <v>0</v>
      </c>
      <c r="V64">
        <v>-0.51409597336309165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0.78837134939244424</v>
      </c>
      <c r="AC64">
        <v>0.34083044982698918</v>
      </c>
      <c r="AD64">
        <v>0</v>
      </c>
      <c r="AE64">
        <v>0.28631986602470061</v>
      </c>
      <c r="AF64">
        <v>0</v>
      </c>
      <c r="AG64">
        <v>-1.6244954905577091E-2</v>
      </c>
      <c r="AH64">
        <v>0.43499755261869955</v>
      </c>
      <c r="AI64">
        <v>0.60100308641976108</v>
      </c>
      <c r="AJ64">
        <v>0.1292980332417526</v>
      </c>
      <c r="AK64">
        <v>0.33731043317806386</v>
      </c>
      <c r="AL64">
        <v>0</v>
      </c>
      <c r="AM64">
        <v>0.34443526878755049</v>
      </c>
      <c r="AN64">
        <v>0</v>
      </c>
      <c r="AO64">
        <v>-7.0454545454543216E-2</v>
      </c>
      <c r="AP64">
        <v>-0.53126208969437294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0.13372926718418299</v>
      </c>
      <c r="BA64">
        <v>0.36606250000000307</v>
      </c>
      <c r="BB64">
        <v>0</v>
      </c>
      <c r="BC64">
        <v>0</v>
      </c>
      <c r="BD64">
        <v>0</v>
      </c>
      <c r="BE64">
        <v>1.314615364461742</v>
      </c>
      <c r="BF64">
        <v>0.26241134751773076</v>
      </c>
      <c r="BG64">
        <v>0.20619946091644104</v>
      </c>
    </row>
    <row r="65" spans="1:59" x14ac:dyDescent="0.25">
      <c r="A65" s="2">
        <v>41029</v>
      </c>
      <c r="B65">
        <v>7.944788313939096</v>
      </c>
      <c r="C65">
        <v>0</v>
      </c>
      <c r="D65">
        <v>0</v>
      </c>
      <c r="E65">
        <v>0</v>
      </c>
      <c r="F65">
        <v>0</v>
      </c>
      <c r="G65">
        <v>0.64415477386135533</v>
      </c>
      <c r="H65">
        <v>0</v>
      </c>
      <c r="I65">
        <v>0</v>
      </c>
      <c r="J65">
        <v>0</v>
      </c>
      <c r="K65">
        <v>0.90794451450189739</v>
      </c>
      <c r="L65">
        <v>0</v>
      </c>
      <c r="M65">
        <v>-0.39644859813084099</v>
      </c>
      <c r="N65">
        <v>-0.44948096885813094</v>
      </c>
      <c r="O65">
        <v>0</v>
      </c>
      <c r="P65">
        <v>0</v>
      </c>
      <c r="Q65">
        <v>0</v>
      </c>
      <c r="R65">
        <v>-0.46127946127946362</v>
      </c>
      <c r="S65">
        <v>0</v>
      </c>
      <c r="T65">
        <v>0</v>
      </c>
      <c r="U65">
        <v>0</v>
      </c>
      <c r="V65">
        <v>-0.52015147911673698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0.73832871455978588</v>
      </c>
      <c r="AC65">
        <v>0.48356401384082992</v>
      </c>
      <c r="AD65">
        <v>0</v>
      </c>
      <c r="AE65">
        <v>0.27737073477077501</v>
      </c>
      <c r="AF65">
        <v>0</v>
      </c>
      <c r="AG65">
        <v>-1.0895410832629349E-2</v>
      </c>
      <c r="AH65">
        <v>0.41806167400881233</v>
      </c>
      <c r="AI65">
        <v>0.62816358024692187</v>
      </c>
      <c r="AJ65">
        <v>0.12547264764288402</v>
      </c>
      <c r="AK65">
        <v>0.3229207883942613</v>
      </c>
      <c r="AL65">
        <v>0</v>
      </c>
      <c r="AM65">
        <v>0.35489812931512854</v>
      </c>
      <c r="AN65">
        <v>0</v>
      </c>
      <c r="AO65">
        <v>1.9318181818184454E-2</v>
      </c>
      <c r="AP65">
        <v>-0.57661518316816984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-3.5870853366409827E-3</v>
      </c>
      <c r="AY65">
        <v>0</v>
      </c>
      <c r="AZ65">
        <v>0.13124301879123523</v>
      </c>
      <c r="BA65">
        <v>0.2811250000000034</v>
      </c>
      <c r="BB65">
        <v>0</v>
      </c>
      <c r="BC65">
        <v>0</v>
      </c>
      <c r="BD65">
        <v>0</v>
      </c>
      <c r="BE65">
        <v>1.3227165182373581</v>
      </c>
      <c r="BF65">
        <v>0.30465248226950314</v>
      </c>
      <c r="BG65">
        <v>0.16543126684636067</v>
      </c>
    </row>
    <row r="66" spans="1:59" x14ac:dyDescent="0.25">
      <c r="A66" s="2">
        <v>41060</v>
      </c>
      <c r="B66">
        <v>7.9695469175538527</v>
      </c>
      <c r="C66">
        <v>0</v>
      </c>
      <c r="D66">
        <v>0</v>
      </c>
      <c r="E66">
        <v>0</v>
      </c>
      <c r="F66">
        <v>0</v>
      </c>
      <c r="G66">
        <v>0.66717294069541433</v>
      </c>
      <c r="H66">
        <v>0</v>
      </c>
      <c r="I66">
        <v>1.5999999999998238E-3</v>
      </c>
      <c r="J66">
        <v>0</v>
      </c>
      <c r="K66">
        <v>0.75662042875158186</v>
      </c>
      <c r="L66">
        <v>0</v>
      </c>
      <c r="M66">
        <v>-0.41196261682242974</v>
      </c>
      <c r="N66">
        <v>-0.4636678200692036</v>
      </c>
      <c r="O66">
        <v>0</v>
      </c>
      <c r="P66">
        <v>0</v>
      </c>
      <c r="Q66">
        <v>0</v>
      </c>
      <c r="R66">
        <v>-0.38271604938271886</v>
      </c>
      <c r="S66">
        <v>0</v>
      </c>
      <c r="T66">
        <v>0</v>
      </c>
      <c r="U66">
        <v>0</v>
      </c>
      <c r="V66">
        <v>-0.56043614277089637</v>
      </c>
      <c r="W66">
        <v>0</v>
      </c>
      <c r="X66">
        <v>0</v>
      </c>
      <c r="Y66">
        <v>0</v>
      </c>
      <c r="Z66">
        <v>0</v>
      </c>
      <c r="AA66">
        <v>0</v>
      </c>
      <c r="AB66">
        <v>0.65225964613088006</v>
      </c>
      <c r="AC66">
        <v>1.081314878892734</v>
      </c>
      <c r="AD66">
        <v>0</v>
      </c>
      <c r="AE66">
        <v>0.19279882771613788</v>
      </c>
      <c r="AF66">
        <v>0</v>
      </c>
      <c r="AG66">
        <v>-8.9955652997161573E-2</v>
      </c>
      <c r="AH66">
        <v>0.30841899167890552</v>
      </c>
      <c r="AI66">
        <v>0.5998456790123543</v>
      </c>
      <c r="AJ66">
        <v>6.1246973694950357E-2</v>
      </c>
      <c r="AK66">
        <v>0.23559370506908928</v>
      </c>
      <c r="AL66">
        <v>0</v>
      </c>
      <c r="AM66">
        <v>0.35439120474111774</v>
      </c>
      <c r="AN66">
        <v>0</v>
      </c>
      <c r="AO66">
        <v>2.2727272727275372E-2</v>
      </c>
      <c r="AP66">
        <v>-0.58539416123560439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-0.12689102389194051</v>
      </c>
      <c r="AY66">
        <v>0</v>
      </c>
      <c r="AZ66">
        <v>4.0761336205028753E-2</v>
      </c>
      <c r="BA66">
        <v>0.10675000000000234</v>
      </c>
      <c r="BB66">
        <v>0</v>
      </c>
      <c r="BC66">
        <v>0</v>
      </c>
      <c r="BD66">
        <v>0</v>
      </c>
      <c r="BE66">
        <v>1.3217874316300633</v>
      </c>
      <c r="BF66">
        <v>0.28680851063829782</v>
      </c>
      <c r="BG66">
        <v>4.6832884097034455E-2</v>
      </c>
    </row>
    <row r="67" spans="1:59" x14ac:dyDescent="0.25">
      <c r="A67" s="2">
        <v>41090</v>
      </c>
      <c r="B67">
        <v>8.8341173557811352</v>
      </c>
      <c r="C67">
        <v>0</v>
      </c>
      <c r="D67">
        <v>0</v>
      </c>
      <c r="E67">
        <v>0</v>
      </c>
      <c r="F67">
        <v>0</v>
      </c>
      <c r="G67">
        <v>0.67717597833958676</v>
      </c>
      <c r="H67">
        <v>0</v>
      </c>
      <c r="I67">
        <v>3.4999999999998366E-3</v>
      </c>
      <c r="J67">
        <v>0</v>
      </c>
      <c r="K67">
        <v>0.79571248423707952</v>
      </c>
      <c r="L67">
        <v>0</v>
      </c>
      <c r="M67">
        <v>-0.37495327102803733</v>
      </c>
      <c r="N67">
        <v>-0.42439446366781963</v>
      </c>
      <c r="O67">
        <v>0</v>
      </c>
      <c r="P67">
        <v>0</v>
      </c>
      <c r="Q67">
        <v>0</v>
      </c>
      <c r="R67">
        <v>-0.35353535353535626</v>
      </c>
      <c r="S67">
        <v>0</v>
      </c>
      <c r="T67">
        <v>0</v>
      </c>
      <c r="U67">
        <v>0</v>
      </c>
      <c r="V67">
        <v>-0.54766652640822455</v>
      </c>
      <c r="W67">
        <v>0</v>
      </c>
      <c r="X67">
        <v>0</v>
      </c>
      <c r="Y67">
        <v>0</v>
      </c>
      <c r="Z67">
        <v>0</v>
      </c>
      <c r="AA67">
        <v>0</v>
      </c>
      <c r="AB67">
        <v>0.73193348966104343</v>
      </c>
      <c r="AC67">
        <v>0.47750865051903113</v>
      </c>
      <c r="AD67">
        <v>0</v>
      </c>
      <c r="AE67">
        <v>0.24309189868117742</v>
      </c>
      <c r="AF67">
        <v>0</v>
      </c>
      <c r="AG67">
        <v>-3.3301111166477382E-2</v>
      </c>
      <c r="AH67">
        <v>0.35340186000979124</v>
      </c>
      <c r="AI67">
        <v>0.68985339506173693</v>
      </c>
      <c r="AJ67">
        <v>8.3774244443842072E-2</v>
      </c>
      <c r="AK67">
        <v>0.30041370718463734</v>
      </c>
      <c r="AL67">
        <v>0</v>
      </c>
      <c r="AM67">
        <v>0.37142841472855004</v>
      </c>
      <c r="AN67">
        <v>0</v>
      </c>
      <c r="AO67">
        <v>-1.3977272727270118E-2</v>
      </c>
      <c r="AP67">
        <v>-0.65083474689759879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-8.3275571765612733E-2</v>
      </c>
      <c r="AY67">
        <v>0</v>
      </c>
      <c r="AZ67">
        <v>7.947577546664375E-2</v>
      </c>
      <c r="BA67">
        <v>0.35837500000000255</v>
      </c>
      <c r="BB67">
        <v>0</v>
      </c>
      <c r="BC67">
        <v>0</v>
      </c>
      <c r="BD67">
        <v>0</v>
      </c>
      <c r="BE67">
        <v>1.3366468711924955</v>
      </c>
      <c r="BF67">
        <v>0.3375886524822691</v>
      </c>
      <c r="BG67">
        <v>8.5916442048517228E-2</v>
      </c>
    </row>
    <row r="68" spans="1:59" x14ac:dyDescent="0.25">
      <c r="A68" s="3">
        <v>41121</v>
      </c>
      <c r="B68">
        <v>9.3837583560287214</v>
      </c>
      <c r="C68">
        <v>0</v>
      </c>
      <c r="D68">
        <v>0</v>
      </c>
      <c r="E68">
        <v>0</v>
      </c>
      <c r="F68">
        <v>0</v>
      </c>
      <c r="G68">
        <v>0.71575102584139705</v>
      </c>
      <c r="H68">
        <v>0</v>
      </c>
      <c r="I68">
        <v>3.2300000000000662E-2</v>
      </c>
      <c r="J68">
        <v>4.3258832011543458E-3</v>
      </c>
      <c r="K68">
        <v>0.78562421185372511</v>
      </c>
      <c r="L68">
        <v>0</v>
      </c>
      <c r="M68">
        <v>-0.32616822429906545</v>
      </c>
      <c r="N68">
        <v>-0.38200692041522466</v>
      </c>
      <c r="O68">
        <v>0</v>
      </c>
      <c r="P68">
        <v>0</v>
      </c>
      <c r="Q68">
        <v>0</v>
      </c>
      <c r="R68">
        <v>-0.34044145155256544</v>
      </c>
      <c r="S68">
        <v>0</v>
      </c>
      <c r="T68">
        <v>0</v>
      </c>
      <c r="U68">
        <v>0</v>
      </c>
      <c r="V68">
        <v>-0.60050127147326182</v>
      </c>
      <c r="W68">
        <v>0</v>
      </c>
      <c r="X68">
        <v>0</v>
      </c>
      <c r="Y68">
        <v>0</v>
      </c>
      <c r="Z68">
        <v>0</v>
      </c>
      <c r="AA68">
        <v>0</v>
      </c>
      <c r="AB68">
        <v>0.77078448092090213</v>
      </c>
      <c r="AC68">
        <v>0.63754325259515521</v>
      </c>
      <c r="AD68">
        <v>0</v>
      </c>
      <c r="AE68">
        <v>0.2729746702951612</v>
      </c>
      <c r="AF68">
        <v>0</v>
      </c>
      <c r="AG68">
        <v>-1.2759978075640555E-2</v>
      </c>
      <c r="AH68">
        <v>0.38325991189427544</v>
      </c>
      <c r="AI68">
        <v>0.74000771604939208</v>
      </c>
      <c r="AJ68">
        <v>9.746062403090372E-2</v>
      </c>
      <c r="AK68">
        <v>0.23389343122314044</v>
      </c>
      <c r="AL68">
        <v>0</v>
      </c>
      <c r="AM68">
        <v>0.41339973235636163</v>
      </c>
      <c r="AN68">
        <v>0</v>
      </c>
      <c r="AO68">
        <v>-3.920454545454255E-2</v>
      </c>
      <c r="AP68">
        <v>-0.78501919471475778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2.1728469576369758E-3</v>
      </c>
      <c r="AW68">
        <v>0</v>
      </c>
      <c r="AX68">
        <v>-7.5835525830658668E-2</v>
      </c>
      <c r="AY68">
        <v>0</v>
      </c>
      <c r="AZ68">
        <v>8.684572606002483E-2</v>
      </c>
      <c r="BA68">
        <v>0.45406250000000226</v>
      </c>
      <c r="BB68">
        <v>0</v>
      </c>
      <c r="BC68">
        <v>0</v>
      </c>
      <c r="BD68">
        <v>0</v>
      </c>
      <c r="BE68">
        <v>1.3389835180636878</v>
      </c>
      <c r="BF68">
        <v>0.40766241134751735</v>
      </c>
      <c r="BG68">
        <v>8.6253369272237146E-2</v>
      </c>
    </row>
    <row r="69" spans="1:59" x14ac:dyDescent="0.25">
      <c r="A69" s="3">
        <v>41152</v>
      </c>
      <c r="B69">
        <v>9.6174795741520178</v>
      </c>
      <c r="C69">
        <v>0</v>
      </c>
      <c r="D69">
        <v>0</v>
      </c>
      <c r="E69">
        <v>0</v>
      </c>
      <c r="F69">
        <v>0</v>
      </c>
      <c r="G69">
        <v>0.75864480148743185</v>
      </c>
      <c r="H69">
        <v>0</v>
      </c>
      <c r="I69">
        <v>4.5100000000000806E-2</v>
      </c>
      <c r="J69">
        <v>1.5340863574462071E-2</v>
      </c>
      <c r="K69">
        <v>0.89533417402270432</v>
      </c>
      <c r="L69">
        <v>0</v>
      </c>
      <c r="M69">
        <v>-0.41850467289719584</v>
      </c>
      <c r="N69">
        <v>-0.4692041522491347</v>
      </c>
      <c r="O69">
        <v>0</v>
      </c>
      <c r="P69">
        <v>0</v>
      </c>
      <c r="Q69">
        <v>0</v>
      </c>
      <c r="R69">
        <v>-0.20650953984287634</v>
      </c>
      <c r="S69">
        <v>0</v>
      </c>
      <c r="T69">
        <v>0</v>
      </c>
      <c r="U69">
        <v>0</v>
      </c>
      <c r="V69">
        <v>-0.59486654104388825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0.75431677680664189</v>
      </c>
      <c r="AC69">
        <v>0.51124567474048388</v>
      </c>
      <c r="AD69">
        <v>0</v>
      </c>
      <c r="AE69">
        <v>0.29788570232363076</v>
      </c>
      <c r="AF69">
        <v>0</v>
      </c>
      <c r="AG69">
        <v>-1.2654342518312989E-2</v>
      </c>
      <c r="AH69">
        <v>0.44870288790993929</v>
      </c>
      <c r="AI69">
        <v>0.77341820987655341</v>
      </c>
      <c r="AJ69">
        <v>0.13592870161312409</v>
      </c>
      <c r="AK69">
        <v>0.29212389276521833</v>
      </c>
      <c r="AL69">
        <v>0</v>
      </c>
      <c r="AM69">
        <v>0.4139144919315163</v>
      </c>
      <c r="AN69">
        <v>0</v>
      </c>
      <c r="AO69">
        <v>-1.170454545454247E-2</v>
      </c>
      <c r="AP69">
        <v>-0.7864773978513826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1.7277151156209758E-3</v>
      </c>
      <c r="AW69">
        <v>0</v>
      </c>
      <c r="AX69">
        <v>-4.9137237016803836E-2</v>
      </c>
      <c r="AY69">
        <v>0</v>
      </c>
      <c r="AZ69">
        <v>0.11588155550623713</v>
      </c>
      <c r="BA69">
        <v>0.57206250000000214</v>
      </c>
      <c r="BB69">
        <v>0</v>
      </c>
      <c r="BC69">
        <v>0</v>
      </c>
      <c r="BD69">
        <v>0</v>
      </c>
      <c r="BE69">
        <v>1.3787462378707702</v>
      </c>
      <c r="BF69">
        <v>0.44539007092198535</v>
      </c>
      <c r="BG69">
        <v>0.1108490566037732</v>
      </c>
    </row>
    <row r="70" spans="1:59" x14ac:dyDescent="0.25">
      <c r="A70" s="3">
        <v>41182</v>
      </c>
      <c r="B70">
        <v>10.329537014112402</v>
      </c>
      <c r="C70">
        <v>0</v>
      </c>
      <c r="D70">
        <v>0</v>
      </c>
      <c r="E70">
        <v>0</v>
      </c>
      <c r="F70">
        <v>0</v>
      </c>
      <c r="G70">
        <v>0.79030040791420575</v>
      </c>
      <c r="H70">
        <v>0</v>
      </c>
      <c r="I70">
        <v>6.4400000000000457E-2</v>
      </c>
      <c r="J70">
        <v>3.0070896419130744E-2</v>
      </c>
      <c r="K70">
        <v>0.93442622950820198</v>
      </c>
      <c r="L70">
        <v>0</v>
      </c>
      <c r="M70">
        <v>-0.31130841121495278</v>
      </c>
      <c r="N70">
        <v>-0.38373702422145317</v>
      </c>
      <c r="O70">
        <v>0</v>
      </c>
      <c r="P70">
        <v>0</v>
      </c>
      <c r="Q70">
        <v>0</v>
      </c>
      <c r="R70">
        <v>-0.15862326973438423</v>
      </c>
      <c r="S70">
        <v>0</v>
      </c>
      <c r="T70">
        <v>0</v>
      </c>
      <c r="U70">
        <v>0</v>
      </c>
      <c r="V70">
        <v>-0.54759334809096005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0.63717757407801323</v>
      </c>
      <c r="AC70">
        <v>0.36072664359861584</v>
      </c>
      <c r="AD70">
        <v>0</v>
      </c>
      <c r="AE70">
        <v>0.32232572744399901</v>
      </c>
      <c r="AF70">
        <v>-1.1102230246251565E-16</v>
      </c>
      <c r="AG70">
        <v>1.1266131845133254E-2</v>
      </c>
      <c r="AH70">
        <v>0.45863925599608768</v>
      </c>
      <c r="AI70">
        <v>0.85856481481482505</v>
      </c>
      <c r="AJ70">
        <v>0.20134109518239529</v>
      </c>
      <c r="AK70">
        <v>0.35851880291318894</v>
      </c>
      <c r="AL70">
        <v>0</v>
      </c>
      <c r="AM70">
        <v>0.43593632964670559</v>
      </c>
      <c r="AN70">
        <v>0</v>
      </c>
      <c r="AO70">
        <v>-4.4886363636360671E-2</v>
      </c>
      <c r="AP70">
        <v>-0.77698419783947881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1.8635180504733562E-3</v>
      </c>
      <c r="AW70">
        <v>0</v>
      </c>
      <c r="AX70">
        <v>6.9109522230712095E-2</v>
      </c>
      <c r="AY70">
        <v>0</v>
      </c>
      <c r="AZ70">
        <v>0.16019005365198535</v>
      </c>
      <c r="BA70">
        <v>0.58481250000000262</v>
      </c>
      <c r="BB70">
        <v>0</v>
      </c>
      <c r="BC70">
        <v>0</v>
      </c>
      <c r="BD70">
        <v>0</v>
      </c>
      <c r="BE70">
        <v>1.3937323391693561</v>
      </c>
      <c r="BF70">
        <v>0.53475177304964494</v>
      </c>
      <c r="BG70">
        <v>6.6037735849056034E-2</v>
      </c>
    </row>
    <row r="71" spans="1:59" x14ac:dyDescent="0.25">
      <c r="A71" s="3">
        <v>41213</v>
      </c>
      <c r="B71">
        <v>7.9507303788066341</v>
      </c>
      <c r="C71">
        <v>0</v>
      </c>
      <c r="D71">
        <v>0</v>
      </c>
      <c r="E71">
        <v>0</v>
      </c>
      <c r="F71">
        <v>0</v>
      </c>
      <c r="G71">
        <v>0.84221911974371766</v>
      </c>
      <c r="H71">
        <v>0</v>
      </c>
      <c r="I71">
        <v>7.8300000000000702E-2</v>
      </c>
      <c r="J71">
        <v>4.8886485620443842E-2</v>
      </c>
      <c r="K71">
        <v>0.72761664564943751</v>
      </c>
      <c r="L71">
        <v>0</v>
      </c>
      <c r="M71">
        <v>-0.235887850467289</v>
      </c>
      <c r="N71">
        <v>-0.28200692041522457</v>
      </c>
      <c r="O71">
        <v>0</v>
      </c>
      <c r="P71">
        <v>0</v>
      </c>
      <c r="Q71">
        <v>0</v>
      </c>
      <c r="R71">
        <v>-0.22895622895623191</v>
      </c>
      <c r="S71">
        <v>0</v>
      </c>
      <c r="T71">
        <v>0</v>
      </c>
      <c r="U71">
        <v>0</v>
      </c>
      <c r="V71">
        <v>-0.55000823256069165</v>
      </c>
      <c r="W71">
        <v>0</v>
      </c>
      <c r="X71">
        <v>0</v>
      </c>
      <c r="Y71">
        <v>0</v>
      </c>
      <c r="Z71">
        <v>0</v>
      </c>
      <c r="AA71">
        <v>1.3760840000001107E-3</v>
      </c>
      <c r="AB71">
        <v>0.67149861436792957</v>
      </c>
      <c r="AC71">
        <v>0.60899653979238755</v>
      </c>
      <c r="AD71">
        <v>0</v>
      </c>
      <c r="AE71">
        <v>0.2968390203056277</v>
      </c>
      <c r="AF71">
        <v>9.5932847007089705E-3</v>
      </c>
      <c r="AG71">
        <v>1.100204295181495E-2</v>
      </c>
      <c r="AH71">
        <v>0.37807146353402188</v>
      </c>
      <c r="AI71">
        <v>0.71878858024692316</v>
      </c>
      <c r="AJ71">
        <v>0.16835777046326461</v>
      </c>
      <c r="AK71">
        <v>0.31079752245811032</v>
      </c>
      <c r="AL71">
        <v>0</v>
      </c>
      <c r="AM71">
        <v>0.45500907293132631</v>
      </c>
      <c r="AN71">
        <v>0</v>
      </c>
      <c r="AO71">
        <v>-9.4204545454541933E-2</v>
      </c>
      <c r="AP71">
        <v>-0.77549623545516788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4.5644875325361323E-3</v>
      </c>
      <c r="AW71">
        <v>0</v>
      </c>
      <c r="AX71">
        <v>7.4360208178187559E-2</v>
      </c>
      <c r="AY71">
        <v>0</v>
      </c>
      <c r="AZ71">
        <v>0.13754743435906902</v>
      </c>
      <c r="BA71">
        <v>0.66131250000000308</v>
      </c>
      <c r="BB71">
        <v>0</v>
      </c>
      <c r="BC71">
        <v>0</v>
      </c>
      <c r="BD71">
        <v>0</v>
      </c>
      <c r="BE71">
        <v>1.4100097190757075</v>
      </c>
      <c r="BF71">
        <v>0.45304964539007075</v>
      </c>
      <c r="BG71">
        <v>4.7506738544473404E-2</v>
      </c>
    </row>
    <row r="72" spans="1:59" x14ac:dyDescent="0.25">
      <c r="A72" s="3">
        <v>41243</v>
      </c>
      <c r="B72">
        <v>8.5092844763555338</v>
      </c>
      <c r="C72">
        <v>0</v>
      </c>
      <c r="D72">
        <v>0</v>
      </c>
      <c r="E72">
        <v>0</v>
      </c>
      <c r="F72">
        <v>0</v>
      </c>
      <c r="G72">
        <v>0.8624835300608984</v>
      </c>
      <c r="H72">
        <v>0</v>
      </c>
      <c r="I72">
        <v>8.4600000000000675E-2</v>
      </c>
      <c r="J72">
        <v>6.5318833613715155E-2</v>
      </c>
      <c r="K72">
        <v>0.81715006305170812</v>
      </c>
      <c r="L72">
        <v>0</v>
      </c>
      <c r="M72">
        <v>-0.14261682242990537</v>
      </c>
      <c r="N72">
        <v>-0.18010380622837352</v>
      </c>
      <c r="O72">
        <v>0</v>
      </c>
      <c r="P72">
        <v>0</v>
      </c>
      <c r="Q72">
        <v>0</v>
      </c>
      <c r="R72">
        <v>-0.30490086045641862</v>
      </c>
      <c r="S72">
        <v>0</v>
      </c>
      <c r="T72">
        <v>0</v>
      </c>
      <c r="U72">
        <v>0</v>
      </c>
      <c r="V72">
        <v>-0.54031210552313302</v>
      </c>
      <c r="W72">
        <v>0</v>
      </c>
      <c r="X72">
        <v>0</v>
      </c>
      <c r="Y72">
        <v>0</v>
      </c>
      <c r="Z72">
        <v>0</v>
      </c>
      <c r="AA72">
        <v>8.6693274316340663E-3</v>
      </c>
      <c r="AB72">
        <v>0.78362822425921053</v>
      </c>
      <c r="AC72">
        <v>0.37283737024221408</v>
      </c>
      <c r="AD72">
        <v>0</v>
      </c>
      <c r="AE72">
        <v>0.30699183588025569</v>
      </c>
      <c r="AF72">
        <v>1.4289997002097099E-2</v>
      </c>
      <c r="AG72">
        <v>2.3252777916187073E-2</v>
      </c>
      <c r="AH72">
        <v>0.40254527655408978</v>
      </c>
      <c r="AI72">
        <v>0.80852623456791184</v>
      </c>
      <c r="AJ72">
        <v>0.16164209352302916</v>
      </c>
      <c r="AK72">
        <v>0.33678154615224942</v>
      </c>
      <c r="AL72">
        <v>0</v>
      </c>
      <c r="AM72">
        <v>0.4588858314973332</v>
      </c>
      <c r="AN72">
        <v>0</v>
      </c>
      <c r="AO72">
        <v>-0.27147727272727007</v>
      </c>
      <c r="AP72">
        <v>-0.71335892628634356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4.7078350748801512E-3</v>
      </c>
      <c r="AW72">
        <v>0</v>
      </c>
      <c r="AX72">
        <v>0.17425841238373452</v>
      </c>
      <c r="AY72">
        <v>0</v>
      </c>
      <c r="AZ72">
        <v>0.15424081642600429</v>
      </c>
      <c r="BA72">
        <v>0.53381250000000269</v>
      </c>
      <c r="BB72">
        <v>-1.6409911213637329E-3</v>
      </c>
      <c r="BC72">
        <v>0</v>
      </c>
      <c r="BD72">
        <v>0</v>
      </c>
      <c r="BE72">
        <v>1.4037191169949041</v>
      </c>
      <c r="BF72">
        <v>0.54468368794326216</v>
      </c>
      <c r="BG72">
        <v>7.9514824797842554E-2</v>
      </c>
    </row>
    <row r="73" spans="1:59" x14ac:dyDescent="0.25">
      <c r="A73" s="3">
        <v>41274</v>
      </c>
      <c r="B73">
        <v>8.2834860113889572</v>
      </c>
      <c r="C73">
        <v>0</v>
      </c>
      <c r="D73">
        <v>0</v>
      </c>
      <c r="E73">
        <v>0</v>
      </c>
      <c r="F73">
        <v>0</v>
      </c>
      <c r="G73">
        <v>0.89414575007193342</v>
      </c>
      <c r="H73">
        <v>0</v>
      </c>
      <c r="I73">
        <v>9.5000000000000417E-2</v>
      </c>
      <c r="J73">
        <v>8.1200432588320437E-2</v>
      </c>
      <c r="K73">
        <v>0.77175283732661359</v>
      </c>
      <c r="L73">
        <v>0</v>
      </c>
      <c r="M73">
        <v>-0.12570093457943787</v>
      </c>
      <c r="N73">
        <v>-0.17647058823529382</v>
      </c>
      <c r="O73">
        <v>0</v>
      </c>
      <c r="P73">
        <v>0</v>
      </c>
      <c r="Q73">
        <v>0</v>
      </c>
      <c r="R73">
        <v>-0.31986531986532252</v>
      </c>
      <c r="S73">
        <v>0</v>
      </c>
      <c r="T73">
        <v>0</v>
      </c>
      <c r="U73">
        <v>0</v>
      </c>
      <c r="V73">
        <v>-0.54891055780172304</v>
      </c>
      <c r="W73">
        <v>0</v>
      </c>
      <c r="X73">
        <v>0</v>
      </c>
      <c r="Y73">
        <v>0</v>
      </c>
      <c r="Z73">
        <v>0</v>
      </c>
      <c r="AA73">
        <v>1.6788221063075648E-2</v>
      </c>
      <c r="AB73">
        <v>0.69505435941163141</v>
      </c>
      <c r="AC73">
        <v>0.55882352941176494</v>
      </c>
      <c r="AD73">
        <v>0</v>
      </c>
      <c r="AE73">
        <v>0.28830856185890363</v>
      </c>
      <c r="AF73">
        <v>2.1285100429698334E-2</v>
      </c>
      <c r="AG73">
        <v>4.3005630574515896E-2</v>
      </c>
      <c r="AH73">
        <v>0.35418502202643465</v>
      </c>
      <c r="AI73">
        <v>0.78989197530865285</v>
      </c>
      <c r="AJ73">
        <v>0.12406830608525499</v>
      </c>
      <c r="AK73">
        <v>0.3403995251769818</v>
      </c>
      <c r="AL73">
        <v>0</v>
      </c>
      <c r="AM73">
        <v>0.45888583149733386</v>
      </c>
      <c r="AN73">
        <v>0</v>
      </c>
      <c r="AO73">
        <v>-0.21090909090908805</v>
      </c>
      <c r="AP73">
        <v>-0.66839270303246745</v>
      </c>
      <c r="AQ73">
        <v>0</v>
      </c>
      <c r="AR73">
        <v>0</v>
      </c>
      <c r="AS73">
        <v>0</v>
      </c>
      <c r="AT73">
        <v>6.2999999999999501E-2</v>
      </c>
      <c r="AU73">
        <v>0</v>
      </c>
      <c r="AV73">
        <v>4.7380135048473715E-3</v>
      </c>
      <c r="AW73">
        <v>0</v>
      </c>
      <c r="AX73">
        <v>0.19424732578532566</v>
      </c>
      <c r="AY73">
        <v>0</v>
      </c>
      <c r="AZ73">
        <v>0.15992366989559925</v>
      </c>
      <c r="BA73">
        <v>0.54656250000000273</v>
      </c>
      <c r="BB73">
        <v>4.9546771313950799E-3</v>
      </c>
      <c r="BC73">
        <v>0</v>
      </c>
      <c r="BD73">
        <v>0</v>
      </c>
      <c r="BE73">
        <v>1.4103338909904397</v>
      </c>
      <c r="BF73">
        <v>0.5229163120567375</v>
      </c>
      <c r="BG73">
        <v>0.11300876010781535</v>
      </c>
    </row>
    <row r="74" spans="1:59" x14ac:dyDescent="0.25">
      <c r="A74" s="3">
        <v>41305</v>
      </c>
      <c r="B74">
        <v>8.3082446150037139</v>
      </c>
      <c r="C74">
        <v>0</v>
      </c>
      <c r="D74">
        <v>0</v>
      </c>
      <c r="E74">
        <v>0</v>
      </c>
      <c r="F74">
        <v>0</v>
      </c>
      <c r="G74">
        <v>1.0153710780765377</v>
      </c>
      <c r="H74">
        <v>0</v>
      </c>
      <c r="I74">
        <v>9.470000000000045E-2</v>
      </c>
      <c r="J74">
        <v>8.3743891692702466E-2</v>
      </c>
      <c r="K74">
        <v>0.82093316519546611</v>
      </c>
      <c r="L74">
        <v>0</v>
      </c>
      <c r="M74">
        <v>-0.16841121495326927</v>
      </c>
      <c r="N74">
        <v>-0.19653979238754293</v>
      </c>
      <c r="O74">
        <v>0</v>
      </c>
      <c r="P74">
        <v>0</v>
      </c>
      <c r="Q74">
        <v>0</v>
      </c>
      <c r="R74">
        <v>-0.29554807332585387</v>
      </c>
      <c r="S74">
        <v>0</v>
      </c>
      <c r="T74">
        <v>0</v>
      </c>
      <c r="U74">
        <v>0</v>
      </c>
      <c r="V74">
        <v>-0.53811675600519515</v>
      </c>
      <c r="W74">
        <v>9.3194693865402023E-2</v>
      </c>
      <c r="X74">
        <v>0</v>
      </c>
      <c r="Y74">
        <v>0</v>
      </c>
      <c r="Z74">
        <v>0</v>
      </c>
      <c r="AA74">
        <v>2.3118205928267299E-2</v>
      </c>
      <c r="AB74">
        <v>0.72729695160945718</v>
      </c>
      <c r="AC74">
        <v>0.23529411764705843</v>
      </c>
      <c r="AD74">
        <v>0</v>
      </c>
      <c r="AE74">
        <v>0.38863303328448473</v>
      </c>
      <c r="AF74">
        <v>1.2041570900368503E-2</v>
      </c>
      <c r="AG74">
        <v>4.789276994369196E-2</v>
      </c>
      <c r="AH74">
        <v>0.43029858051884795</v>
      </c>
      <c r="AI74">
        <v>0.89895833333334418</v>
      </c>
      <c r="AJ74">
        <v>0.12627852887571289</v>
      </c>
      <c r="AK74">
        <v>0.4714636066961011</v>
      </c>
      <c r="AL74">
        <v>0</v>
      </c>
      <c r="AM74">
        <v>0.43850229252133732</v>
      </c>
      <c r="AN74">
        <v>0</v>
      </c>
      <c r="AO74">
        <v>-0.12590909090908786</v>
      </c>
      <c r="AP74">
        <v>-0.68190340148201045</v>
      </c>
      <c r="AQ74">
        <v>0</v>
      </c>
      <c r="AR74">
        <v>0</v>
      </c>
      <c r="AS74">
        <v>0</v>
      </c>
      <c r="AT74">
        <v>8.2999999999999297E-2</v>
      </c>
      <c r="AU74">
        <v>0</v>
      </c>
      <c r="AV74">
        <v>5.19068995435501E-3</v>
      </c>
      <c r="AW74">
        <v>0</v>
      </c>
      <c r="AX74">
        <v>0.24556106702039671</v>
      </c>
      <c r="AY74">
        <v>0</v>
      </c>
      <c r="AZ74">
        <v>0.22305662015938044</v>
      </c>
      <c r="BA74">
        <v>0.51462500000000277</v>
      </c>
      <c r="BB74">
        <v>1.198622232755242E-2</v>
      </c>
      <c r="BC74">
        <v>0</v>
      </c>
      <c r="BD74">
        <v>1.4970059880239583E-2</v>
      </c>
      <c r="BE74">
        <v>1.3890871108767406</v>
      </c>
      <c r="BF74">
        <v>0.64190354609929101</v>
      </c>
      <c r="BG74">
        <v>0.18082884097034846</v>
      </c>
    </row>
    <row r="75" spans="1:59" x14ac:dyDescent="0.25">
      <c r="A75" s="3">
        <v>41333</v>
      </c>
      <c r="B75">
        <v>7.5902451101757862</v>
      </c>
      <c r="C75">
        <v>0</v>
      </c>
      <c r="D75">
        <v>0</v>
      </c>
      <c r="E75">
        <v>0</v>
      </c>
      <c r="F75">
        <v>0</v>
      </c>
      <c r="G75">
        <v>1.045601644247685</v>
      </c>
      <c r="H75">
        <v>0</v>
      </c>
      <c r="I75">
        <v>9.7800000000000553E-2</v>
      </c>
      <c r="J75">
        <v>9.2125290394937442E-2</v>
      </c>
      <c r="K75">
        <v>0.8247162673392241</v>
      </c>
      <c r="L75">
        <v>0</v>
      </c>
      <c r="M75">
        <v>-0.19317757009345637</v>
      </c>
      <c r="N75">
        <v>-0.23477508650518997</v>
      </c>
      <c r="O75">
        <v>0</v>
      </c>
      <c r="P75">
        <v>0</v>
      </c>
      <c r="Q75">
        <v>0</v>
      </c>
      <c r="R75">
        <v>-0.27384960718294327</v>
      </c>
      <c r="S75">
        <v>0</v>
      </c>
      <c r="T75">
        <v>0</v>
      </c>
      <c r="U75">
        <v>0</v>
      </c>
      <c r="V75">
        <v>-0.47578712427507686</v>
      </c>
      <c r="W75">
        <v>0.10954568454890912</v>
      </c>
      <c r="X75">
        <v>0</v>
      </c>
      <c r="Y75">
        <v>0</v>
      </c>
      <c r="Z75">
        <v>0</v>
      </c>
      <c r="AA75">
        <v>2.9310582426824494E-2</v>
      </c>
      <c r="AB75">
        <v>0.7604455340012708</v>
      </c>
      <c r="AC75">
        <v>0.3416955017301031</v>
      </c>
      <c r="AD75">
        <v>0</v>
      </c>
      <c r="AE75">
        <v>0.41124136487334861</v>
      </c>
      <c r="AF75">
        <v>6.1636854202042901E-3</v>
      </c>
      <c r="AG75">
        <v>4.6644077931135453E-2</v>
      </c>
      <c r="AH75">
        <v>0.44302496328928354</v>
      </c>
      <c r="AI75">
        <v>0.92777777777778936</v>
      </c>
      <c r="AJ75">
        <v>6.9492804874734304E-2</v>
      </c>
      <c r="AK75">
        <v>0.46769675576780601</v>
      </c>
      <c r="AL75">
        <v>0</v>
      </c>
      <c r="AM75">
        <v>0.45283015911320623</v>
      </c>
      <c r="AN75">
        <v>0</v>
      </c>
      <c r="AO75">
        <v>-5.2613636363633365E-2</v>
      </c>
      <c r="AP75">
        <v>-0.70749635449215842</v>
      </c>
      <c r="AQ75">
        <v>0</v>
      </c>
      <c r="AR75">
        <v>0</v>
      </c>
      <c r="AS75">
        <v>0</v>
      </c>
      <c r="AT75">
        <v>8.799999999999919E-2</v>
      </c>
      <c r="AU75">
        <v>0</v>
      </c>
      <c r="AV75">
        <v>4.9039948696669722E-3</v>
      </c>
      <c r="AW75">
        <v>0</v>
      </c>
      <c r="AX75">
        <v>0.15830509404689663</v>
      </c>
      <c r="AY75">
        <v>0</v>
      </c>
      <c r="AZ75">
        <v>0.23264643538932117</v>
      </c>
      <c r="BA75">
        <v>0.56250000000000333</v>
      </c>
      <c r="BB75">
        <v>1.7216292676616174E-2</v>
      </c>
      <c r="BC75">
        <v>0</v>
      </c>
      <c r="BD75">
        <v>9.8241017964071364E-3</v>
      </c>
      <c r="BE75">
        <v>1.4031626323185384</v>
      </c>
      <c r="BF75">
        <v>0.69057872340425575</v>
      </c>
      <c r="BG75">
        <v>0.20905997304582091</v>
      </c>
    </row>
    <row r="76" spans="1:59" x14ac:dyDescent="0.25">
      <c r="A76" s="3">
        <v>41364</v>
      </c>
      <c r="B76">
        <v>8.1250309482545191</v>
      </c>
      <c r="C76">
        <v>0</v>
      </c>
      <c r="D76">
        <v>0</v>
      </c>
      <c r="E76">
        <v>0</v>
      </c>
      <c r="F76">
        <v>0</v>
      </c>
      <c r="G76">
        <v>1.0640120590459139</v>
      </c>
      <c r="H76">
        <v>0</v>
      </c>
      <c r="I76">
        <v>0.10050000000000048</v>
      </c>
      <c r="J76">
        <v>0.10154810542337667</v>
      </c>
      <c r="K76">
        <v>0.84110970996217427</v>
      </c>
      <c r="L76">
        <v>0</v>
      </c>
      <c r="M76">
        <v>-0.26962616822429741</v>
      </c>
      <c r="N76">
        <v>-0.28200692041522457</v>
      </c>
      <c r="O76">
        <v>2.6200000000000001E-2</v>
      </c>
      <c r="P76">
        <v>0</v>
      </c>
      <c r="Q76">
        <v>0</v>
      </c>
      <c r="R76">
        <v>-0.20725776281332131</v>
      </c>
      <c r="S76">
        <v>0</v>
      </c>
      <c r="T76">
        <v>0</v>
      </c>
      <c r="U76">
        <v>0</v>
      </c>
      <c r="V76">
        <v>-0.44653409194855509</v>
      </c>
      <c r="W76">
        <v>0.12417029636170618</v>
      </c>
      <c r="X76">
        <v>0</v>
      </c>
      <c r="Y76">
        <v>0</v>
      </c>
      <c r="Z76">
        <v>0</v>
      </c>
      <c r="AA76">
        <v>3.6053392391919958E-2</v>
      </c>
      <c r="AB76">
        <v>0.69345555318694641</v>
      </c>
      <c r="AC76">
        <v>9.8615916955016258E-2</v>
      </c>
      <c r="AD76">
        <v>0</v>
      </c>
      <c r="AE76">
        <v>0.45525434373037088</v>
      </c>
      <c r="AF76">
        <v>1.5209353452565466E-3</v>
      </c>
      <c r="AG76">
        <v>4.3766007274899099E-2</v>
      </c>
      <c r="AH76">
        <v>0.47307880567792759</v>
      </c>
      <c r="AI76">
        <v>1.0861496913580369</v>
      </c>
      <c r="AJ76">
        <v>8.0118875982701843E-2</v>
      </c>
      <c r="AK76">
        <v>0.51746698373770239</v>
      </c>
      <c r="AL76">
        <v>0</v>
      </c>
      <c r="AM76">
        <v>0.45065908029622892</v>
      </c>
      <c r="AN76">
        <v>0</v>
      </c>
      <c r="AO76">
        <v>-0.2213636363636341</v>
      </c>
      <c r="AP76">
        <v>-0.66071481712942304</v>
      </c>
      <c r="AQ76">
        <v>0</v>
      </c>
      <c r="AR76">
        <v>0</v>
      </c>
      <c r="AS76">
        <v>0</v>
      </c>
      <c r="AT76">
        <v>9.4999999999999085E-2</v>
      </c>
      <c r="AU76">
        <v>0</v>
      </c>
      <c r="AV76">
        <v>5.6584556188465918E-3</v>
      </c>
      <c r="AW76">
        <v>0</v>
      </c>
      <c r="AX76">
        <v>0.16137255668950168</v>
      </c>
      <c r="AY76">
        <v>0</v>
      </c>
      <c r="AZ76">
        <v>0.24898463911440638</v>
      </c>
      <c r="BA76">
        <v>0.59756250000000377</v>
      </c>
      <c r="BB76">
        <v>2.9653957309411894E-2</v>
      </c>
      <c r="BC76">
        <v>0</v>
      </c>
      <c r="BD76">
        <v>1.6560628742515071E-2</v>
      </c>
      <c r="BE76">
        <v>1.408722276782219</v>
      </c>
      <c r="BF76">
        <v>0.85027234042553168</v>
      </c>
      <c r="BG76">
        <v>0.2231738544474382</v>
      </c>
    </row>
    <row r="77" spans="1:59" x14ac:dyDescent="0.25">
      <c r="A77" s="3">
        <v>41394</v>
      </c>
      <c r="B77">
        <v>8.7053726169843966</v>
      </c>
      <c r="C77">
        <v>0</v>
      </c>
      <c r="D77">
        <v>0</v>
      </c>
      <c r="E77">
        <v>0</v>
      </c>
      <c r="F77">
        <v>0</v>
      </c>
      <c r="G77">
        <v>1.0929082278725568</v>
      </c>
      <c r="H77">
        <v>0</v>
      </c>
      <c r="I77">
        <v>0.11780000000000035</v>
      </c>
      <c r="J77">
        <v>0.124068733477531</v>
      </c>
      <c r="K77">
        <v>0.85750315258512577</v>
      </c>
      <c r="L77">
        <v>0</v>
      </c>
      <c r="M77">
        <v>-0.22299065420560593</v>
      </c>
      <c r="N77">
        <v>-0.25657439446366737</v>
      </c>
      <c r="O77">
        <v>4.9289499999999986E-2</v>
      </c>
      <c r="P77">
        <v>0</v>
      </c>
      <c r="Q77">
        <v>0</v>
      </c>
      <c r="R77">
        <v>-0.19154508043397267</v>
      </c>
      <c r="S77">
        <v>0</v>
      </c>
      <c r="T77">
        <v>0</v>
      </c>
      <c r="U77">
        <v>0</v>
      </c>
      <c r="V77">
        <v>-0.37838678399590131</v>
      </c>
      <c r="W77">
        <v>0.12570816259710882</v>
      </c>
      <c r="X77">
        <v>2.5571267798600195E-2</v>
      </c>
      <c r="Y77">
        <v>0</v>
      </c>
      <c r="Z77">
        <v>0</v>
      </c>
      <c r="AA77">
        <v>4.0456860124227001E-2</v>
      </c>
      <c r="AB77">
        <v>0.69414836921764356</v>
      </c>
      <c r="AC77">
        <v>0.16955017301038011</v>
      </c>
      <c r="AD77">
        <v>0</v>
      </c>
      <c r="AE77">
        <v>0.48110738957504307</v>
      </c>
      <c r="AF77">
        <v>2.7358848805834279E-2</v>
      </c>
      <c r="AG77">
        <v>8.8297374059492117E-2</v>
      </c>
      <c r="AH77">
        <v>0.50778267254038578</v>
      </c>
      <c r="AI77">
        <v>1.2476080246913712</v>
      </c>
      <c r="AJ77">
        <v>-7.2699328092248328E-3</v>
      </c>
      <c r="AK77">
        <v>0.50021547249199738</v>
      </c>
      <c r="AL77">
        <v>0</v>
      </c>
      <c r="AM77">
        <v>0.48481576778310465</v>
      </c>
      <c r="AN77">
        <v>0</v>
      </c>
      <c r="AO77">
        <v>-0.20272727272726987</v>
      </c>
      <c r="AP77">
        <v>-0.5656340207719549</v>
      </c>
      <c r="AQ77">
        <v>0</v>
      </c>
      <c r="AR77">
        <v>0</v>
      </c>
      <c r="AS77">
        <v>0</v>
      </c>
      <c r="AT77">
        <v>0.1149999999999991</v>
      </c>
      <c r="AU77">
        <v>0</v>
      </c>
      <c r="AV77">
        <v>5.4849296465353525E-3</v>
      </c>
      <c r="AW77">
        <v>0</v>
      </c>
      <c r="AX77">
        <v>0.21402869717045969</v>
      </c>
      <c r="AY77">
        <v>0</v>
      </c>
      <c r="AZ77">
        <v>0.2603503460535963</v>
      </c>
      <c r="BA77">
        <v>0.4700000000000033</v>
      </c>
      <c r="BB77">
        <v>3.143913878619764E-2</v>
      </c>
      <c r="BC77">
        <v>0</v>
      </c>
      <c r="BD77">
        <v>2.9004491017964096E-2</v>
      </c>
      <c r="BE77">
        <v>1.433339223536227</v>
      </c>
      <c r="BF77">
        <v>0.98719148936170154</v>
      </c>
      <c r="BG77">
        <v>0.27550202156334125</v>
      </c>
    </row>
    <row r="78" spans="1:59" x14ac:dyDescent="0.25">
      <c r="A78" s="3">
        <v>41425</v>
      </c>
      <c r="B78">
        <v>8.6637781629116066</v>
      </c>
      <c r="C78">
        <v>0</v>
      </c>
      <c r="D78">
        <v>0</v>
      </c>
      <c r="E78">
        <v>0</v>
      </c>
      <c r="F78">
        <v>0</v>
      </c>
      <c r="G78">
        <v>1.1389522088857533</v>
      </c>
      <c r="H78">
        <v>0</v>
      </c>
      <c r="I78">
        <v>0.11040000000000028</v>
      </c>
      <c r="J78">
        <v>0.11631819274213084</v>
      </c>
      <c r="K78">
        <v>0.9205548549810898</v>
      </c>
      <c r="L78">
        <v>1.2299999999999978E-2</v>
      </c>
      <c r="M78">
        <v>-0.23383177570093316</v>
      </c>
      <c r="N78">
        <v>-0.26384083044982654</v>
      </c>
      <c r="O78">
        <v>6.5868274100000068E-2</v>
      </c>
      <c r="P78">
        <v>0</v>
      </c>
      <c r="Q78">
        <v>0</v>
      </c>
      <c r="R78">
        <v>-0.19079685746352748</v>
      </c>
      <c r="S78">
        <v>0</v>
      </c>
      <c r="T78">
        <v>0</v>
      </c>
      <c r="U78">
        <v>0</v>
      </c>
      <c r="V78">
        <v>-0.28276101791039265</v>
      </c>
      <c r="W78">
        <v>0.19017948387224792</v>
      </c>
      <c r="X78">
        <v>4.2706855213582529E-2</v>
      </c>
      <c r="Y78">
        <v>0</v>
      </c>
      <c r="Z78">
        <v>0</v>
      </c>
      <c r="AA78">
        <v>4.5961194789611248E-2</v>
      </c>
      <c r="AB78">
        <v>0.74648262630568363</v>
      </c>
      <c r="AC78">
        <v>0.41003460207612497</v>
      </c>
      <c r="AD78">
        <v>0</v>
      </c>
      <c r="AE78">
        <v>0.54411764705881938</v>
      </c>
      <c r="AF78">
        <v>3.097831517919758E-4</v>
      </c>
      <c r="AG78">
        <v>1.1453485475108272E-2</v>
      </c>
      <c r="AH78">
        <v>0.58629466470876679</v>
      </c>
      <c r="AI78">
        <v>1.3413966049382844</v>
      </c>
      <c r="AJ78">
        <v>-5.7850031283151027E-2</v>
      </c>
      <c r="AK78">
        <v>0.56901975686867412</v>
      </c>
      <c r="AL78">
        <v>0</v>
      </c>
      <c r="AM78">
        <v>0.43430194840808678</v>
      </c>
      <c r="AN78">
        <v>0</v>
      </c>
      <c r="AO78">
        <v>3.1818181818223934E-3</v>
      </c>
      <c r="AP78">
        <v>-0.55980120822545609</v>
      </c>
      <c r="AQ78">
        <v>0</v>
      </c>
      <c r="AR78">
        <v>0</v>
      </c>
      <c r="AS78">
        <v>0</v>
      </c>
      <c r="AT78">
        <v>0.1129999999999991</v>
      </c>
      <c r="AU78">
        <v>0</v>
      </c>
      <c r="AV78">
        <v>1.2554226866347218E-2</v>
      </c>
      <c r="AW78">
        <v>0</v>
      </c>
      <c r="AX78">
        <v>0.30164571898999526</v>
      </c>
      <c r="AY78">
        <v>0</v>
      </c>
      <c r="AZ78">
        <v>0.27890841441524161</v>
      </c>
      <c r="BA78">
        <v>0.33925000000000316</v>
      </c>
      <c r="BB78">
        <v>3.9863503760707353E-2</v>
      </c>
      <c r="BC78">
        <v>0</v>
      </c>
      <c r="BD78">
        <v>3.2840568862275488E-2</v>
      </c>
      <c r="BE78">
        <v>1.3667668737582379</v>
      </c>
      <c r="BF78">
        <v>1.0481531914893614</v>
      </c>
      <c r="BG78">
        <v>0.31819070080862399</v>
      </c>
    </row>
    <row r="79" spans="1:59" x14ac:dyDescent="0.25">
      <c r="A79" s="3">
        <v>41455</v>
      </c>
      <c r="B79">
        <v>8.1349343897004154</v>
      </c>
      <c r="C79">
        <v>0</v>
      </c>
      <c r="D79">
        <v>0</v>
      </c>
      <c r="E79">
        <v>0</v>
      </c>
      <c r="F79">
        <v>0</v>
      </c>
      <c r="G79">
        <v>1.1154237345880098</v>
      </c>
      <c r="H79">
        <v>0</v>
      </c>
      <c r="I79">
        <v>8.1800000000000095E-2</v>
      </c>
      <c r="J79">
        <v>7.8486741969079565E-2</v>
      </c>
      <c r="K79">
        <v>0.87011349306431773</v>
      </c>
      <c r="L79">
        <v>2.161316000000002E-2</v>
      </c>
      <c r="M79">
        <v>-0.33112149532710178</v>
      </c>
      <c r="N79">
        <v>-0.34930795847750784</v>
      </c>
      <c r="O79">
        <v>6.6827555546689954E-2</v>
      </c>
      <c r="P79">
        <v>0</v>
      </c>
      <c r="Q79">
        <v>0</v>
      </c>
      <c r="R79">
        <v>-0.18817807706696943</v>
      </c>
      <c r="S79">
        <v>0</v>
      </c>
      <c r="T79">
        <v>0</v>
      </c>
      <c r="U79">
        <v>0</v>
      </c>
      <c r="V79">
        <v>-0.30733063793198034</v>
      </c>
      <c r="W79">
        <v>0.16383732351744729</v>
      </c>
      <c r="X79">
        <v>2.5101531535938859E-2</v>
      </c>
      <c r="Y79">
        <v>0</v>
      </c>
      <c r="Z79">
        <v>0</v>
      </c>
      <c r="AA79">
        <v>5.1878354554899087E-2</v>
      </c>
      <c r="AB79">
        <v>0.67943935195053617</v>
      </c>
      <c r="AC79">
        <v>0.45847750865051906</v>
      </c>
      <c r="AD79">
        <v>0</v>
      </c>
      <c r="AE79">
        <v>0.50387272346660739</v>
      </c>
      <c r="AF79">
        <v>-2.9868092335367025E-2</v>
      </c>
      <c r="AG79">
        <v>-4.0473366884251627E-2</v>
      </c>
      <c r="AH79">
        <v>0.5308859520313316</v>
      </c>
      <c r="AI79">
        <v>1.2690586419753216</v>
      </c>
      <c r="AJ79">
        <v>-0.17873221620739188</v>
      </c>
      <c r="AK79">
        <v>0.55822458501956751</v>
      </c>
      <c r="AL79">
        <v>0</v>
      </c>
      <c r="AM79">
        <v>0.38102472412961186</v>
      </c>
      <c r="AN79">
        <v>0</v>
      </c>
      <c r="AO79">
        <v>-2.1249999999995772E-2</v>
      </c>
      <c r="AP79">
        <v>-0.5031098413832098</v>
      </c>
      <c r="AQ79">
        <v>0</v>
      </c>
      <c r="AR79">
        <v>0</v>
      </c>
      <c r="AS79">
        <v>0</v>
      </c>
      <c r="AT79">
        <v>7.8999999999998849E-2</v>
      </c>
      <c r="AU79">
        <v>0</v>
      </c>
      <c r="AV79">
        <v>1.1083028405447282E-2</v>
      </c>
      <c r="AW79">
        <v>0</v>
      </c>
      <c r="AX79">
        <v>0.21713133561268072</v>
      </c>
      <c r="AY79">
        <v>0</v>
      </c>
      <c r="AZ79">
        <v>0.27136087465093595</v>
      </c>
      <c r="BA79">
        <v>0.26175000000000304</v>
      </c>
      <c r="BB79">
        <v>5.6081374809363593E-2</v>
      </c>
      <c r="BC79">
        <v>0</v>
      </c>
      <c r="BD79">
        <v>1.0479041916167553E-2</v>
      </c>
      <c r="BE79">
        <v>1.3236252658305352</v>
      </c>
      <c r="BF79">
        <v>0.95018723404255212</v>
      </c>
      <c r="BG79">
        <v>0.29753706199460783</v>
      </c>
    </row>
    <row r="80" spans="1:59" x14ac:dyDescent="0.25">
      <c r="A80" s="3">
        <v>41486</v>
      </c>
      <c r="B80">
        <v>10.506808615994046</v>
      </c>
      <c r="C80">
        <v>0</v>
      </c>
      <c r="D80">
        <v>0</v>
      </c>
      <c r="E80">
        <v>0</v>
      </c>
      <c r="F80">
        <v>0</v>
      </c>
      <c r="G80">
        <v>1.1154237345880098</v>
      </c>
      <c r="H80">
        <v>0</v>
      </c>
      <c r="I80">
        <v>9.6799999999999331E-2</v>
      </c>
      <c r="J80">
        <v>9.6841704718418908E-2</v>
      </c>
      <c r="K80">
        <v>1.097099621689789</v>
      </c>
      <c r="L80">
        <v>5.6756652703999988E-2</v>
      </c>
      <c r="M80">
        <v>-0.19981308411214838</v>
      </c>
      <c r="N80">
        <v>-0.23027681660899557</v>
      </c>
      <c r="O80">
        <v>7.5895589768836702E-2</v>
      </c>
      <c r="P80">
        <v>0</v>
      </c>
      <c r="Q80">
        <v>0</v>
      </c>
      <c r="R80">
        <v>-0.10848858959970453</v>
      </c>
      <c r="S80">
        <v>0</v>
      </c>
      <c r="T80">
        <v>0</v>
      </c>
      <c r="U80">
        <v>0</v>
      </c>
      <c r="V80">
        <v>-0.27493093796308088</v>
      </c>
      <c r="W80">
        <v>0.17154649812975653</v>
      </c>
      <c r="X80">
        <v>4.7541224250133629E-2</v>
      </c>
      <c r="Y80">
        <v>0</v>
      </c>
      <c r="Z80">
        <v>0</v>
      </c>
      <c r="AA80">
        <v>5.7382689220283334E-2</v>
      </c>
      <c r="AB80">
        <v>0.65098060115113254</v>
      </c>
      <c r="AC80">
        <v>0.1634948096885811</v>
      </c>
      <c r="AD80">
        <v>0</v>
      </c>
      <c r="AE80">
        <v>0.58185053380782459</v>
      </c>
      <c r="AF80">
        <v>-9.9340461676841185E-3</v>
      </c>
      <c r="AG80">
        <v>-5.2578603816834213E-2</v>
      </c>
      <c r="AH80">
        <v>0.6268722466960408</v>
      </c>
      <c r="AI80">
        <v>1.581558641975322</v>
      </c>
      <c r="AJ80">
        <v>-0.11735602948777046</v>
      </c>
      <c r="AK80">
        <v>0.64453894763234842</v>
      </c>
      <c r="AL80">
        <v>0</v>
      </c>
      <c r="AM80">
        <v>0.39094540257803168</v>
      </c>
      <c r="AN80">
        <v>0</v>
      </c>
      <c r="AO80">
        <v>0.18090909090909602</v>
      </c>
      <c r="AP80">
        <v>-0.5612594113620808</v>
      </c>
      <c r="AQ80">
        <v>0</v>
      </c>
      <c r="AR80">
        <v>0</v>
      </c>
      <c r="AS80">
        <v>0</v>
      </c>
      <c r="AT80">
        <v>8.4999999999998854E-2</v>
      </c>
      <c r="AU80">
        <v>0</v>
      </c>
      <c r="AV80">
        <v>1.4787430683918634E-2</v>
      </c>
      <c r="AW80">
        <v>0</v>
      </c>
      <c r="AX80">
        <v>0.13591981739078851</v>
      </c>
      <c r="AY80">
        <v>0</v>
      </c>
      <c r="AZ80">
        <v>0.33946632170061219</v>
      </c>
      <c r="BA80">
        <v>0.37312500000000393</v>
      </c>
      <c r="BB80">
        <v>7.7224540765178595E-2</v>
      </c>
      <c r="BC80">
        <v>0</v>
      </c>
      <c r="BD80">
        <v>2.2735778443113475E-2</v>
      </c>
      <c r="BE80">
        <v>1.3205275196650081</v>
      </c>
      <c r="BF80">
        <v>1.2513531914893599</v>
      </c>
      <c r="BG80">
        <v>0.32748652291104974</v>
      </c>
    </row>
    <row r="81" spans="1:59" x14ac:dyDescent="0.25">
      <c r="A81" s="3">
        <v>41517</v>
      </c>
      <c r="B81">
        <v>9.6719485021044722</v>
      </c>
      <c r="C81">
        <v>0</v>
      </c>
      <c r="D81">
        <v>0</v>
      </c>
      <c r="E81">
        <v>0</v>
      </c>
      <c r="F81">
        <v>0</v>
      </c>
      <c r="G81">
        <v>1.1408088194030661</v>
      </c>
      <c r="H81">
        <v>0</v>
      </c>
      <c r="I81">
        <v>9.2399999999999149E-2</v>
      </c>
      <c r="J81">
        <v>9.2045181446769764E-2</v>
      </c>
      <c r="K81">
        <v>1.1967213114754136</v>
      </c>
      <c r="L81">
        <v>4.629476184223047E-2</v>
      </c>
      <c r="M81">
        <v>-0.25149532710280254</v>
      </c>
      <c r="N81">
        <v>-0.26539792387543149</v>
      </c>
      <c r="O81">
        <v>8.1813015512565368E-2</v>
      </c>
      <c r="P81">
        <v>0</v>
      </c>
      <c r="Q81">
        <v>0</v>
      </c>
      <c r="R81">
        <v>-0.1137598204264908</v>
      </c>
      <c r="S81">
        <v>0</v>
      </c>
      <c r="T81">
        <v>0</v>
      </c>
      <c r="U81">
        <v>0</v>
      </c>
      <c r="V81">
        <v>-0.32297250324728721</v>
      </c>
      <c r="W81">
        <v>0.16312295984680891</v>
      </c>
      <c r="X81">
        <v>2.493516660957984E-2</v>
      </c>
      <c r="Y81">
        <v>0</v>
      </c>
      <c r="Z81">
        <v>0</v>
      </c>
      <c r="AA81">
        <v>6.4813541018551746E-2</v>
      </c>
      <c r="AB81">
        <v>0.59560861223618966</v>
      </c>
      <c r="AC81">
        <v>0.47145328719723167</v>
      </c>
      <c r="AD81">
        <v>0</v>
      </c>
      <c r="AE81">
        <v>0.52669039145906948</v>
      </c>
      <c r="AF81">
        <v>-1.604077145997973E-2</v>
      </c>
      <c r="AG81">
        <v>-9.6275848323286506E-2</v>
      </c>
      <c r="AH81">
        <v>0.61825746451297725</v>
      </c>
      <c r="AI81">
        <v>1.5282021604938403</v>
      </c>
      <c r="AJ81">
        <v>-5.2535295557790351E-2</v>
      </c>
      <c r="AK81">
        <v>0.59255131183570753</v>
      </c>
      <c r="AL81">
        <v>0</v>
      </c>
      <c r="AM81">
        <v>0.38825016218452624</v>
      </c>
      <c r="AN81">
        <v>0</v>
      </c>
      <c r="AO81">
        <v>0.34795454545455118</v>
      </c>
      <c r="AP81">
        <v>-0.59673243460405301</v>
      </c>
      <c r="AQ81">
        <v>0</v>
      </c>
      <c r="AR81">
        <v>0</v>
      </c>
      <c r="AS81">
        <v>0</v>
      </c>
      <c r="AT81">
        <v>8.0999999999999073E-2</v>
      </c>
      <c r="AU81">
        <v>0</v>
      </c>
      <c r="AV81">
        <v>1.6764117846769011E-2</v>
      </c>
      <c r="AW81">
        <v>0</v>
      </c>
      <c r="AX81">
        <v>-3.0896521722878934E-2</v>
      </c>
      <c r="AY81">
        <v>0</v>
      </c>
      <c r="AZ81">
        <v>0.32090825333896689</v>
      </c>
      <c r="BA81">
        <v>0.25918750000000301</v>
      </c>
      <c r="BB81">
        <v>9.1276729364416109E-2</v>
      </c>
      <c r="BC81">
        <v>0</v>
      </c>
      <c r="BD81">
        <v>2.1051646706586657E-2</v>
      </c>
      <c r="BE81">
        <v>1.3076900160417759</v>
      </c>
      <c r="BF81">
        <v>1.2072312056737577</v>
      </c>
      <c r="BG81">
        <v>0.27860175202156179</v>
      </c>
    </row>
    <row r="82" spans="1:59" x14ac:dyDescent="0.25">
      <c r="A82" s="3">
        <v>41547</v>
      </c>
      <c r="B82">
        <v>10.50383758356028</v>
      </c>
      <c r="C82">
        <v>0</v>
      </c>
      <c r="D82">
        <v>0</v>
      </c>
      <c r="E82">
        <v>0</v>
      </c>
      <c r="F82">
        <v>0</v>
      </c>
      <c r="G82">
        <v>1.132245584125454</v>
      </c>
      <c r="H82">
        <v>0</v>
      </c>
      <c r="I82">
        <v>0.10099999999999931</v>
      </c>
      <c r="J82">
        <v>0.11109108387407085</v>
      </c>
      <c r="K82">
        <v>1.3316519546027776</v>
      </c>
      <c r="L82">
        <v>7.2870648793023296E-2</v>
      </c>
      <c r="M82">
        <v>-0.16831775700934481</v>
      </c>
      <c r="N82">
        <v>-0.21730103806228274</v>
      </c>
      <c r="O82">
        <v>0.10182655629954773</v>
      </c>
      <c r="P82">
        <v>0</v>
      </c>
      <c r="Q82">
        <v>0</v>
      </c>
      <c r="R82">
        <v>-5.0942760942764287E-2</v>
      </c>
      <c r="S82">
        <v>0</v>
      </c>
      <c r="T82">
        <v>0</v>
      </c>
      <c r="U82">
        <v>0</v>
      </c>
      <c r="V82">
        <v>-0.27734582243281225</v>
      </c>
      <c r="W82">
        <v>0.1949121431902292</v>
      </c>
      <c r="X82">
        <v>6.5322699026275632E-2</v>
      </c>
      <c r="Y82">
        <v>0</v>
      </c>
      <c r="Z82">
        <v>0</v>
      </c>
      <c r="AA82">
        <v>7.1831567716916345E-2</v>
      </c>
      <c r="AB82">
        <v>0.71157535706671515</v>
      </c>
      <c r="AC82">
        <v>0.43598615916955019</v>
      </c>
      <c r="AD82">
        <v>0</v>
      </c>
      <c r="AE82">
        <v>0.57630311911240772</v>
      </c>
      <c r="AF82">
        <v>6.0407714599761686E-3</v>
      </c>
      <c r="AG82">
        <v>-5.080173401764132E-2</v>
      </c>
      <c r="AH82">
        <v>0.69534997552619227</v>
      </c>
      <c r="AI82">
        <v>1.735185185185196</v>
      </c>
      <c r="AJ82">
        <v>-0.10120440140365961</v>
      </c>
      <c r="AK82">
        <v>0.68194105456155163</v>
      </c>
      <c r="AL82">
        <v>0</v>
      </c>
      <c r="AM82">
        <v>0.39864250770180942</v>
      </c>
      <c r="AN82">
        <v>0</v>
      </c>
      <c r="AO82">
        <v>0.63136363636364279</v>
      </c>
      <c r="AP82">
        <v>-0.53932684581733747</v>
      </c>
      <c r="AQ82">
        <v>0</v>
      </c>
      <c r="AR82">
        <v>0</v>
      </c>
      <c r="AS82">
        <v>0</v>
      </c>
      <c r="AT82">
        <v>9.6999999999999087E-2</v>
      </c>
      <c r="AU82">
        <v>0</v>
      </c>
      <c r="AV82">
        <v>1.6869742351654171E-2</v>
      </c>
      <c r="AW82">
        <v>0</v>
      </c>
      <c r="AX82">
        <v>9.7052774207357029E-2</v>
      </c>
      <c r="AY82">
        <v>0</v>
      </c>
      <c r="AZ82">
        <v>0.39549570512740084</v>
      </c>
      <c r="BA82">
        <v>0.26043750000000299</v>
      </c>
      <c r="BB82">
        <v>7.6389152503669289E-2</v>
      </c>
      <c r="BC82">
        <v>0</v>
      </c>
      <c r="BD82">
        <v>3.695733532934109E-2</v>
      </c>
      <c r="BE82">
        <v>1.3661150534864026</v>
      </c>
      <c r="BF82">
        <v>1.3552539007092181</v>
      </c>
      <c r="BG82">
        <v>0.3729312668463598</v>
      </c>
    </row>
    <row r="83" spans="1:59" x14ac:dyDescent="0.25">
      <c r="A83" s="3">
        <v>41578</v>
      </c>
      <c r="B83">
        <v>11.176281257737061</v>
      </c>
      <c r="C83">
        <v>0</v>
      </c>
      <c r="D83">
        <v>0</v>
      </c>
      <c r="E83">
        <v>0</v>
      </c>
      <c r="F83">
        <v>0</v>
      </c>
      <c r="G83">
        <v>1.1642292678873356</v>
      </c>
      <c r="H83">
        <v>0</v>
      </c>
      <c r="I83">
        <v>0.11719999999999908</v>
      </c>
      <c r="J83">
        <v>0.13351157574301209</v>
      </c>
      <c r="K83">
        <v>1.4199243379571276</v>
      </c>
      <c r="L83">
        <v>0.12833806133562264</v>
      </c>
      <c r="M83">
        <v>-0.13794392523364418</v>
      </c>
      <c r="N83">
        <v>-0.19152249134947996</v>
      </c>
      <c r="O83">
        <v>0.12066779041226994</v>
      </c>
      <c r="P83">
        <v>0</v>
      </c>
      <c r="Q83">
        <v>0</v>
      </c>
      <c r="R83">
        <v>5.5518144407029624E-2</v>
      </c>
      <c r="S83">
        <v>0</v>
      </c>
      <c r="T83">
        <v>0</v>
      </c>
      <c r="U83">
        <v>0</v>
      </c>
      <c r="V83">
        <v>-0.29315233896196469</v>
      </c>
      <c r="W83">
        <v>0.22746529879252719</v>
      </c>
      <c r="X83">
        <v>0.10591574105788526</v>
      </c>
      <c r="Y83">
        <v>0</v>
      </c>
      <c r="Z83">
        <v>0</v>
      </c>
      <c r="AA83">
        <v>7.9537636248453891E-2</v>
      </c>
      <c r="AB83">
        <v>0.74301854615219898</v>
      </c>
      <c r="AC83">
        <v>0.18944636678200677</v>
      </c>
      <c r="AD83">
        <v>0</v>
      </c>
      <c r="AE83">
        <v>0.65396692484822494</v>
      </c>
      <c r="AF83">
        <v>1.6774258019384591E-2</v>
      </c>
      <c r="AG83">
        <v>-2.5315660969656539E-2</v>
      </c>
      <c r="AH83">
        <v>0.78844836025453224</v>
      </c>
      <c r="AI83">
        <v>1.6794367283950717</v>
      </c>
      <c r="AJ83">
        <v>-0.10706999265525785</v>
      </c>
      <c r="AK83">
        <v>0.77568138278492205</v>
      </c>
      <c r="AL83">
        <v>0</v>
      </c>
      <c r="AM83">
        <v>0.42527210958973072</v>
      </c>
      <c r="AN83">
        <v>1.4447987245918004E-3</v>
      </c>
      <c r="AO83">
        <v>0.17295454545454958</v>
      </c>
      <c r="AP83">
        <v>-0.54661786150046088</v>
      </c>
      <c r="AQ83">
        <v>0</v>
      </c>
      <c r="AR83">
        <v>0</v>
      </c>
      <c r="AS83">
        <v>0</v>
      </c>
      <c r="AT83">
        <v>0.11399999999999899</v>
      </c>
      <c r="AU83">
        <v>0</v>
      </c>
      <c r="AV83">
        <v>1.9714059376060744E-2</v>
      </c>
      <c r="AW83">
        <v>0</v>
      </c>
      <c r="AX83">
        <v>0.25534785779284852</v>
      </c>
      <c r="AY83">
        <v>0</v>
      </c>
      <c r="AZ83">
        <v>0.45054834811410172</v>
      </c>
      <c r="BA83">
        <v>0.36018750000000344</v>
      </c>
      <c r="BB83">
        <v>7.5914374364825399E-2</v>
      </c>
      <c r="BC83">
        <v>0</v>
      </c>
      <c r="BD83">
        <v>5.3517964071855939E-2</v>
      </c>
      <c r="BE83">
        <v>1.3958327147244356</v>
      </c>
      <c r="BF83">
        <v>1.3341900709219847</v>
      </c>
      <c r="BG83">
        <v>0.41734164420484987</v>
      </c>
    </row>
    <row r="84" spans="1:59" x14ac:dyDescent="0.25">
      <c r="A84" s="3">
        <v>41608</v>
      </c>
      <c r="B84">
        <v>11.32978460014855</v>
      </c>
      <c r="C84">
        <v>0</v>
      </c>
      <c r="D84">
        <v>0</v>
      </c>
      <c r="E84">
        <v>0</v>
      </c>
      <c r="F84">
        <v>0</v>
      </c>
      <c r="G84">
        <v>1.1642292678873356</v>
      </c>
      <c r="H84">
        <v>0</v>
      </c>
      <c r="I84">
        <v>0.12009999999999943</v>
      </c>
      <c r="J84">
        <v>0.13517383641752945</v>
      </c>
      <c r="K84">
        <v>1.4653215636822217</v>
      </c>
      <c r="L84">
        <v>0.15993152705302016</v>
      </c>
      <c r="M84">
        <v>-0.11859813084112092</v>
      </c>
      <c r="N84">
        <v>-0.17491349480968732</v>
      </c>
      <c r="O84">
        <v>0.13624507269900055</v>
      </c>
      <c r="P84">
        <v>0</v>
      </c>
      <c r="Q84">
        <v>0</v>
      </c>
      <c r="R84">
        <v>9.3782267115596563E-2</v>
      </c>
      <c r="S84">
        <v>0</v>
      </c>
      <c r="T84">
        <v>0</v>
      </c>
      <c r="U84">
        <v>0</v>
      </c>
      <c r="V84">
        <v>-0.3168804083350093</v>
      </c>
      <c r="W84">
        <v>0.25809364117116007</v>
      </c>
      <c r="X84">
        <v>0.13049860547047065</v>
      </c>
      <c r="Y84">
        <v>0</v>
      </c>
      <c r="Z84">
        <v>0</v>
      </c>
      <c r="AA84">
        <v>8.7518921513260794E-2</v>
      </c>
      <c r="AB84">
        <v>0.73928799829459968</v>
      </c>
      <c r="AC84">
        <v>0.1851211072664356</v>
      </c>
      <c r="AD84">
        <v>0</v>
      </c>
      <c r="AE84">
        <v>0.702532970483561</v>
      </c>
      <c r="AF84">
        <v>1.697911461976398E-2</v>
      </c>
      <c r="AG84">
        <v>-6.8014350490808506E-2</v>
      </c>
      <c r="AH84">
        <v>0.84292706803720496</v>
      </c>
      <c r="AI84">
        <v>1.9251543209876649</v>
      </c>
      <c r="AJ84">
        <v>-0.15250537254155094</v>
      </c>
      <c r="AK84">
        <v>0.81758490595604982</v>
      </c>
      <c r="AL84">
        <v>0</v>
      </c>
      <c r="AM84">
        <v>0.41906913918409749</v>
      </c>
      <c r="AN84">
        <v>2.9384216819450248E-3</v>
      </c>
      <c r="AO84">
        <v>0.3427272727272781</v>
      </c>
      <c r="AP84">
        <v>-0.57477010981162358</v>
      </c>
      <c r="AQ84">
        <v>0</v>
      </c>
      <c r="AR84">
        <v>0</v>
      </c>
      <c r="AS84">
        <v>0</v>
      </c>
      <c r="AT84">
        <v>0.11199999999999832</v>
      </c>
      <c r="AU84">
        <v>0</v>
      </c>
      <c r="AV84">
        <v>2.2671545512844338E-2</v>
      </c>
      <c r="AW84">
        <v>0</v>
      </c>
      <c r="AX84">
        <v>0.3210035287441233</v>
      </c>
      <c r="AY84">
        <v>0</v>
      </c>
      <c r="AZ84">
        <v>0.5128821471087206</v>
      </c>
      <c r="BA84">
        <v>0.49300000000000432</v>
      </c>
      <c r="BB84">
        <v>8.7586191253198775E-2</v>
      </c>
      <c r="BC84">
        <v>0</v>
      </c>
      <c r="BD84">
        <v>5.7166916167664228E-2</v>
      </c>
      <c r="BE84">
        <v>1.3703686262528163</v>
      </c>
      <c r="BF84">
        <v>1.4953049645390082</v>
      </c>
      <c r="BG84">
        <v>0.41768530997304443</v>
      </c>
    </row>
    <row r="85" spans="1:59" x14ac:dyDescent="0.25">
      <c r="A85" s="3">
        <v>41639</v>
      </c>
      <c r="B85">
        <v>12.160089130973004</v>
      </c>
      <c r="C85">
        <v>0</v>
      </c>
      <c r="D85">
        <v>0</v>
      </c>
      <c r="E85">
        <v>8.5372988785956672E-3</v>
      </c>
      <c r="F85">
        <v>0</v>
      </c>
      <c r="G85">
        <v>1.1728861849588847</v>
      </c>
      <c r="H85">
        <v>0</v>
      </c>
      <c r="I85">
        <v>0.12219999999999964</v>
      </c>
      <c r="J85">
        <v>0.13616518465112737</v>
      </c>
      <c r="K85">
        <v>1.5346784363177814</v>
      </c>
      <c r="L85">
        <v>0.18336214389949124</v>
      </c>
      <c r="M85">
        <v>-0.21700934579439191</v>
      </c>
      <c r="N85">
        <v>-0.261591695501729</v>
      </c>
      <c r="O85">
        <v>0.15215250371678657</v>
      </c>
      <c r="P85">
        <v>0</v>
      </c>
      <c r="Q85">
        <v>0</v>
      </c>
      <c r="R85">
        <v>0.11962962962962576</v>
      </c>
      <c r="S85">
        <v>0</v>
      </c>
      <c r="T85">
        <v>0</v>
      </c>
      <c r="U85">
        <v>0</v>
      </c>
      <c r="V85">
        <v>-0.30784288615283206</v>
      </c>
      <c r="W85">
        <v>0.29738364305628617</v>
      </c>
      <c r="X85">
        <v>0.14553016587561829</v>
      </c>
      <c r="Y85">
        <v>0</v>
      </c>
      <c r="Z85">
        <v>0</v>
      </c>
      <c r="AA85">
        <v>9.3711298011817989E-2</v>
      </c>
      <c r="AB85">
        <v>0.74973353229587825</v>
      </c>
      <c r="AC85">
        <v>0.18685121107266389</v>
      </c>
      <c r="AD85">
        <v>0</v>
      </c>
      <c r="AE85">
        <v>0.73278208080384633</v>
      </c>
      <c r="AF85">
        <v>1.8205256320573682E-2</v>
      </c>
      <c r="AG85">
        <v>-7.0479844536351255E-2</v>
      </c>
      <c r="AH85">
        <v>0.88526676456192344</v>
      </c>
      <c r="AI85">
        <v>1.9630015432098871</v>
      </c>
      <c r="AJ85">
        <v>-0.18867821876445057</v>
      </c>
      <c r="AK85">
        <v>0.84666585701245345</v>
      </c>
      <c r="AL85">
        <v>0</v>
      </c>
      <c r="AM85">
        <v>0.4246993710061111</v>
      </c>
      <c r="AN85">
        <v>1.2923475488242353E-3</v>
      </c>
      <c r="AO85">
        <v>0.13488636363636775</v>
      </c>
      <c r="AP85">
        <v>-0.55795613486891016</v>
      </c>
      <c r="AQ85">
        <v>0</v>
      </c>
      <c r="AR85">
        <v>0</v>
      </c>
      <c r="AS85">
        <v>0</v>
      </c>
      <c r="AT85">
        <v>0.11299999999999821</v>
      </c>
      <c r="AU85">
        <v>0</v>
      </c>
      <c r="AV85">
        <v>2.3312837149646937E-2</v>
      </c>
      <c r="AW85">
        <v>0</v>
      </c>
      <c r="AX85">
        <v>0.44170220700637985</v>
      </c>
      <c r="AY85">
        <v>0</v>
      </c>
      <c r="AZ85">
        <v>0.55106381885756162</v>
      </c>
      <c r="BA85">
        <v>0.44118750000000362</v>
      </c>
      <c r="BB85">
        <v>8.5599999574921259E-2</v>
      </c>
      <c r="BC85">
        <v>0</v>
      </c>
      <c r="BD85">
        <v>6.3903443113771718E-2</v>
      </c>
      <c r="BE85">
        <v>1.3502217358656088</v>
      </c>
      <c r="BF85">
        <v>1.5198723404255343</v>
      </c>
      <c r="BG85">
        <v>0.4837735849056588</v>
      </c>
    </row>
    <row r="86" spans="1:59" x14ac:dyDescent="0.25">
      <c r="A86" s="3">
        <v>41670</v>
      </c>
      <c r="B86">
        <v>14.719732607080953</v>
      </c>
      <c r="C86">
        <v>0</v>
      </c>
      <c r="D86">
        <v>0</v>
      </c>
      <c r="E86">
        <v>5.7935153583618115E-2</v>
      </c>
      <c r="F86">
        <v>0</v>
      </c>
      <c r="G86">
        <v>1.2163439086580623</v>
      </c>
      <c r="H86">
        <v>0</v>
      </c>
      <c r="I86">
        <v>0.12729999999999975</v>
      </c>
      <c r="J86">
        <v>0.14618881679083784</v>
      </c>
      <c r="K86">
        <v>1.6355611601513238</v>
      </c>
      <c r="L86">
        <v>0.13957774457520999</v>
      </c>
      <c r="M86">
        <v>-0.34177570093457865</v>
      </c>
      <c r="N86">
        <v>-0.36314878892733449</v>
      </c>
      <c r="O86">
        <v>0.17243038778220199</v>
      </c>
      <c r="P86">
        <v>0</v>
      </c>
      <c r="Q86">
        <v>0</v>
      </c>
      <c r="R86">
        <v>0.14095772540216567</v>
      </c>
      <c r="S86">
        <v>0</v>
      </c>
      <c r="T86">
        <v>0</v>
      </c>
      <c r="U86">
        <v>0</v>
      </c>
      <c r="V86">
        <v>-0.30784288615283206</v>
      </c>
      <c r="W86">
        <v>0.32219785889333208</v>
      </c>
      <c r="X86">
        <v>0.1013847433576367</v>
      </c>
      <c r="Y86">
        <v>0</v>
      </c>
      <c r="Z86">
        <v>0</v>
      </c>
      <c r="AA86">
        <v>9.9903674510375184E-2</v>
      </c>
      <c r="AB86">
        <v>0.72553826476230299</v>
      </c>
      <c r="AC86">
        <v>0.59256055363321702</v>
      </c>
      <c r="AD86">
        <v>0</v>
      </c>
      <c r="AE86">
        <v>0.68264601214150566</v>
      </c>
      <c r="AF86">
        <v>2.3419606275605576E-2</v>
      </c>
      <c r="AG86">
        <v>-0.11919776770143187</v>
      </c>
      <c r="AH86">
        <v>0.8570729319628041</v>
      </c>
      <c r="AI86">
        <v>2.2089891975308764</v>
      </c>
      <c r="AJ86">
        <v>-0.1621113408231537</v>
      </c>
      <c r="AK86">
        <v>0.86576847284850555</v>
      </c>
      <c r="AL86">
        <v>0</v>
      </c>
      <c r="AM86">
        <v>0.44728767930400437</v>
      </c>
      <c r="AN86">
        <v>5.6327222000793764E-3</v>
      </c>
      <c r="AO86">
        <v>0.26784090909091307</v>
      </c>
      <c r="AP86">
        <v>-0.59417313930303806</v>
      </c>
      <c r="AQ86">
        <v>0</v>
      </c>
      <c r="AR86">
        <v>0</v>
      </c>
      <c r="AS86">
        <v>0</v>
      </c>
      <c r="AT86">
        <v>0.13199999999999745</v>
      </c>
      <c r="AU86">
        <v>0</v>
      </c>
      <c r="AV86">
        <v>2.6956882568184071E-2</v>
      </c>
      <c r="AW86">
        <v>0</v>
      </c>
      <c r="AX86">
        <v>0.41723410684972362</v>
      </c>
      <c r="AY86">
        <v>0</v>
      </c>
      <c r="AZ86">
        <v>0.51776584930915392</v>
      </c>
      <c r="BA86">
        <v>0.4185000000000032</v>
      </c>
      <c r="BB86">
        <v>9.4410172756817623E-2</v>
      </c>
      <c r="BC86">
        <v>0</v>
      </c>
      <c r="BD86">
        <v>7.3166167664669768E-2</v>
      </c>
      <c r="BE86">
        <v>1.4159130413625882</v>
      </c>
      <c r="BF86">
        <v>1.7578524822695063</v>
      </c>
      <c r="BG86">
        <v>0.43971361185983593</v>
      </c>
    </row>
    <row r="87" spans="1:59" x14ac:dyDescent="0.25">
      <c r="A87" s="3">
        <v>41698</v>
      </c>
      <c r="B87">
        <v>16.509284476355521</v>
      </c>
      <c r="C87">
        <v>0</v>
      </c>
      <c r="D87">
        <v>0</v>
      </c>
      <c r="E87">
        <v>8.7771818625061782E-2</v>
      </c>
      <c r="F87">
        <v>0</v>
      </c>
      <c r="G87">
        <v>1.2252092842926943</v>
      </c>
      <c r="H87">
        <v>0</v>
      </c>
      <c r="I87">
        <v>0.1393999999999993</v>
      </c>
      <c r="J87">
        <v>0.16459384763278284</v>
      </c>
      <c r="K87">
        <v>1.8827238335435048</v>
      </c>
      <c r="L87">
        <v>0.19336581411915987</v>
      </c>
      <c r="M87">
        <v>-0.34682242990654155</v>
      </c>
      <c r="N87">
        <v>-0.3780276816608984</v>
      </c>
      <c r="O87">
        <v>0.19447207907250741</v>
      </c>
      <c r="P87">
        <v>0</v>
      </c>
      <c r="Q87">
        <v>0</v>
      </c>
      <c r="R87">
        <v>6.6315001870553614E-2</v>
      </c>
      <c r="S87">
        <v>0</v>
      </c>
      <c r="T87">
        <v>0</v>
      </c>
      <c r="U87">
        <v>0</v>
      </c>
      <c r="V87">
        <v>-0.2863833446149896</v>
      </c>
      <c r="W87">
        <v>0.34214051136532797</v>
      </c>
      <c r="X87">
        <v>0.15737143416352839</v>
      </c>
      <c r="Y87">
        <v>0</v>
      </c>
      <c r="Z87">
        <v>0</v>
      </c>
      <c r="AA87">
        <v>0.10774735140854719</v>
      </c>
      <c r="AB87">
        <v>0.89160093796631057</v>
      </c>
      <c r="AC87">
        <v>0.21107266435986061</v>
      </c>
      <c r="AD87">
        <v>0</v>
      </c>
      <c r="AE87">
        <v>0.75842579024491719</v>
      </c>
      <c r="AF87">
        <v>3.9547316878183469E-2</v>
      </c>
      <c r="AG87">
        <v>-7.5385918580897937E-2</v>
      </c>
      <c r="AH87">
        <v>0.9625550660792983</v>
      </c>
      <c r="AI87">
        <v>2.4505401234568009</v>
      </c>
      <c r="AJ87">
        <v>-0.10596488126002934</v>
      </c>
      <c r="AK87">
        <v>0.95630021978193946</v>
      </c>
      <c r="AL87">
        <v>0</v>
      </c>
      <c r="AM87">
        <v>0.46642937059869061</v>
      </c>
      <c r="AN87">
        <v>8.6199681147867135E-3</v>
      </c>
      <c r="AO87">
        <v>0.15863636363636702</v>
      </c>
      <c r="AP87">
        <v>-0.58539416123560339</v>
      </c>
      <c r="AQ87">
        <v>0</v>
      </c>
      <c r="AR87">
        <v>0</v>
      </c>
      <c r="AS87">
        <v>0</v>
      </c>
      <c r="AT87">
        <v>0.14699999999999736</v>
      </c>
      <c r="AU87">
        <v>0</v>
      </c>
      <c r="AV87">
        <v>3.1823154400392406E-2</v>
      </c>
      <c r="AW87">
        <v>0</v>
      </c>
      <c r="AX87">
        <v>0.54951719556271228</v>
      </c>
      <c r="AY87">
        <v>0</v>
      </c>
      <c r="AZ87">
        <v>0.60824753189535996</v>
      </c>
      <c r="BA87">
        <v>0.39581250000000234</v>
      </c>
      <c r="BB87">
        <v>8.6574279868884441E-2</v>
      </c>
      <c r="BC87">
        <v>0</v>
      </c>
      <c r="BD87">
        <v>8.4767964071855051E-2</v>
      </c>
      <c r="BE87">
        <v>1.4317055185052805</v>
      </c>
      <c r="BF87">
        <v>1.9121418439716344</v>
      </c>
      <c r="BG87">
        <v>0.52643867924528021</v>
      </c>
    </row>
    <row r="88" spans="1:59" x14ac:dyDescent="0.25">
      <c r="A88" s="3">
        <v>41729</v>
      </c>
      <c r="B88">
        <v>14.066105471651385</v>
      </c>
      <c r="C88">
        <v>0</v>
      </c>
      <c r="D88">
        <v>0</v>
      </c>
      <c r="E88">
        <v>0.14004144319844047</v>
      </c>
      <c r="F88">
        <v>0</v>
      </c>
      <c r="G88">
        <v>1.2585874235570849</v>
      </c>
      <c r="H88">
        <v>0</v>
      </c>
      <c r="I88">
        <v>0.13949999999999929</v>
      </c>
      <c r="J88">
        <v>0.16964071136746206</v>
      </c>
      <c r="K88">
        <v>1.5271122320302646</v>
      </c>
      <c r="L88">
        <v>0.2085215599584731</v>
      </c>
      <c r="M88">
        <v>-0.33467289719626103</v>
      </c>
      <c r="N88">
        <v>-0.33356401384082912</v>
      </c>
      <c r="O88">
        <v>0.21298639629813132</v>
      </c>
      <c r="P88">
        <v>0</v>
      </c>
      <c r="Q88">
        <v>0</v>
      </c>
      <c r="R88">
        <v>-3.105125327351077E-3</v>
      </c>
      <c r="S88">
        <v>0</v>
      </c>
      <c r="T88">
        <v>0</v>
      </c>
      <c r="U88">
        <v>0</v>
      </c>
      <c r="V88">
        <v>-0.33398583999560838</v>
      </c>
      <c r="W88">
        <v>0.30221551955074499</v>
      </c>
      <c r="X88">
        <v>0.16865489063952777</v>
      </c>
      <c r="Y88">
        <v>0</v>
      </c>
      <c r="Z88">
        <v>0</v>
      </c>
      <c r="AA88">
        <v>0.11435255300700797</v>
      </c>
      <c r="AB88">
        <v>0.8807823491792719</v>
      </c>
      <c r="AC88">
        <v>0.20069204152249043</v>
      </c>
      <c r="AD88">
        <v>0</v>
      </c>
      <c r="AE88">
        <v>0.76522922336193644</v>
      </c>
      <c r="AF88">
        <v>4.4107125012490034E-2</v>
      </c>
      <c r="AG88">
        <v>-4.8688026309234855E-2</v>
      </c>
      <c r="AH88">
        <v>0.90513950073421756</v>
      </c>
      <c r="AI88">
        <v>2.0848765432098855</v>
      </c>
      <c r="AJ88">
        <v>-0.13091319605015994</v>
      </c>
      <c r="AK88">
        <v>0.96801604682413012</v>
      </c>
      <c r="AL88">
        <v>0</v>
      </c>
      <c r="AM88">
        <v>0.46906898248407325</v>
      </c>
      <c r="AN88">
        <v>7.2190115583896652E-3</v>
      </c>
      <c r="AO88">
        <v>5.6590909090912689E-2</v>
      </c>
      <c r="AP88">
        <v>-0.61280242835461085</v>
      </c>
      <c r="AQ88">
        <v>0</v>
      </c>
      <c r="AR88">
        <v>0</v>
      </c>
      <c r="AS88">
        <v>0</v>
      </c>
      <c r="AT88">
        <v>0.14999999999999791</v>
      </c>
      <c r="AU88">
        <v>0</v>
      </c>
      <c r="AV88">
        <v>3.4803274359651137E-2</v>
      </c>
      <c r="AW88">
        <v>0</v>
      </c>
      <c r="AX88">
        <v>0.71942471055927193</v>
      </c>
      <c r="AY88">
        <v>0</v>
      </c>
      <c r="AZ88">
        <v>0.57344005439409118</v>
      </c>
      <c r="BA88">
        <v>0.37637500000000257</v>
      </c>
      <c r="BB88">
        <v>7.765320516334584E-2</v>
      </c>
      <c r="BC88">
        <v>0</v>
      </c>
      <c r="BD88">
        <v>9.3937125748501549E-2</v>
      </c>
      <c r="BE88">
        <v>1.4177625302020389</v>
      </c>
      <c r="BF88">
        <v>1.5887602836879466</v>
      </c>
      <c r="BG88">
        <v>0.59497978436657495</v>
      </c>
    </row>
    <row r="89" spans="1:59" x14ac:dyDescent="0.25">
      <c r="A89" s="3">
        <v>41759</v>
      </c>
      <c r="B89">
        <v>14.667244367417659</v>
      </c>
      <c r="C89">
        <v>0</v>
      </c>
      <c r="D89">
        <v>0</v>
      </c>
      <c r="E89">
        <v>0.14176011701609026</v>
      </c>
      <c r="F89">
        <v>0</v>
      </c>
      <c r="G89">
        <v>1.2766561229455409</v>
      </c>
      <c r="H89">
        <v>0</v>
      </c>
      <c r="I89">
        <v>0.1490999999999989</v>
      </c>
      <c r="J89">
        <v>0.18073580068893902</v>
      </c>
      <c r="K89">
        <v>1.2408575031525855</v>
      </c>
      <c r="L89">
        <v>0.23196687822166751</v>
      </c>
      <c r="M89">
        <v>-0.34990654205607452</v>
      </c>
      <c r="N89">
        <v>-0.36314878892733438</v>
      </c>
      <c r="O89">
        <v>0.24221936844891623</v>
      </c>
      <c r="P89">
        <v>0</v>
      </c>
      <c r="Q89">
        <v>0</v>
      </c>
      <c r="R89">
        <v>9.1470258136887583E-3</v>
      </c>
      <c r="S89">
        <v>0</v>
      </c>
      <c r="T89">
        <v>0</v>
      </c>
      <c r="U89">
        <v>0</v>
      </c>
      <c r="V89">
        <v>-0.37990523407914201</v>
      </c>
      <c r="W89">
        <v>0.26047485340662235</v>
      </c>
      <c r="X89">
        <v>0.17968390663991896</v>
      </c>
      <c r="Y89">
        <v>0</v>
      </c>
      <c r="Z89">
        <v>0</v>
      </c>
      <c r="AA89">
        <v>0.1206825378721994</v>
      </c>
      <c r="AB89">
        <v>0.98475804732465622</v>
      </c>
      <c r="AC89">
        <v>0.16003460207612341</v>
      </c>
      <c r="AD89">
        <v>0</v>
      </c>
      <c r="AE89">
        <v>0.77475402972576402</v>
      </c>
      <c r="AF89">
        <v>5.8822824023183617E-2</v>
      </c>
      <c r="AG89">
        <v>-4.1328416961484926E-2</v>
      </c>
      <c r="AH89">
        <v>0.8889867841409731</v>
      </c>
      <c r="AI89">
        <v>2.0046296296296373</v>
      </c>
      <c r="AJ89">
        <v>-0.12772707488914725</v>
      </c>
      <c r="AK89">
        <v>0.89253015635467481</v>
      </c>
      <c r="AL89">
        <v>0</v>
      </c>
      <c r="AM89">
        <v>0.48932872844199471</v>
      </c>
      <c r="AN89">
        <v>1.0920685532084473E-2</v>
      </c>
      <c r="AO89">
        <v>-1.579545454545106E-2</v>
      </c>
      <c r="AP89">
        <v>-0.68702199208403969</v>
      </c>
      <c r="AQ89">
        <v>0</v>
      </c>
      <c r="AR89">
        <v>0</v>
      </c>
      <c r="AS89">
        <v>0</v>
      </c>
      <c r="AT89">
        <v>0.15799999999999836</v>
      </c>
      <c r="AU89">
        <v>0</v>
      </c>
      <c r="AV89">
        <v>3.5965143913387676E-2</v>
      </c>
      <c r="AW89">
        <v>0</v>
      </c>
      <c r="AX89">
        <v>0.71197747095037722</v>
      </c>
      <c r="AY89">
        <v>0</v>
      </c>
      <c r="AZ89">
        <v>0.55044225675932434</v>
      </c>
      <c r="BA89">
        <v>0.32131250000000167</v>
      </c>
      <c r="BB89">
        <v>9.2982348164604378E-2</v>
      </c>
      <c r="BC89">
        <v>0</v>
      </c>
      <c r="BD89">
        <v>0.10319985029939982</v>
      </c>
      <c r="BE89">
        <v>1.4575984389121559</v>
      </c>
      <c r="BF89">
        <v>1.4874184397163162</v>
      </c>
      <c r="BG89">
        <v>0.5621057951482471</v>
      </c>
    </row>
    <row r="90" spans="1:59" x14ac:dyDescent="0.25">
      <c r="A90" s="3">
        <v>41790</v>
      </c>
      <c r="B90">
        <v>15.471403812824935</v>
      </c>
      <c r="C90">
        <v>0</v>
      </c>
      <c r="D90">
        <v>0</v>
      </c>
      <c r="E90">
        <v>0.18077523159434539</v>
      </c>
      <c r="F90">
        <v>0</v>
      </c>
      <c r="G90">
        <v>1.2994226841749965</v>
      </c>
      <c r="H90">
        <v>0</v>
      </c>
      <c r="I90">
        <v>0.16039999999999921</v>
      </c>
      <c r="J90">
        <v>0.20282584314668184</v>
      </c>
      <c r="K90">
        <v>1.3430012610340483</v>
      </c>
      <c r="L90">
        <v>0.25599023234699003</v>
      </c>
      <c r="M90">
        <v>-0.33467289719626148</v>
      </c>
      <c r="N90">
        <v>-0.33356401384082934</v>
      </c>
      <c r="O90">
        <v>0.26631842419682528</v>
      </c>
      <c r="P90">
        <v>0</v>
      </c>
      <c r="Q90">
        <v>0</v>
      </c>
      <c r="R90">
        <v>5.7014590347885807E-3</v>
      </c>
      <c r="S90">
        <v>0</v>
      </c>
      <c r="T90">
        <v>0</v>
      </c>
      <c r="U90">
        <v>0</v>
      </c>
      <c r="V90">
        <v>-0.309983351932822</v>
      </c>
      <c r="W90">
        <v>0.25474010060621755</v>
      </c>
      <c r="X90">
        <v>0.22060967852424596</v>
      </c>
      <c r="Y90">
        <v>0</v>
      </c>
      <c r="Z90">
        <v>0</v>
      </c>
      <c r="AA90">
        <v>0.12811338967046804</v>
      </c>
      <c r="AB90">
        <v>1.0895864421232067</v>
      </c>
      <c r="AC90">
        <v>-1.3840830449828201E-2</v>
      </c>
      <c r="AD90">
        <v>0</v>
      </c>
      <c r="AE90">
        <v>0.81881934268368672</v>
      </c>
      <c r="AF90">
        <v>6.4418906765264072E-2</v>
      </c>
      <c r="AG90">
        <v>-2.290298470277774E-2</v>
      </c>
      <c r="AH90">
        <v>0.97939304943710526</v>
      </c>
      <c r="AI90">
        <v>2.1265046296296384</v>
      </c>
      <c r="AJ90">
        <v>-0.16020034819509665</v>
      </c>
      <c r="AK90">
        <v>0.95925219292231678</v>
      </c>
      <c r="AL90">
        <v>0</v>
      </c>
      <c r="AM90">
        <v>0.50779347563784771</v>
      </c>
      <c r="AN90">
        <v>1.4855520127540434E-2</v>
      </c>
      <c r="AO90">
        <v>3.5227272727276437E-2</v>
      </c>
      <c r="AP90">
        <v>-0.65666755944409683</v>
      </c>
      <c r="AQ90">
        <v>0</v>
      </c>
      <c r="AR90">
        <v>0</v>
      </c>
      <c r="AS90">
        <v>0</v>
      </c>
      <c r="AT90">
        <v>0.17799999999999794</v>
      </c>
      <c r="AU90">
        <v>0</v>
      </c>
      <c r="AV90">
        <v>3.6870496812402953E-2</v>
      </c>
      <c r="AW90">
        <v>0</v>
      </c>
      <c r="AX90">
        <v>0.8930517221385772</v>
      </c>
      <c r="AY90">
        <v>0</v>
      </c>
      <c r="AZ90">
        <v>0.58809116099539005</v>
      </c>
      <c r="BA90">
        <v>0.36343750000000186</v>
      </c>
      <c r="BB90">
        <v>0.11665110763600506</v>
      </c>
      <c r="BC90">
        <v>0</v>
      </c>
      <c r="BD90">
        <v>0.11929266467065736</v>
      </c>
      <c r="BE90">
        <v>1.5105120376600252</v>
      </c>
      <c r="BF90">
        <v>1.5796510638297896</v>
      </c>
      <c r="BG90">
        <v>0.62050876010781564</v>
      </c>
    </row>
    <row r="91" spans="1:59" x14ac:dyDescent="0.25">
      <c r="A91" s="3">
        <v>41820</v>
      </c>
      <c r="B91">
        <v>14.474127259222561</v>
      </c>
      <c r="C91">
        <v>0</v>
      </c>
      <c r="D91">
        <v>0</v>
      </c>
      <c r="E91">
        <v>0.14064602632862133</v>
      </c>
      <c r="F91">
        <v>0</v>
      </c>
      <c r="G91">
        <v>1.3109197975958713</v>
      </c>
      <c r="H91">
        <v>0</v>
      </c>
      <c r="I91">
        <v>0.1644999999999992</v>
      </c>
      <c r="J91">
        <v>0.20962509012256869</v>
      </c>
      <c r="K91">
        <v>1.6229508196721305</v>
      </c>
      <c r="L91">
        <v>0.28048204187775649</v>
      </c>
      <c r="M91">
        <v>-0.30831775700934583</v>
      </c>
      <c r="N91">
        <v>-0.30034602076124495</v>
      </c>
      <c r="O91">
        <v>0.28505993687493825</v>
      </c>
      <c r="P91">
        <v>8.6905211061842902E-3</v>
      </c>
      <c r="Q91">
        <v>0</v>
      </c>
      <c r="R91">
        <v>5.6004489337782015E-3</v>
      </c>
      <c r="S91">
        <v>0</v>
      </c>
      <c r="T91">
        <v>0</v>
      </c>
      <c r="U91">
        <v>0</v>
      </c>
      <c r="V91">
        <v>-0.24829403047876897</v>
      </c>
      <c r="W91">
        <v>0.29243270595005444</v>
      </c>
      <c r="X91">
        <v>0.22861476733375818</v>
      </c>
      <c r="Y91">
        <v>0</v>
      </c>
      <c r="Z91">
        <v>0</v>
      </c>
      <c r="AA91">
        <v>0.13389294106912142</v>
      </c>
      <c r="AB91">
        <v>1.0414623747601714</v>
      </c>
      <c r="AC91">
        <v>8.6505190311281233E-4</v>
      </c>
      <c r="AD91">
        <v>0</v>
      </c>
      <c r="AE91">
        <v>0.86162863722000771</v>
      </c>
      <c r="AF91">
        <v>7.2295393224742543E-2</v>
      </c>
      <c r="AG91">
        <v>-1.4074443171062767E-2</v>
      </c>
      <c r="AH91">
        <v>1.042388644150761</v>
      </c>
      <c r="AI91">
        <v>2.3592592592592694</v>
      </c>
      <c r="AJ91">
        <v>-0.11093618236718139</v>
      </c>
      <c r="AK91">
        <v>1.0358820464401997</v>
      </c>
      <c r="AL91">
        <v>0</v>
      </c>
      <c r="AM91">
        <v>0.51145085417182545</v>
      </c>
      <c r="AN91">
        <v>1.4153049023515107E-2</v>
      </c>
      <c r="AO91">
        <v>0.10170454545454954</v>
      </c>
      <c r="AP91">
        <v>-0.65083474689759813</v>
      </c>
      <c r="AQ91">
        <v>0</v>
      </c>
      <c r="AR91">
        <v>0</v>
      </c>
      <c r="AS91">
        <v>0</v>
      </c>
      <c r="AT91">
        <v>0.18599999999999817</v>
      </c>
      <c r="AU91">
        <v>0</v>
      </c>
      <c r="AV91">
        <v>3.5263495416650636E-2</v>
      </c>
      <c r="AW91">
        <v>0</v>
      </c>
      <c r="AX91">
        <v>1.1000998389992511</v>
      </c>
      <c r="AY91">
        <v>0</v>
      </c>
      <c r="AZ91">
        <v>0.58889031226455257</v>
      </c>
      <c r="BA91">
        <v>0.41106250000000188</v>
      </c>
      <c r="BB91">
        <v>0.12811215172780588</v>
      </c>
      <c r="BC91">
        <v>0</v>
      </c>
      <c r="BD91">
        <v>0.1308944610778433</v>
      </c>
      <c r="BE91">
        <v>1.5221617363882127</v>
      </c>
      <c r="BF91">
        <v>1.7151517730496479</v>
      </c>
      <c r="BG91">
        <v>0.73066374663072708</v>
      </c>
    </row>
    <row r="92" spans="1:59" x14ac:dyDescent="0.25">
      <c r="A92" s="3">
        <v>41851</v>
      </c>
      <c r="B92">
        <v>14.745481554840284</v>
      </c>
      <c r="C92">
        <v>0</v>
      </c>
      <c r="D92">
        <v>0</v>
      </c>
      <c r="E92">
        <v>0.11627254997562253</v>
      </c>
      <c r="F92">
        <v>0</v>
      </c>
      <c r="G92">
        <v>1.3455835945598094</v>
      </c>
      <c r="H92">
        <v>0</v>
      </c>
      <c r="I92">
        <v>0.15929999999999978</v>
      </c>
      <c r="J92">
        <v>0.20721180805896267</v>
      </c>
      <c r="K92">
        <v>1.479192938209331</v>
      </c>
      <c r="L92">
        <v>0.24386025548005263</v>
      </c>
      <c r="M92">
        <v>-0.22345794392523333</v>
      </c>
      <c r="N92">
        <v>-0.20968858131487822</v>
      </c>
      <c r="O92">
        <v>0.29199926053406311</v>
      </c>
      <c r="P92">
        <v>5.7992629508163418E-3</v>
      </c>
      <c r="Q92">
        <v>0</v>
      </c>
      <c r="R92">
        <v>2.9031051253232132E-3</v>
      </c>
      <c r="S92">
        <v>0</v>
      </c>
      <c r="T92">
        <v>0</v>
      </c>
      <c r="U92">
        <v>3.0000000000000027E-2</v>
      </c>
      <c r="V92">
        <v>-0.23801247690309335</v>
      </c>
      <c r="W92">
        <v>0.32114615682266945</v>
      </c>
      <c r="X92">
        <v>0.22720555854577573</v>
      </c>
      <c r="Y92">
        <v>1.265277930710007E-2</v>
      </c>
      <c r="Z92">
        <v>0</v>
      </c>
      <c r="AA92">
        <v>0.14063575103421688</v>
      </c>
      <c r="AB92">
        <v>1.025101257727556</v>
      </c>
      <c r="AC92">
        <v>0.4662629757785457</v>
      </c>
      <c r="AD92">
        <v>0</v>
      </c>
      <c r="AE92">
        <v>0.84582373874816397</v>
      </c>
      <c r="AF92">
        <v>6.2087538722893854E-2</v>
      </c>
      <c r="AG92">
        <v>-2.5346554387366549E-2</v>
      </c>
      <c r="AH92">
        <v>1.0734214390602075</v>
      </c>
      <c r="AI92">
        <v>2.2782407407407508</v>
      </c>
      <c r="AJ92">
        <v>-0.13231753760778986</v>
      </c>
      <c r="AK92">
        <v>1.0221133542015188</v>
      </c>
      <c r="AL92">
        <v>0</v>
      </c>
      <c r="AM92">
        <v>0.50320608246808907</v>
      </c>
      <c r="AN92">
        <v>1.1646074133120798E-2</v>
      </c>
      <c r="AO92">
        <v>0.12125000000000519</v>
      </c>
      <c r="AP92">
        <v>-0.65265006100645739</v>
      </c>
      <c r="AQ92">
        <v>0</v>
      </c>
      <c r="AR92">
        <v>0</v>
      </c>
      <c r="AS92">
        <v>0</v>
      </c>
      <c r="AT92">
        <v>0.18699999999999806</v>
      </c>
      <c r="AU92">
        <v>0</v>
      </c>
      <c r="AV92">
        <v>3.7858840393828475E-2</v>
      </c>
      <c r="AW92">
        <v>0</v>
      </c>
      <c r="AX92">
        <v>1.174863404582815</v>
      </c>
      <c r="AY92">
        <v>0</v>
      </c>
      <c r="AZ92">
        <v>0.55461560227605866</v>
      </c>
      <c r="BA92">
        <v>0.50318750000000323</v>
      </c>
      <c r="BB92">
        <v>0.13362315267514924</v>
      </c>
      <c r="BC92">
        <v>0</v>
      </c>
      <c r="BD92">
        <v>0.13080089820359175</v>
      </c>
      <c r="BE92">
        <v>1.4961569251167179</v>
      </c>
      <c r="BF92">
        <v>1.7567148936170245</v>
      </c>
      <c r="BG92">
        <v>0.70513477088948662</v>
      </c>
    </row>
    <row r="93" spans="1:59" x14ac:dyDescent="0.25">
      <c r="A93" s="3">
        <v>41882</v>
      </c>
      <c r="B93">
        <v>15.765536023768213</v>
      </c>
      <c r="C93">
        <v>0</v>
      </c>
      <c r="D93">
        <v>0</v>
      </c>
      <c r="E93">
        <v>0.15960507069722185</v>
      </c>
      <c r="F93">
        <v>0</v>
      </c>
      <c r="G93">
        <v>1.3408924273706893</v>
      </c>
      <c r="H93">
        <v>0</v>
      </c>
      <c r="I93">
        <v>0.16649999999999898</v>
      </c>
      <c r="J93">
        <v>0.21932828646960134</v>
      </c>
      <c r="K93">
        <v>1.5687263556116022</v>
      </c>
      <c r="L93">
        <v>0.31749678260447167</v>
      </c>
      <c r="M93">
        <v>-0.23065420560747618</v>
      </c>
      <c r="N93">
        <v>-0.24550173010380572</v>
      </c>
      <c r="O93">
        <v>0.30362725387886957</v>
      </c>
      <c r="P93">
        <v>8.7417461229060134E-3</v>
      </c>
      <c r="Q93">
        <v>0</v>
      </c>
      <c r="R93">
        <v>6.7609427609422568E-2</v>
      </c>
      <c r="S93">
        <v>0</v>
      </c>
      <c r="T93">
        <v>0</v>
      </c>
      <c r="U93">
        <v>4.7612999999999905E-2</v>
      </c>
      <c r="V93">
        <v>-0.22088875066317837</v>
      </c>
      <c r="W93">
        <v>0.34197184216531618</v>
      </c>
      <c r="X93">
        <v>0.24060282820374868</v>
      </c>
      <c r="Y93">
        <v>3.5235587943822644E-3</v>
      </c>
      <c r="Z93">
        <v>0</v>
      </c>
      <c r="AA93">
        <v>0.14737856099931235</v>
      </c>
      <c r="AB93">
        <v>1.0691750159880544</v>
      </c>
      <c r="AC93">
        <v>3.6332179930795405E-2</v>
      </c>
      <c r="AD93">
        <v>0</v>
      </c>
      <c r="AE93">
        <v>0.90579861837973152</v>
      </c>
      <c r="AF93">
        <v>6.9295493154791554E-2</v>
      </c>
      <c r="AG93">
        <v>-2.06497583337516E-2</v>
      </c>
      <c r="AH93">
        <v>1.1649534997552644</v>
      </c>
      <c r="AI93">
        <v>2.6143904320987752</v>
      </c>
      <c r="AJ93">
        <v>-0.13129743478142519</v>
      </c>
      <c r="AK93">
        <v>1.042667471097305</v>
      </c>
      <c r="AL93">
        <v>0</v>
      </c>
      <c r="AM93">
        <v>0.53189864015720278</v>
      </c>
      <c r="AN93">
        <v>1.5863889996015068E-2</v>
      </c>
      <c r="AO93">
        <v>0.27011363636364227</v>
      </c>
      <c r="AP93">
        <v>-0.65202511680504682</v>
      </c>
      <c r="AQ93">
        <v>0</v>
      </c>
      <c r="AR93">
        <v>0</v>
      </c>
      <c r="AS93">
        <v>0</v>
      </c>
      <c r="AT93">
        <v>0.19899999999999718</v>
      </c>
      <c r="AU93">
        <v>0</v>
      </c>
      <c r="AV93">
        <v>3.7949375683729913E-2</v>
      </c>
      <c r="AW93">
        <v>0</v>
      </c>
      <c r="AX93">
        <v>1.3796691130885077</v>
      </c>
      <c r="AY93">
        <v>0</v>
      </c>
      <c r="AZ93">
        <v>0.58240830752579709</v>
      </c>
      <c r="BA93">
        <v>0.77943750000000445</v>
      </c>
      <c r="BB93">
        <v>0.14932804725542059</v>
      </c>
      <c r="BC93">
        <v>0</v>
      </c>
      <c r="BD93">
        <v>0.13894086826347185</v>
      </c>
      <c r="BE93">
        <v>1.5378858855825919</v>
      </c>
      <c r="BF93">
        <v>2.0475063829787281</v>
      </c>
      <c r="BG93">
        <v>0.80724730458220884</v>
      </c>
    </row>
    <row r="94" spans="1:59" x14ac:dyDescent="0.25">
      <c r="A94" s="3">
        <v>41912</v>
      </c>
      <c r="B94">
        <v>15.421886605595404</v>
      </c>
      <c r="C94">
        <v>0</v>
      </c>
      <c r="D94">
        <v>0</v>
      </c>
      <c r="E94">
        <v>0.13335202340321928</v>
      </c>
      <c r="F94">
        <v>0</v>
      </c>
      <c r="G94">
        <v>1.3689831364991374</v>
      </c>
      <c r="H94">
        <v>0</v>
      </c>
      <c r="I94">
        <v>0.15609999999999902</v>
      </c>
      <c r="J94">
        <v>0.20965513097813315</v>
      </c>
      <c r="K94">
        <v>1.4930643127364456</v>
      </c>
      <c r="L94">
        <v>0.25069969572642492</v>
      </c>
      <c r="M94">
        <v>-0.26803738317756953</v>
      </c>
      <c r="N94">
        <v>-0.22474048442906491</v>
      </c>
      <c r="O94">
        <v>0.31692425186843409</v>
      </c>
      <c r="P94">
        <v>-1.9608345343301581E-2</v>
      </c>
      <c r="Q94">
        <v>0</v>
      </c>
      <c r="R94">
        <v>1.7979797979792655E-2</v>
      </c>
      <c r="S94">
        <v>0</v>
      </c>
      <c r="T94">
        <v>0</v>
      </c>
      <c r="U94">
        <v>0.10481266979999981</v>
      </c>
      <c r="V94">
        <v>-0.17284718537897192</v>
      </c>
      <c r="W94">
        <v>0.33440157160007566</v>
      </c>
      <c r="X94">
        <v>0.22799823848901601</v>
      </c>
      <c r="Y94">
        <v>1.424438683069873E-2</v>
      </c>
      <c r="Z94">
        <v>0</v>
      </c>
      <c r="AA94">
        <v>0.15384615423113868</v>
      </c>
      <c r="AB94">
        <v>1.0983265828181534</v>
      </c>
      <c r="AC94">
        <v>0.410899653979238</v>
      </c>
      <c r="AD94">
        <v>0</v>
      </c>
      <c r="AE94">
        <v>0.89083106552228997</v>
      </c>
      <c r="AF94">
        <v>4.5311282102528105E-2</v>
      </c>
      <c r="AG94">
        <v>-7.1607952563658261E-2</v>
      </c>
      <c r="AH94">
        <v>1.1600097895252097</v>
      </c>
      <c r="AI94">
        <v>2.5768904320987747</v>
      </c>
      <c r="AJ94">
        <v>-0.18383273033921732</v>
      </c>
      <c r="AK94">
        <v>0.98676803015047865</v>
      </c>
      <c r="AL94">
        <v>0</v>
      </c>
      <c r="AM94">
        <v>0.51099093960467923</v>
      </c>
      <c r="AN94">
        <v>1.2543842168195374E-2</v>
      </c>
      <c r="AO94">
        <v>0.28568181818182392</v>
      </c>
      <c r="AP94">
        <v>-0.62104573996369339</v>
      </c>
      <c r="AQ94">
        <v>0</v>
      </c>
      <c r="AR94">
        <v>0</v>
      </c>
      <c r="AS94">
        <v>0</v>
      </c>
      <c r="AT94">
        <v>0.19399999999999684</v>
      </c>
      <c r="AU94">
        <v>0</v>
      </c>
      <c r="AV94">
        <v>4.0431551548530731E-2</v>
      </c>
      <c r="AW94">
        <v>0</v>
      </c>
      <c r="AX94">
        <v>1.3429814487119365</v>
      </c>
      <c r="AY94">
        <v>0</v>
      </c>
      <c r="AZ94">
        <v>0.56802358468088476</v>
      </c>
      <c r="BA94">
        <v>0.86825000000000485</v>
      </c>
      <c r="BB94">
        <v>0.15291908110022523</v>
      </c>
      <c r="BC94">
        <v>0</v>
      </c>
      <c r="BD94">
        <v>0.13781811377245368</v>
      </c>
      <c r="BE94">
        <v>1.5290994010073158</v>
      </c>
      <c r="BF94">
        <v>2.0129134751773101</v>
      </c>
      <c r="BG94">
        <v>0.78661388140161548</v>
      </c>
    </row>
    <row r="95" spans="1:59" x14ac:dyDescent="0.25">
      <c r="A95" s="3">
        <v>41943</v>
      </c>
      <c r="B95">
        <v>17.951225550878888</v>
      </c>
      <c r="C95">
        <v>0</v>
      </c>
      <c r="D95">
        <v>0</v>
      </c>
      <c r="E95">
        <v>0.17435884934178647</v>
      </c>
      <c r="F95">
        <v>0</v>
      </c>
      <c r="G95">
        <v>1.3713521196356364</v>
      </c>
      <c r="H95">
        <v>0</v>
      </c>
      <c r="I95">
        <v>0.16079999999999894</v>
      </c>
      <c r="J95">
        <v>0.21450172234238818</v>
      </c>
      <c r="K95">
        <v>1.5750315258512009</v>
      </c>
      <c r="L95">
        <v>0.29697558446830263</v>
      </c>
      <c r="M95">
        <v>-0.15607476635513962</v>
      </c>
      <c r="N95">
        <v>-0.10051903114186755</v>
      </c>
      <c r="O95">
        <v>0.32969841711155801</v>
      </c>
      <c r="P95">
        <v>-9.3190126575060095E-4</v>
      </c>
      <c r="Q95">
        <v>0</v>
      </c>
      <c r="R95">
        <v>2.6887392442942915E-2</v>
      </c>
      <c r="S95">
        <v>0</v>
      </c>
      <c r="T95">
        <v>0</v>
      </c>
      <c r="U95">
        <v>0.13817801242795991</v>
      </c>
      <c r="V95">
        <v>-0.10479135032289921</v>
      </c>
      <c r="W95">
        <v>0.33186161188224927</v>
      </c>
      <c r="X95">
        <v>0.27304398884376568</v>
      </c>
      <c r="Y95">
        <v>2.3804042082502974E-2</v>
      </c>
      <c r="Z95">
        <v>0</v>
      </c>
      <c r="AA95">
        <v>0.15880005542998443</v>
      </c>
      <c r="AB95">
        <v>1.1353655936900342</v>
      </c>
      <c r="AC95">
        <v>0.21366782006920371</v>
      </c>
      <c r="AD95">
        <v>0</v>
      </c>
      <c r="AE95">
        <v>0.92055683483357309</v>
      </c>
      <c r="AF95">
        <v>4.8512041570899944E-2</v>
      </c>
      <c r="AG95">
        <v>-5.2468982012061516E-2</v>
      </c>
      <c r="AH95">
        <v>1.2023494860499273</v>
      </c>
      <c r="AI95">
        <v>2.8774305555555659</v>
      </c>
      <c r="AJ95">
        <v>-0.21413658496776411</v>
      </c>
      <c r="AK95">
        <v>1.1460688023255363</v>
      </c>
      <c r="AL95">
        <v>0</v>
      </c>
      <c r="AM95">
        <v>0.52452747108101261</v>
      </c>
      <c r="AN95">
        <v>1.5814069350340132E-2</v>
      </c>
      <c r="AO95">
        <v>0.28568181818182392</v>
      </c>
      <c r="AP95">
        <v>-0.60164271047227902</v>
      </c>
      <c r="AQ95">
        <v>0</v>
      </c>
      <c r="AR95">
        <v>0</v>
      </c>
      <c r="AS95">
        <v>0</v>
      </c>
      <c r="AT95">
        <v>0.20499999999999696</v>
      </c>
      <c r="AU95">
        <v>0</v>
      </c>
      <c r="AV95">
        <v>5.7112678712889942E-2</v>
      </c>
      <c r="AW95">
        <v>0</v>
      </c>
      <c r="AX95">
        <v>1.522903115263301</v>
      </c>
      <c r="AY95">
        <v>0</v>
      </c>
      <c r="AZ95">
        <v>0.59013343646102756</v>
      </c>
      <c r="BA95">
        <v>0.99325000000000596</v>
      </c>
      <c r="BB95">
        <v>0.16493568393937075</v>
      </c>
      <c r="BC95">
        <v>0</v>
      </c>
      <c r="BD95">
        <v>0.13473053892215403</v>
      </c>
      <c r="BE95">
        <v>1.5738795095015323</v>
      </c>
      <c r="BF95">
        <v>2.2955886524822748</v>
      </c>
      <c r="BG95">
        <v>0.79815363881401424</v>
      </c>
    </row>
    <row r="96" spans="1:59" x14ac:dyDescent="0.25">
      <c r="A96" s="3">
        <v>41973</v>
      </c>
      <c r="B96">
        <v>18.301807378063828</v>
      </c>
      <c r="C96">
        <v>0</v>
      </c>
      <c r="D96">
        <v>0</v>
      </c>
      <c r="E96">
        <v>0.20412481716236197</v>
      </c>
      <c r="F96">
        <v>1.0304219823356497E-2</v>
      </c>
      <c r="G96">
        <v>1.3808375281141791</v>
      </c>
      <c r="H96">
        <v>0</v>
      </c>
      <c r="I96">
        <v>0.1593999999999991</v>
      </c>
      <c r="J96">
        <v>0.21441159977569679</v>
      </c>
      <c r="K96">
        <v>1.5939470365699893</v>
      </c>
      <c r="L96">
        <v>0.35404251018490807</v>
      </c>
      <c r="M96">
        <v>-7.6168224299064557E-2</v>
      </c>
      <c r="N96">
        <v>5.7439446366783331E-2</v>
      </c>
      <c r="O96">
        <v>0.34126679334042853</v>
      </c>
      <c r="P96">
        <v>7.6591250964164193E-3</v>
      </c>
      <c r="Q96">
        <v>0</v>
      </c>
      <c r="R96">
        <v>-2.6954732510292567E-2</v>
      </c>
      <c r="S96">
        <v>0</v>
      </c>
      <c r="T96">
        <v>0</v>
      </c>
      <c r="U96">
        <v>0.16765682294984408</v>
      </c>
      <c r="V96">
        <v>-5.171877572675232E-2</v>
      </c>
      <c r="W96">
        <v>0.33814205915328088</v>
      </c>
      <c r="X96">
        <v>0.33111513431521544</v>
      </c>
      <c r="Y96">
        <v>3.3323656893462061E-2</v>
      </c>
      <c r="Z96">
        <v>0</v>
      </c>
      <c r="AA96">
        <v>0.16430439009536868</v>
      </c>
      <c r="AB96">
        <v>1.3314858239181309</v>
      </c>
      <c r="AC96">
        <v>0.15311418685121025</v>
      </c>
      <c r="AD96">
        <v>0</v>
      </c>
      <c r="AE96">
        <v>0.98084571907054086</v>
      </c>
      <c r="AF96">
        <v>4.9824123113819452E-2</v>
      </c>
      <c r="AG96">
        <v>-6.280133539289745E-2</v>
      </c>
      <c r="AH96">
        <v>1.3097405775819895</v>
      </c>
      <c r="AI96">
        <v>2.9726080246913669</v>
      </c>
      <c r="AJ96">
        <v>-0.20402056527297929</v>
      </c>
      <c r="AK96">
        <v>1.256999917728685</v>
      </c>
      <c r="AL96">
        <v>0</v>
      </c>
      <c r="AM96">
        <v>0.54111965300347142</v>
      </c>
      <c r="AN96">
        <v>1.8240334794739965E-2</v>
      </c>
      <c r="AO96">
        <v>0.28568181818182392</v>
      </c>
      <c r="AP96">
        <v>-0.56453292860756465</v>
      </c>
      <c r="AQ96">
        <v>0</v>
      </c>
      <c r="AR96">
        <v>0</v>
      </c>
      <c r="AS96">
        <v>0</v>
      </c>
      <c r="AT96">
        <v>0.20799999999999663</v>
      </c>
      <c r="AU96">
        <v>0</v>
      </c>
      <c r="AV96">
        <v>6.1556452525556971E-2</v>
      </c>
      <c r="AW96">
        <v>0</v>
      </c>
      <c r="AX96">
        <v>1.4971695034876156</v>
      </c>
      <c r="AY96">
        <v>0</v>
      </c>
      <c r="AZ96">
        <v>0.64163429602923205</v>
      </c>
      <c r="BA96">
        <v>0.90112500000000462</v>
      </c>
      <c r="BB96">
        <v>0.16158171275045641</v>
      </c>
      <c r="BC96">
        <v>0</v>
      </c>
      <c r="BD96">
        <v>0.14221556886227393</v>
      </c>
      <c r="BE96">
        <v>1.6048255118194272</v>
      </c>
      <c r="BF96">
        <v>2.3331659574468135</v>
      </c>
      <c r="BG96">
        <v>0.94258086253369067</v>
      </c>
    </row>
    <row r="97" spans="1:59" x14ac:dyDescent="0.25">
      <c r="A97" s="3">
        <v>42004</v>
      </c>
      <c r="B97">
        <v>17.324337707353251</v>
      </c>
      <c r="C97">
        <v>0</v>
      </c>
      <c r="D97">
        <v>0</v>
      </c>
      <c r="E97">
        <v>0.15628961482203985</v>
      </c>
      <c r="F97">
        <v>-1.0794896957801892E-2</v>
      </c>
      <c r="G97">
        <v>1.3975033908109782</v>
      </c>
      <c r="H97">
        <v>0</v>
      </c>
      <c r="I97">
        <v>0.1510999999999989</v>
      </c>
      <c r="J97">
        <v>0.20922454538172053</v>
      </c>
      <c r="K97">
        <v>1.5006305170239611</v>
      </c>
      <c r="L97">
        <v>0.34727229763398348</v>
      </c>
      <c r="M97">
        <v>2.4392523364487051E-2</v>
      </c>
      <c r="N97">
        <v>0.20051903114187053</v>
      </c>
      <c r="O97">
        <v>0.345424720399784</v>
      </c>
      <c r="P97">
        <v>-4.1571071262880288E-4</v>
      </c>
      <c r="Q97">
        <v>0</v>
      </c>
      <c r="R97">
        <v>-2.2850729517400525E-2</v>
      </c>
      <c r="S97">
        <v>0</v>
      </c>
      <c r="T97">
        <v>0</v>
      </c>
      <c r="U97">
        <v>0.19194408486720071</v>
      </c>
      <c r="V97">
        <v>-5.8652421287572754E-2</v>
      </c>
      <c r="W97">
        <v>0.34911547887170236</v>
      </c>
      <c r="X97">
        <v>0.33211332387336912</v>
      </c>
      <c r="Y97">
        <v>4.6326790057958256E-2</v>
      </c>
      <c r="Z97">
        <v>3.4000000000002917E-3</v>
      </c>
      <c r="AA97">
        <v>0.16912068292757976</v>
      </c>
      <c r="AB97">
        <v>1.2337987635898426</v>
      </c>
      <c r="AC97">
        <v>0.66089965397923689</v>
      </c>
      <c r="AD97">
        <v>0</v>
      </c>
      <c r="AE97">
        <v>0.99450491940548003</v>
      </c>
      <c r="AF97">
        <v>4.8197261916657741E-2</v>
      </c>
      <c r="AG97">
        <v>-0.11892670287508356</v>
      </c>
      <c r="AH97">
        <v>1.2805188448360281</v>
      </c>
      <c r="AI97">
        <v>2.9653935185185305</v>
      </c>
      <c r="AJ97">
        <v>-0.19254440847637444</v>
      </c>
      <c r="AK97">
        <v>1.2662613172029316</v>
      </c>
      <c r="AL97">
        <v>0</v>
      </c>
      <c r="AM97">
        <v>0.54240380969095825</v>
      </c>
      <c r="AN97">
        <v>1.5515145476286296E-2</v>
      </c>
      <c r="AO97">
        <v>0.30386363636364222</v>
      </c>
      <c r="AP97">
        <v>-0.58027557063357393</v>
      </c>
      <c r="AQ97">
        <v>0</v>
      </c>
      <c r="AR97">
        <v>0</v>
      </c>
      <c r="AS97">
        <v>0</v>
      </c>
      <c r="AT97">
        <v>0.19399999999999662</v>
      </c>
      <c r="AU97">
        <v>0</v>
      </c>
      <c r="AV97">
        <v>7.2609302501037254E-2</v>
      </c>
      <c r="AW97">
        <v>0</v>
      </c>
      <c r="AX97">
        <v>1.6258375623660437</v>
      </c>
      <c r="AY97">
        <v>0</v>
      </c>
      <c r="AZ97">
        <v>0.63293242665391514</v>
      </c>
      <c r="BA97">
        <v>0.80575000000000419</v>
      </c>
      <c r="BB97">
        <v>0.15635303168186732</v>
      </c>
      <c r="BC97">
        <v>0</v>
      </c>
      <c r="BD97">
        <v>0.13257859281436968</v>
      </c>
      <c r="BE97">
        <v>1.6110886421655835</v>
      </c>
      <c r="BF97">
        <v>2.2844879432624174</v>
      </c>
      <c r="BG97">
        <v>0.93185983827493146</v>
      </c>
    </row>
    <row r="98" spans="1:59" x14ac:dyDescent="0.25">
      <c r="A98" s="3">
        <v>42035</v>
      </c>
      <c r="B98">
        <v>17.147066105471598</v>
      </c>
      <c r="C98">
        <v>0</v>
      </c>
      <c r="D98">
        <v>7.894842787551859E-2</v>
      </c>
      <c r="E98">
        <v>0.19408581179912376</v>
      </c>
      <c r="F98">
        <v>-6.869479882237628E-3</v>
      </c>
      <c r="G98">
        <v>1.4046959009834108</v>
      </c>
      <c r="H98">
        <v>0</v>
      </c>
      <c r="I98">
        <v>0.15899999999999892</v>
      </c>
      <c r="J98">
        <v>0.23069374349114913</v>
      </c>
      <c r="K98">
        <v>1.4464060529634319</v>
      </c>
      <c r="L98">
        <v>0.34727229763398348</v>
      </c>
      <c r="M98">
        <v>-7.6168224299064557E-2</v>
      </c>
      <c r="N98">
        <v>7.0588235294119839E-2</v>
      </c>
      <c r="O98">
        <v>0.35578449074686236</v>
      </c>
      <c r="P98">
        <v>1.8092281867624571E-2</v>
      </c>
      <c r="Q98">
        <v>0</v>
      </c>
      <c r="R98">
        <v>-4.4287317620655076E-2</v>
      </c>
      <c r="S98">
        <v>0</v>
      </c>
      <c r="T98">
        <v>0</v>
      </c>
      <c r="U98">
        <v>0.20159883195462514</v>
      </c>
      <c r="V98">
        <v>-5.5798466914253053E-3</v>
      </c>
      <c r="W98">
        <v>0.33975929912986524</v>
      </c>
      <c r="X98">
        <v>0.34006948182218721</v>
      </c>
      <c r="Y98">
        <v>7.3043774211953849E-2</v>
      </c>
      <c r="Z98">
        <v>-1.2899999999999801E-2</v>
      </c>
      <c r="AA98">
        <v>0.17324893392661811</v>
      </c>
      <c r="AB98">
        <v>1.5377851204433926</v>
      </c>
      <c r="AC98">
        <v>0.81401384083044648</v>
      </c>
      <c r="AD98">
        <v>0</v>
      </c>
      <c r="AE98">
        <v>0.92223152606237835</v>
      </c>
      <c r="AF98">
        <v>4.8197261916657741E-2</v>
      </c>
      <c r="AG98">
        <v>-0.12067766206587482</v>
      </c>
      <c r="AH98">
        <v>1.2209495839451812</v>
      </c>
      <c r="AI98">
        <v>3.204629629629645</v>
      </c>
      <c r="AJ98">
        <v>-0.14217853159598526</v>
      </c>
      <c r="AK98">
        <v>1.2752778615726355</v>
      </c>
      <c r="AL98">
        <v>0</v>
      </c>
      <c r="AM98">
        <v>0.60140763630551719</v>
      </c>
      <c r="AN98">
        <v>2.3438620964528978E-2</v>
      </c>
      <c r="AO98">
        <v>0.42386363636364277</v>
      </c>
      <c r="AP98">
        <v>-0.58209088474243331</v>
      </c>
      <c r="AQ98">
        <v>0</v>
      </c>
      <c r="AR98">
        <v>0</v>
      </c>
      <c r="AS98">
        <v>0</v>
      </c>
      <c r="AT98">
        <v>0.19599999999999662</v>
      </c>
      <c r="AU98">
        <v>0</v>
      </c>
      <c r="AV98">
        <v>0.10807650231996657</v>
      </c>
      <c r="AW98">
        <v>0</v>
      </c>
      <c r="AX98">
        <v>1.8286789728332131</v>
      </c>
      <c r="AY98">
        <v>0</v>
      </c>
      <c r="AZ98">
        <v>0.60478454306232754</v>
      </c>
      <c r="BA98">
        <v>0.86493750000000413</v>
      </c>
      <c r="BB98">
        <v>0.15649806073972794</v>
      </c>
      <c r="BC98">
        <v>0</v>
      </c>
      <c r="BD98">
        <v>0.13164296407185483</v>
      </c>
      <c r="BE98">
        <v>1.655117700462009</v>
      </c>
      <c r="BF98">
        <v>2.5016879432624171</v>
      </c>
      <c r="BG98">
        <v>0.86501347708894882</v>
      </c>
    </row>
    <row r="99" spans="1:59" x14ac:dyDescent="0.25">
      <c r="A99" s="3">
        <v>42063</v>
      </c>
      <c r="B99">
        <v>16.862837335974195</v>
      </c>
      <c r="C99">
        <v>1.2399999999999745E-2</v>
      </c>
      <c r="D99">
        <v>0.17597326784492173</v>
      </c>
      <c r="E99">
        <v>0.30115309605070806</v>
      </c>
      <c r="F99">
        <v>5.5446516192345863E-2</v>
      </c>
      <c r="G99">
        <v>1.4287428599932448</v>
      </c>
      <c r="H99">
        <v>0</v>
      </c>
      <c r="I99">
        <v>0.1734999999999991</v>
      </c>
      <c r="J99">
        <v>0.23579067531843378</v>
      </c>
      <c r="K99">
        <v>1.6456494325346802</v>
      </c>
      <c r="L99">
        <v>0.44023408617072834</v>
      </c>
      <c r="M99">
        <v>-1.8130841121494212E-2</v>
      </c>
      <c r="N99">
        <v>0.18546712802768406</v>
      </c>
      <c r="O99">
        <v>0.37178274773767539</v>
      </c>
      <c r="P99">
        <v>4.1306080310974602E-2</v>
      </c>
      <c r="Q99">
        <v>0</v>
      </c>
      <c r="R99">
        <v>0.16579872802094497</v>
      </c>
      <c r="S99">
        <v>0</v>
      </c>
      <c r="T99">
        <v>0</v>
      </c>
      <c r="U99">
        <v>0.20304075055297077</v>
      </c>
      <c r="V99">
        <v>-7.8264210314483718E-2</v>
      </c>
      <c r="W99">
        <v>0.33605849844725144</v>
      </c>
      <c r="X99">
        <v>0.38003620883691602</v>
      </c>
      <c r="Y99">
        <v>7.1542257680256904E-2</v>
      </c>
      <c r="Z99">
        <v>7.2200000000000264E-2</v>
      </c>
      <c r="AA99">
        <v>0.17806522675882919</v>
      </c>
      <c r="AB99">
        <v>1.5937966318482109</v>
      </c>
      <c r="AC99">
        <v>0.15397923875432284</v>
      </c>
      <c r="AD99">
        <v>0</v>
      </c>
      <c r="AE99">
        <v>1.0243876910194634</v>
      </c>
      <c r="AF99">
        <v>4.2542220445687562E-2</v>
      </c>
      <c r="AG99">
        <v>-0.12671383726145036</v>
      </c>
      <c r="AH99">
        <v>1.3702887909936394</v>
      </c>
      <c r="AI99">
        <v>3.4114197530864354</v>
      </c>
      <c r="AJ99">
        <v>-0.18004814885340503</v>
      </c>
      <c r="AK99">
        <v>1.384673245760089</v>
      </c>
      <c r="AL99">
        <v>0</v>
      </c>
      <c r="AM99">
        <v>0.57541188601013737</v>
      </c>
      <c r="AN99">
        <v>2.2983260263053973E-2</v>
      </c>
      <c r="AO99">
        <v>0.47352272727273337</v>
      </c>
      <c r="AP99">
        <v>-0.60750528226646394</v>
      </c>
      <c r="AQ99">
        <v>0</v>
      </c>
      <c r="AR99">
        <v>0</v>
      </c>
      <c r="AS99">
        <v>0</v>
      </c>
      <c r="AT99">
        <v>0.2119999999999953</v>
      </c>
      <c r="AU99">
        <v>0</v>
      </c>
      <c r="AV99">
        <v>0.11371986872382944</v>
      </c>
      <c r="AW99">
        <v>0</v>
      </c>
      <c r="AX99">
        <v>2.0375753507770145</v>
      </c>
      <c r="AY99">
        <v>0</v>
      </c>
      <c r="AZ99">
        <v>0.73300392447006213</v>
      </c>
      <c r="BA99">
        <v>0.78600000000000492</v>
      </c>
      <c r="BB99">
        <v>0.18556677884556638</v>
      </c>
      <c r="BC99">
        <v>0</v>
      </c>
      <c r="BD99">
        <v>0.15194610778442996</v>
      </c>
      <c r="BE99">
        <v>1.6452057603754615</v>
      </c>
      <c r="BF99">
        <v>2.6431659574468136</v>
      </c>
      <c r="BG99">
        <v>1.0149764150943392</v>
      </c>
    </row>
    <row r="100" spans="1:59" x14ac:dyDescent="0.25">
      <c r="A100" s="3">
        <v>42094</v>
      </c>
      <c r="B100">
        <v>16.162664025748896</v>
      </c>
      <c r="C100">
        <v>3.2000000000000917E-3</v>
      </c>
      <c r="D100">
        <v>0.20270542292362759</v>
      </c>
      <c r="E100">
        <v>0.35247927840078086</v>
      </c>
      <c r="F100">
        <v>2.2325809617272041E-2</v>
      </c>
      <c r="G100">
        <v>1.4457440600131979</v>
      </c>
      <c r="H100">
        <v>0</v>
      </c>
      <c r="I100">
        <v>0.17199999999999926</v>
      </c>
      <c r="J100">
        <v>0.2357506208443485</v>
      </c>
      <c r="K100">
        <v>1.6191677175283758</v>
      </c>
      <c r="L100">
        <v>0.44743525660158179</v>
      </c>
      <c r="M100">
        <v>0.20065420560747826</v>
      </c>
      <c r="N100">
        <v>0.49394463667820343</v>
      </c>
      <c r="O100">
        <v>0.38412879246731424</v>
      </c>
      <c r="P100">
        <v>4.9995616320683389E-2</v>
      </c>
      <c r="Q100">
        <v>0</v>
      </c>
      <c r="R100">
        <v>0.19145903479236237</v>
      </c>
      <c r="S100">
        <v>0</v>
      </c>
      <c r="T100">
        <v>0</v>
      </c>
      <c r="U100">
        <v>0.2207254495860993</v>
      </c>
      <c r="V100">
        <v>-5.7243738680228584E-2</v>
      </c>
      <c r="W100">
        <v>0.33628669795314958</v>
      </c>
      <c r="X100">
        <v>0.33635073640945623</v>
      </c>
      <c r="Y100">
        <v>7.8859648244727021E-2</v>
      </c>
      <c r="Z100">
        <v>7.0799999999999752E-2</v>
      </c>
      <c r="AA100">
        <v>0.18329434469094408</v>
      </c>
      <c r="AB100">
        <v>1.4069494777232903</v>
      </c>
      <c r="AC100">
        <v>0.32266435986158859</v>
      </c>
      <c r="AD100">
        <v>0</v>
      </c>
      <c r="AE100">
        <v>0.99696462214778703</v>
      </c>
      <c r="AF100">
        <v>3.2224442889976945E-2</v>
      </c>
      <c r="AG100">
        <v>-0.14753899048283659</v>
      </c>
      <c r="AH100">
        <v>1.3288301517376442</v>
      </c>
      <c r="AI100">
        <v>3.4893132716049555</v>
      </c>
      <c r="AJ100">
        <v>-0.20028018824297578</v>
      </c>
      <c r="AK100">
        <v>1.4118345327968718</v>
      </c>
      <c r="AL100">
        <v>0</v>
      </c>
      <c r="AM100">
        <v>0.57827244492777852</v>
      </c>
      <c r="AN100">
        <v>2.4907333599043957E-2</v>
      </c>
      <c r="AO100">
        <v>0.74738636363637134</v>
      </c>
      <c r="AP100">
        <v>-0.58081123709192606</v>
      </c>
      <c r="AQ100">
        <v>0</v>
      </c>
      <c r="AR100">
        <v>0</v>
      </c>
      <c r="AS100">
        <v>0</v>
      </c>
      <c r="AT100">
        <v>0.21799999999999531</v>
      </c>
      <c r="AU100">
        <v>0</v>
      </c>
      <c r="AV100">
        <v>0.11649628428080994</v>
      </c>
      <c r="AW100">
        <v>0</v>
      </c>
      <c r="AX100">
        <v>2.057758575699121</v>
      </c>
      <c r="AY100">
        <v>0</v>
      </c>
      <c r="AZ100">
        <v>0.74330409638370409</v>
      </c>
      <c r="BA100">
        <v>1.0820625000000059</v>
      </c>
      <c r="BB100">
        <v>0.19057725613550969</v>
      </c>
      <c r="BC100">
        <v>0</v>
      </c>
      <c r="BD100">
        <v>0.16214446107784264</v>
      </c>
      <c r="BE100">
        <v>1.6642392127466912</v>
      </c>
      <c r="BF100">
        <v>2.6887148936170253</v>
      </c>
      <c r="BG100">
        <v>0.95590970350404381</v>
      </c>
    </row>
    <row r="101" spans="1:59" x14ac:dyDescent="0.25">
      <c r="A101" s="3">
        <v>42124</v>
      </c>
      <c r="B101">
        <v>15.759593958900677</v>
      </c>
      <c r="C101">
        <v>3.9999999999928981E-4</v>
      </c>
      <c r="D101">
        <v>0.13853214702685235</v>
      </c>
      <c r="E101">
        <v>0.36913700633837321</v>
      </c>
      <c r="F101">
        <v>2.8213935230618548E-2</v>
      </c>
      <c r="G101">
        <v>1.5240078699336199</v>
      </c>
      <c r="H101">
        <v>2.2000000000002018E-3</v>
      </c>
      <c r="I101">
        <v>0.17309999999999959</v>
      </c>
      <c r="J101">
        <v>0.2392654009452857</v>
      </c>
      <c r="K101">
        <v>1.6620428751576313</v>
      </c>
      <c r="L101">
        <v>0.44888269185818319</v>
      </c>
      <c r="M101">
        <v>0.60915887850467554</v>
      </c>
      <c r="N101">
        <v>1.0546712802768199</v>
      </c>
      <c r="O101">
        <v>0.39630912584102651</v>
      </c>
      <c r="P101">
        <v>5.435171293500507E-2</v>
      </c>
      <c r="Q101">
        <v>0</v>
      </c>
      <c r="R101">
        <v>0.14166853722408668</v>
      </c>
      <c r="S101">
        <v>0</v>
      </c>
      <c r="T101">
        <v>0</v>
      </c>
      <c r="U101">
        <v>0.24098949204922859</v>
      </c>
      <c r="V101">
        <v>-5.9567150253379331E-2</v>
      </c>
      <c r="W101">
        <v>0.61876792110250123</v>
      </c>
      <c r="X101">
        <v>0.38040808337818932</v>
      </c>
      <c r="Y101">
        <v>8.4445289742639762E-2</v>
      </c>
      <c r="Z101">
        <v>9.6900000000000208E-2</v>
      </c>
      <c r="AA101">
        <v>0.18769781242325134</v>
      </c>
      <c r="AB101">
        <v>1.592997228735868</v>
      </c>
      <c r="AC101">
        <v>0.25865051903113878</v>
      </c>
      <c r="AD101">
        <v>0</v>
      </c>
      <c r="AE101">
        <v>1.019049612727648</v>
      </c>
      <c r="AF101">
        <v>3.8606975117418285E-2</v>
      </c>
      <c r="AG101">
        <v>-0.12592854651452734</v>
      </c>
      <c r="AH101">
        <v>1.3740577581987301</v>
      </c>
      <c r="AI101">
        <v>3.3616126543210036</v>
      </c>
      <c r="AJ101">
        <v>-0.20614577949457358</v>
      </c>
      <c r="AK101">
        <v>1.3438647146164788</v>
      </c>
      <c r="AL101">
        <v>0</v>
      </c>
      <c r="AM101">
        <v>0.55825088300463177</v>
      </c>
      <c r="AN101">
        <v>2.409724990035933E-2</v>
      </c>
      <c r="AO101">
        <v>1.0927272727272817</v>
      </c>
      <c r="AP101">
        <v>-0.55870011606106573</v>
      </c>
      <c r="AQ101">
        <v>0</v>
      </c>
      <c r="AR101">
        <v>0</v>
      </c>
      <c r="AS101">
        <v>0</v>
      </c>
      <c r="AT101">
        <v>0.22799999999999487</v>
      </c>
      <c r="AU101">
        <v>0</v>
      </c>
      <c r="AV101">
        <v>0.12260741634916417</v>
      </c>
      <c r="AW101">
        <v>0</v>
      </c>
      <c r="AX101">
        <v>1.8695500033004788</v>
      </c>
      <c r="AY101">
        <v>0</v>
      </c>
      <c r="AZ101">
        <v>0.76150698640350023</v>
      </c>
      <c r="BA101">
        <v>1.4274375000000061</v>
      </c>
      <c r="BB101">
        <v>0.21793813604831569</v>
      </c>
      <c r="BC101">
        <v>0</v>
      </c>
      <c r="BD101">
        <v>0.1835703592814355</v>
      </c>
      <c r="BE101">
        <v>1.6658447168066575</v>
      </c>
      <c r="BF101">
        <v>2.5580510638297911</v>
      </c>
      <c r="BG101">
        <v>0.96157008086253404</v>
      </c>
    </row>
    <row r="102" spans="1:59" x14ac:dyDescent="0.25">
      <c r="A102" s="3">
        <v>42155</v>
      </c>
      <c r="B102">
        <v>15.225798464966534</v>
      </c>
      <c r="C102">
        <v>6.3999999999988511E-3</v>
      </c>
      <c r="D102">
        <v>0.36478924272313606</v>
      </c>
      <c r="E102">
        <v>0.36366650414432211</v>
      </c>
      <c r="F102">
        <v>5.9666339548577252E-2</v>
      </c>
      <c r="G102">
        <v>1.5416759250231551</v>
      </c>
      <c r="H102">
        <v>6.7000000000001503E-3</v>
      </c>
      <c r="I102">
        <v>0.17349999999999932</v>
      </c>
      <c r="J102">
        <v>0.23920531923415878</v>
      </c>
      <c r="K102">
        <v>1.8448928121059311</v>
      </c>
      <c r="L102">
        <v>0.44453604378260869</v>
      </c>
      <c r="M102">
        <v>0.48261682242990944</v>
      </c>
      <c r="N102">
        <v>0.88529411764706256</v>
      </c>
      <c r="O102">
        <v>0.40566439698416135</v>
      </c>
      <c r="P102">
        <v>5.5473737820512348E-2</v>
      </c>
      <c r="Q102">
        <v>0</v>
      </c>
      <c r="R102">
        <v>0.22282454171342381</v>
      </c>
      <c r="S102">
        <v>0</v>
      </c>
      <c r="T102">
        <v>0</v>
      </c>
      <c r="U102">
        <v>0.27288292199489383</v>
      </c>
      <c r="V102">
        <v>5.616435850057222E-3</v>
      </c>
      <c r="W102">
        <v>0.70310252110845406</v>
      </c>
      <c r="X102">
        <v>0.40131134706659743</v>
      </c>
      <c r="Y102">
        <v>8.7057928507792814E-2</v>
      </c>
      <c r="Z102">
        <v>0.1090000000000011</v>
      </c>
      <c r="AA102">
        <v>0.19389018892180854</v>
      </c>
      <c r="AB102">
        <v>1.7549562992965169</v>
      </c>
      <c r="AC102">
        <v>0.19723183391003096</v>
      </c>
      <c r="AD102">
        <v>0</v>
      </c>
      <c r="AE102">
        <v>1.0288884236968752</v>
      </c>
      <c r="AF102">
        <v>2.8023383631458287E-2</v>
      </c>
      <c r="AG102">
        <v>-0.14415865264836558</v>
      </c>
      <c r="AH102">
        <v>1.402985805188453</v>
      </c>
      <c r="AI102">
        <v>3.7716820987654485</v>
      </c>
      <c r="AJ102">
        <v>-0.19951511112320197</v>
      </c>
      <c r="AK102">
        <v>1.3967965116962389</v>
      </c>
      <c r="AL102">
        <v>0</v>
      </c>
      <c r="AM102">
        <v>0.54923671418856279</v>
      </c>
      <c r="AN102">
        <v>2.554703068951869E-2</v>
      </c>
      <c r="AO102">
        <v>1.3750000000000093</v>
      </c>
      <c r="AP102">
        <v>-0.49525339999404783</v>
      </c>
      <c r="AQ102">
        <v>0</v>
      </c>
      <c r="AR102">
        <v>0</v>
      </c>
      <c r="AS102">
        <v>0</v>
      </c>
      <c r="AT102">
        <v>0.23799999999999466</v>
      </c>
      <c r="AU102">
        <v>0</v>
      </c>
      <c r="AV102">
        <v>0.12280357614395077</v>
      </c>
      <c r="AW102">
        <v>0</v>
      </c>
      <c r="AX102">
        <v>1.9915058784407491</v>
      </c>
      <c r="AY102">
        <v>0</v>
      </c>
      <c r="AZ102">
        <v>0.77882193056867188</v>
      </c>
      <c r="BA102">
        <v>1.4340000000000055</v>
      </c>
      <c r="BB102">
        <v>0.22873560007790328</v>
      </c>
      <c r="BC102">
        <v>0</v>
      </c>
      <c r="BD102">
        <v>0.19825973053892021</v>
      </c>
      <c r="BE102">
        <v>1.6650022791030672</v>
      </c>
      <c r="BF102">
        <v>2.8331829787234093</v>
      </c>
      <c r="BG102">
        <v>1.1154245283018875</v>
      </c>
    </row>
    <row r="103" spans="1:59" x14ac:dyDescent="0.25">
      <c r="A103" s="3">
        <v>42185</v>
      </c>
      <c r="B103">
        <v>16.90245110175783</v>
      </c>
      <c r="C103">
        <v>-9.0000000000011182E-3</v>
      </c>
      <c r="D103">
        <v>0.4304118523289977</v>
      </c>
      <c r="E103">
        <v>0.36131155533886128</v>
      </c>
      <c r="F103">
        <v>4.7595682041217335E-2</v>
      </c>
      <c r="G103">
        <v>1.5518426287232479</v>
      </c>
      <c r="H103">
        <v>5.7000000000000384E-3</v>
      </c>
      <c r="I103">
        <v>0.15889999999999982</v>
      </c>
      <c r="J103">
        <v>0.21996915805495521</v>
      </c>
      <c r="K103">
        <v>1.853720050441368</v>
      </c>
      <c r="L103">
        <v>0.41131171477560868</v>
      </c>
      <c r="M103">
        <v>0.26130841121495596</v>
      </c>
      <c r="N103">
        <v>0.58996539792387814</v>
      </c>
      <c r="O103">
        <v>0.40903799153692333</v>
      </c>
      <c r="P103">
        <v>3.9632401399230188E-2</v>
      </c>
      <c r="Q103">
        <v>0</v>
      </c>
      <c r="R103">
        <v>0.24791994014215479</v>
      </c>
      <c r="S103">
        <v>0</v>
      </c>
      <c r="T103">
        <v>0</v>
      </c>
      <c r="U103">
        <v>0.25595357913236172</v>
      </c>
      <c r="V103">
        <v>6.768994346975088E-3</v>
      </c>
      <c r="W103">
        <v>0.68189981049519277</v>
      </c>
      <c r="X103">
        <v>0.35220433527425965</v>
      </c>
      <c r="Y103">
        <v>8.8679566362025453E-2</v>
      </c>
      <c r="Z103">
        <v>8.86000000000009E-2</v>
      </c>
      <c r="AA103">
        <v>0.20008256542036529</v>
      </c>
      <c r="AB103">
        <v>1.5072479215519001</v>
      </c>
      <c r="AC103">
        <v>0.57698961937715798</v>
      </c>
      <c r="AD103">
        <v>0</v>
      </c>
      <c r="AE103">
        <v>0.99016118903076644</v>
      </c>
      <c r="AF103">
        <v>1.430198860797427E-2</v>
      </c>
      <c r="AG103">
        <v>-0.16125965419303656</v>
      </c>
      <c r="AH103">
        <v>1.3457170827214942</v>
      </c>
      <c r="AI103">
        <v>3.8239197530864342</v>
      </c>
      <c r="AJ103">
        <v>-0.21163053235766249</v>
      </c>
      <c r="AK103">
        <v>1.4042714483277376</v>
      </c>
      <c r="AL103">
        <v>0</v>
      </c>
      <c r="AM103">
        <v>0.51888940425785646</v>
      </c>
      <c r="AN103">
        <v>2.2447190115584714E-2</v>
      </c>
      <c r="AO103">
        <v>1.0721590909090999</v>
      </c>
      <c r="AP103">
        <v>-0.50438948903371705</v>
      </c>
      <c r="AQ103">
        <v>0</v>
      </c>
      <c r="AR103">
        <v>0</v>
      </c>
      <c r="AS103">
        <v>0</v>
      </c>
      <c r="AT103">
        <v>0.22899999999999454</v>
      </c>
      <c r="AU103">
        <v>0</v>
      </c>
      <c r="AV103">
        <v>0.10864234788185123</v>
      </c>
      <c r="AW103">
        <v>0</v>
      </c>
      <c r="AX103">
        <v>2.0809301793612569</v>
      </c>
      <c r="AY103">
        <v>0</v>
      </c>
      <c r="AZ103">
        <v>0.74623431770396298</v>
      </c>
      <c r="BA103">
        <v>1.2909375000000054</v>
      </c>
      <c r="BB103">
        <v>0.21683763435129966</v>
      </c>
      <c r="BC103">
        <v>0</v>
      </c>
      <c r="BD103">
        <v>0.1935815868263453</v>
      </c>
      <c r="BE103">
        <v>1.6270857255696209</v>
      </c>
      <c r="BF103">
        <v>2.8384482269503604</v>
      </c>
      <c r="BG103">
        <v>0.93009097035040522</v>
      </c>
    </row>
    <row r="104" spans="1:59" x14ac:dyDescent="0.25">
      <c r="A104" s="3">
        <v>42216</v>
      </c>
      <c r="B104">
        <v>18.553354790789754</v>
      </c>
      <c r="C104">
        <v>7.299999999999196E-3</v>
      </c>
      <c r="D104">
        <v>0.52582632151052655</v>
      </c>
      <c r="E104">
        <v>0.46255485129205587</v>
      </c>
      <c r="F104">
        <v>5.4955839057899691E-2</v>
      </c>
      <c r="G104">
        <v>1.5646018418668635</v>
      </c>
      <c r="H104">
        <v>9.1999999999998749E-3</v>
      </c>
      <c r="I104">
        <v>0.1608999999999996</v>
      </c>
      <c r="J104">
        <v>0.22640791476407918</v>
      </c>
      <c r="K104">
        <v>1.9558638083228326</v>
      </c>
      <c r="L104">
        <v>0.43389270221201848</v>
      </c>
      <c r="M104">
        <v>5.915887850467505E-2</v>
      </c>
      <c r="N104">
        <v>0.25743944636678417</v>
      </c>
      <c r="O104">
        <v>0.41819673848191319</v>
      </c>
      <c r="P104">
        <v>6.2332964578885708E-2</v>
      </c>
      <c r="Q104">
        <v>0</v>
      </c>
      <c r="R104">
        <v>0.22584736251402093</v>
      </c>
      <c r="S104">
        <v>0</v>
      </c>
      <c r="T104">
        <v>0</v>
      </c>
      <c r="U104">
        <v>0.25947024915393224</v>
      </c>
      <c r="V104">
        <v>-2.5246519456281202E-3</v>
      </c>
      <c r="W104">
        <v>0.61197154451378588</v>
      </c>
      <c r="X104">
        <v>0.41656798943093554</v>
      </c>
      <c r="Y104">
        <v>9.0771679396189908E-2</v>
      </c>
      <c r="Z104">
        <v>0.12570000000000103</v>
      </c>
      <c r="AA104">
        <v>0.20393559968613428</v>
      </c>
      <c r="AB104">
        <v>1.7509059901939792</v>
      </c>
      <c r="AC104">
        <v>4.8442906574391653E-2</v>
      </c>
      <c r="AD104">
        <v>0</v>
      </c>
      <c r="AE104">
        <v>1.0389365710697023</v>
      </c>
      <c r="AF104">
        <v>1.6908164284999749E-2</v>
      </c>
      <c r="AG104">
        <v>-0.1823538791170487</v>
      </c>
      <c r="AH104">
        <v>1.4558492413118036</v>
      </c>
      <c r="AI104">
        <v>4.0011959876543353</v>
      </c>
      <c r="AJ104">
        <v>-0.26229563940045242</v>
      </c>
      <c r="AK104">
        <v>1.5376077852170202</v>
      </c>
      <c r="AL104">
        <v>0</v>
      </c>
      <c r="AM104">
        <v>0.53069910148207211</v>
      </c>
      <c r="AN104">
        <v>2.4124153049024155E-2</v>
      </c>
      <c r="AO104">
        <v>0.73943181818182646</v>
      </c>
      <c r="AP104">
        <v>-0.38502514656429443</v>
      </c>
      <c r="AQ104">
        <v>0</v>
      </c>
      <c r="AR104">
        <v>0</v>
      </c>
      <c r="AS104">
        <v>0</v>
      </c>
      <c r="AT104">
        <v>0.23299999999999432</v>
      </c>
      <c r="AU104">
        <v>0</v>
      </c>
      <c r="AV104">
        <v>0.12557244709343984</v>
      </c>
      <c r="AW104">
        <v>0</v>
      </c>
      <c r="AX104">
        <v>2.122749190674083</v>
      </c>
      <c r="AY104">
        <v>0</v>
      </c>
      <c r="AZ104">
        <v>0.81815793192852526</v>
      </c>
      <c r="BA104">
        <v>0.98175000000000479</v>
      </c>
      <c r="BB104">
        <v>0.21315320634564205</v>
      </c>
      <c r="BC104">
        <v>0</v>
      </c>
      <c r="BD104">
        <v>0.18965194610778258</v>
      </c>
      <c r="BE104">
        <v>1.6572926796791005</v>
      </c>
      <c r="BF104">
        <v>2.9830609929078058</v>
      </c>
      <c r="BG104">
        <v>0.84449797843665819</v>
      </c>
    </row>
    <row r="105" spans="1:59" x14ac:dyDescent="0.25">
      <c r="A105" s="3">
        <v>42247</v>
      </c>
      <c r="B105">
        <v>16.052735825699394</v>
      </c>
      <c r="C105">
        <v>-1.500000000000723E-3</v>
      </c>
      <c r="D105">
        <v>0.32654293651113142</v>
      </c>
      <c r="E105">
        <v>0.42664553876158284</v>
      </c>
      <c r="F105">
        <v>-1.3738959764475367E-2</v>
      </c>
      <c r="G105">
        <v>1.5748602492343311</v>
      </c>
      <c r="H105">
        <v>-3.2000000000004247E-3</v>
      </c>
      <c r="I105">
        <v>0.14749999999999974</v>
      </c>
      <c r="J105">
        <v>0.22097234179630743</v>
      </c>
      <c r="K105">
        <v>1.7326607818411173</v>
      </c>
      <c r="L105">
        <v>0.36506585250584145</v>
      </c>
      <c r="M105">
        <v>6.9719626168226689E-2</v>
      </c>
      <c r="N105">
        <v>0.32024221453287471</v>
      </c>
      <c r="O105">
        <v>0.42316042706660006</v>
      </c>
      <c r="P105">
        <v>5.6388892446181726E-2</v>
      </c>
      <c r="Q105">
        <v>0</v>
      </c>
      <c r="R105">
        <v>0.21835765057986389</v>
      </c>
      <c r="S105">
        <v>0</v>
      </c>
      <c r="T105">
        <v>0</v>
      </c>
      <c r="U105">
        <v>0.26664922957410964</v>
      </c>
      <c r="V105">
        <v>-0.11543879548489711</v>
      </c>
      <c r="W105">
        <v>0.6035380845131908</v>
      </c>
      <c r="X105">
        <v>0.34970886137887325</v>
      </c>
      <c r="Y105">
        <v>9.41250663169797E-2</v>
      </c>
      <c r="Z105">
        <v>7.890000000000108E-2</v>
      </c>
      <c r="AA105">
        <v>0.21012797618469126</v>
      </c>
      <c r="AB105">
        <v>1.6000852696653078</v>
      </c>
      <c r="AC105">
        <v>1.4593425605536261</v>
      </c>
      <c r="AD105">
        <v>0</v>
      </c>
      <c r="AE105">
        <v>0.92788360895959121</v>
      </c>
      <c r="AF105">
        <v>1.3431597881482293E-2</v>
      </c>
      <c r="AG105">
        <v>-0.22360954706263669</v>
      </c>
      <c r="AH105">
        <v>1.3153206069505692</v>
      </c>
      <c r="AI105">
        <v>3.4711805555555681</v>
      </c>
      <c r="AJ105">
        <v>-0.23602799162155585</v>
      </c>
      <c r="AK105">
        <v>1.3835880479367537</v>
      </c>
      <c r="AL105">
        <v>0</v>
      </c>
      <c r="AM105">
        <v>0.51770475208489675</v>
      </c>
      <c r="AN105">
        <v>2.344260661618236E-2</v>
      </c>
      <c r="AO105">
        <v>0.61738636363637167</v>
      </c>
      <c r="AP105">
        <v>-0.44662678927476673</v>
      </c>
      <c r="AQ105">
        <v>0</v>
      </c>
      <c r="AR105">
        <v>0</v>
      </c>
      <c r="AS105">
        <v>0</v>
      </c>
      <c r="AT105">
        <v>0.22499999999999432</v>
      </c>
      <c r="AU105">
        <v>0</v>
      </c>
      <c r="AV105">
        <v>0.12671922743219266</v>
      </c>
      <c r="AW105">
        <v>0</v>
      </c>
      <c r="AX105">
        <v>1.984404536897062</v>
      </c>
      <c r="AY105">
        <v>0</v>
      </c>
      <c r="AZ105">
        <v>0.71568898030489225</v>
      </c>
      <c r="BA105">
        <v>0.95181250000000439</v>
      </c>
      <c r="BB105">
        <v>0.2444922428388383</v>
      </c>
      <c r="BC105">
        <v>0</v>
      </c>
      <c r="BD105">
        <v>0.17505613772454942</v>
      </c>
      <c r="BE105">
        <v>1.6600759744578908</v>
      </c>
      <c r="BF105">
        <v>2.5870865248226997</v>
      </c>
      <c r="BG105">
        <v>0.75253706199460968</v>
      </c>
    </row>
    <row r="106" spans="1:59" x14ac:dyDescent="0.25">
      <c r="A106" s="3">
        <v>42277</v>
      </c>
      <c r="B106">
        <v>14.487992077246808</v>
      </c>
      <c r="C106">
        <v>-7.7000000000007063E-3</v>
      </c>
      <c r="D106">
        <v>0.12242843914811319</v>
      </c>
      <c r="E106">
        <v>0.42264261335933995</v>
      </c>
      <c r="F106">
        <v>-7.8017664376840545E-2</v>
      </c>
      <c r="G106">
        <v>1.5594110877389249</v>
      </c>
      <c r="H106">
        <v>-1.400000000000845E-3</v>
      </c>
      <c r="I106">
        <v>0.13419999999999965</v>
      </c>
      <c r="J106">
        <v>0.21238572697168179</v>
      </c>
      <c r="K106">
        <v>1.6103404791929448</v>
      </c>
      <c r="L106">
        <v>0.23811472822279822</v>
      </c>
      <c r="M106">
        <v>0.19813084112149815</v>
      </c>
      <c r="N106">
        <v>0.33546712802768419</v>
      </c>
      <c r="O106">
        <v>0.42700296021967987</v>
      </c>
      <c r="P106">
        <v>3.359277490840995E-2</v>
      </c>
      <c r="Q106">
        <v>0</v>
      </c>
      <c r="R106">
        <v>0.22118967452299865</v>
      </c>
      <c r="S106">
        <v>0</v>
      </c>
      <c r="T106">
        <v>0</v>
      </c>
      <c r="U106">
        <v>0.2625959520394725</v>
      </c>
      <c r="V106">
        <v>-0.1434295018386047</v>
      </c>
      <c r="W106">
        <v>0.63173560606812229</v>
      </c>
      <c r="X106">
        <v>0.32632969613935692</v>
      </c>
      <c r="Y106">
        <v>0.10033133464799415</v>
      </c>
      <c r="Z106">
        <v>5.3100000000001257E-2</v>
      </c>
      <c r="AA106">
        <v>0.21590752758334464</v>
      </c>
      <c r="AB106">
        <v>1.8091558303133559</v>
      </c>
      <c r="AC106">
        <v>1.119377162629752</v>
      </c>
      <c r="AD106">
        <v>0</v>
      </c>
      <c r="AE106">
        <v>0.85194682855347859</v>
      </c>
      <c r="AF106">
        <v>1.4024183071848828E-2</v>
      </c>
      <c r="AG106">
        <v>-0.25640241167970768</v>
      </c>
      <c r="AH106">
        <v>1.2264317180616806</v>
      </c>
      <c r="AI106">
        <v>2.9657793209876653</v>
      </c>
      <c r="AJ106">
        <v>-0.2502652267348553</v>
      </c>
      <c r="AK106">
        <v>1.239205807571313</v>
      </c>
      <c r="AL106">
        <v>0</v>
      </c>
      <c r="AM106">
        <v>0.53542830817253639</v>
      </c>
      <c r="AN106">
        <v>2.7419290554006492E-2</v>
      </c>
      <c r="AO106">
        <v>0.51375000000000726</v>
      </c>
      <c r="AP106">
        <v>-0.51480522572389331</v>
      </c>
      <c r="AQ106">
        <v>0</v>
      </c>
      <c r="AR106">
        <v>0</v>
      </c>
      <c r="AS106">
        <v>0</v>
      </c>
      <c r="AT106">
        <v>0.21899999999999453</v>
      </c>
      <c r="AU106">
        <v>0</v>
      </c>
      <c r="AV106">
        <v>0.12873363763250212</v>
      </c>
      <c r="AW106">
        <v>0</v>
      </c>
      <c r="AX106">
        <v>2.0275386114587186</v>
      </c>
      <c r="AY106">
        <v>0</v>
      </c>
      <c r="AZ106">
        <v>0.70645434341680091</v>
      </c>
      <c r="BA106">
        <v>0.80218750000000361</v>
      </c>
      <c r="BB106">
        <v>0.2280548846087791</v>
      </c>
      <c r="BC106">
        <v>0</v>
      </c>
      <c r="BD106">
        <v>0.16729041916167486</v>
      </c>
      <c r="BE106">
        <v>1.6906568087311693</v>
      </c>
      <c r="BF106">
        <v>2.2543120567375925</v>
      </c>
      <c r="BG106">
        <v>0.76421159029649677</v>
      </c>
    </row>
    <row r="107" spans="1:59" x14ac:dyDescent="0.25">
      <c r="A107" s="3">
        <v>42308</v>
      </c>
      <c r="B107">
        <v>16.430056944788273</v>
      </c>
      <c r="C107">
        <v>1.5799999999998926E-2</v>
      </c>
      <c r="D107">
        <v>0.19690808808728111</v>
      </c>
      <c r="E107">
        <v>0.48992442710872952</v>
      </c>
      <c r="F107">
        <v>-2.3552502453385915E-2</v>
      </c>
      <c r="G107">
        <v>1.5696487320898806</v>
      </c>
      <c r="H107">
        <v>8.7999999999985867E-3</v>
      </c>
      <c r="I107">
        <v>0.14849999999999941</v>
      </c>
      <c r="J107">
        <v>0.22529025268949421</v>
      </c>
      <c r="K107">
        <v>1.8398486759142587</v>
      </c>
      <c r="L107">
        <v>0.41021267544576712</v>
      </c>
      <c r="M107">
        <v>0.22766355140187233</v>
      </c>
      <c r="N107">
        <v>0.40190311418685432</v>
      </c>
      <c r="O107">
        <v>0.43214017087647072</v>
      </c>
      <c r="P107">
        <v>6.6868348751733864E-2</v>
      </c>
      <c r="Q107">
        <v>0</v>
      </c>
      <c r="R107">
        <v>0.32903479236811561</v>
      </c>
      <c r="S107">
        <v>0</v>
      </c>
      <c r="T107">
        <v>0</v>
      </c>
      <c r="U107">
        <v>0.27143412370374875</v>
      </c>
      <c r="V107">
        <v>-5.8835367080733447E-2</v>
      </c>
      <c r="W107">
        <v>0.6739326712240421</v>
      </c>
      <c r="X107">
        <v>0.44478152370700474</v>
      </c>
      <c r="Y107">
        <v>0.10274377120892075</v>
      </c>
      <c r="Z107">
        <v>0.11730000000000129</v>
      </c>
      <c r="AA107">
        <v>0.2218246873486327</v>
      </c>
      <c r="AB107">
        <v>1.8799296525261044</v>
      </c>
      <c r="AC107">
        <v>0.30363321799307541</v>
      </c>
      <c r="AD107">
        <v>0</v>
      </c>
      <c r="AE107">
        <v>1.0263763868536659</v>
      </c>
      <c r="AF107">
        <v>1.8117317877485162E-2</v>
      </c>
      <c r="AG107">
        <v>-0.21869450396133572</v>
      </c>
      <c r="AH107">
        <v>1.4998531571218869</v>
      </c>
      <c r="AI107">
        <v>3.2551311728395174</v>
      </c>
      <c r="AJ107">
        <v>-0.23194758031609597</v>
      </c>
      <c r="AK107">
        <v>1.398761229055097</v>
      </c>
      <c r="AL107">
        <v>0</v>
      </c>
      <c r="AM107">
        <v>0.54463678501697399</v>
      </c>
      <c r="AN107">
        <v>2.8388800318853269E-2</v>
      </c>
      <c r="AO107">
        <v>0.80284090909091832</v>
      </c>
      <c r="AP107">
        <v>-0.43034848079040533</v>
      </c>
      <c r="AQ107">
        <v>0</v>
      </c>
      <c r="AR107">
        <v>0</v>
      </c>
      <c r="AS107">
        <v>0</v>
      </c>
      <c r="AT107">
        <v>0.23899999999999455</v>
      </c>
      <c r="AU107">
        <v>0</v>
      </c>
      <c r="AV107">
        <v>0.11771096608698928</v>
      </c>
      <c r="AW107">
        <v>0</v>
      </c>
      <c r="AX107">
        <v>2.024908484961057</v>
      </c>
      <c r="AY107">
        <v>0</v>
      </c>
      <c r="AZ107">
        <v>0.82020020739416166</v>
      </c>
      <c r="BA107">
        <v>1.134687500000005</v>
      </c>
      <c r="BB107">
        <v>0.22293475671829666</v>
      </c>
      <c r="BC107">
        <v>0</v>
      </c>
      <c r="BD107">
        <v>0.18169910179640536</v>
      </c>
      <c r="BE107">
        <v>1.6927778350853431</v>
      </c>
      <c r="BF107">
        <v>2.5238921985815632</v>
      </c>
      <c r="BG107">
        <v>0.91735849056603969</v>
      </c>
    </row>
    <row r="108" spans="1:59" x14ac:dyDescent="0.25">
      <c r="A108" s="3">
        <v>42338</v>
      </c>
      <c r="B108">
        <v>16.6717009160683</v>
      </c>
      <c r="C108">
        <v>2.0799999999998819E-2</v>
      </c>
      <c r="D108">
        <v>0.29836144772333806</v>
      </c>
      <c r="E108">
        <v>0.41489029741589678</v>
      </c>
      <c r="F108">
        <v>4.0235525024534091E-2</v>
      </c>
      <c r="G108">
        <v>1.57735767828615</v>
      </c>
      <c r="H108">
        <v>1.0899999999998355E-2</v>
      </c>
      <c r="I108">
        <v>0.1478999999999997</v>
      </c>
      <c r="J108">
        <v>0.22552398575778621</v>
      </c>
      <c r="K108">
        <v>1.8839848675914341</v>
      </c>
      <c r="L108">
        <v>0.41021267544576712</v>
      </c>
      <c r="M108">
        <v>8.4485981308414226E-2</v>
      </c>
      <c r="N108">
        <v>0.22335640138408519</v>
      </c>
      <c r="O108">
        <v>0.4385848016454148</v>
      </c>
      <c r="P108">
        <v>7.5651468926607679E-2</v>
      </c>
      <c r="Q108">
        <v>0</v>
      </c>
      <c r="R108">
        <v>0.41665918443695094</v>
      </c>
      <c r="S108">
        <v>0</v>
      </c>
      <c r="T108">
        <v>0</v>
      </c>
      <c r="U108">
        <v>0.29126849603352722</v>
      </c>
      <c r="V108">
        <v>-7.5282193885950921E-2</v>
      </c>
      <c r="W108">
        <v>0.65850440028177659</v>
      </c>
      <c r="X108">
        <v>0.44452708323139589</v>
      </c>
      <c r="Y108">
        <v>0.10356460024624825</v>
      </c>
      <c r="Z108">
        <v>0.1009000000000011</v>
      </c>
      <c r="AA108">
        <v>0.22815467221382435</v>
      </c>
      <c r="AB108">
        <v>1.9947239394585301</v>
      </c>
      <c r="AC108">
        <v>0.39532871972317962</v>
      </c>
      <c r="AD108">
        <v>0</v>
      </c>
      <c r="AE108">
        <v>1.0260623822482646</v>
      </c>
      <c r="AF108">
        <v>9.9310482662133825E-3</v>
      </c>
      <c r="AG108">
        <v>-0.23151228262494605</v>
      </c>
      <c r="AH108">
        <v>1.4980910425844418</v>
      </c>
      <c r="AI108">
        <v>3.3716049382716173</v>
      </c>
      <c r="AJ108">
        <v>-0.28511873996898895</v>
      </c>
      <c r="AK108">
        <v>1.4665665046052365</v>
      </c>
      <c r="AL108">
        <v>0</v>
      </c>
      <c r="AM108">
        <v>0.54498230856742036</v>
      </c>
      <c r="AN108">
        <v>2.6859306496613167E-2</v>
      </c>
      <c r="AO108">
        <v>0.9809090909091005</v>
      </c>
      <c r="AP108">
        <v>-0.49543195548016528</v>
      </c>
      <c r="AQ108">
        <v>0</v>
      </c>
      <c r="AR108">
        <v>0</v>
      </c>
      <c r="AS108">
        <v>0</v>
      </c>
      <c r="AT108">
        <v>0.23899999999999433</v>
      </c>
      <c r="AU108">
        <v>0</v>
      </c>
      <c r="AV108">
        <v>0.12189822324493571</v>
      </c>
      <c r="AW108">
        <v>0</v>
      </c>
      <c r="AX108">
        <v>1.9260157286489661</v>
      </c>
      <c r="AY108">
        <v>0</v>
      </c>
      <c r="AZ108">
        <v>0.80173093361797854</v>
      </c>
      <c r="BA108">
        <v>1.1646250000000049</v>
      </c>
      <c r="BB108">
        <v>0.25745824957263741</v>
      </c>
      <c r="BC108">
        <v>0</v>
      </c>
      <c r="BD108">
        <v>0.19030688622754277</v>
      </c>
      <c r="BE108">
        <v>1.6857791631969508</v>
      </c>
      <c r="BF108">
        <v>2.5429645390070958</v>
      </c>
      <c r="BG108">
        <v>0.97359501347709054</v>
      </c>
    </row>
    <row r="109" spans="1:59" x14ac:dyDescent="0.25">
      <c r="A109" s="3">
        <v>42369</v>
      </c>
      <c r="B109">
        <v>17.890814558058899</v>
      </c>
      <c r="C109">
        <v>1.9499999999999185E-2</v>
      </c>
      <c r="D109">
        <v>0.27863440557188279</v>
      </c>
      <c r="E109">
        <v>0.36904680643588694</v>
      </c>
      <c r="F109">
        <v>2.6295387634936551E-2</v>
      </c>
      <c r="G109">
        <v>1.585089751321008</v>
      </c>
      <c r="H109">
        <v>9.8999999999984656E-3</v>
      </c>
      <c r="I109">
        <v>0.13419999999999987</v>
      </c>
      <c r="J109">
        <v>0.210466655463599</v>
      </c>
      <c r="K109">
        <v>1.8335435056746614</v>
      </c>
      <c r="L109">
        <v>0.37495735855962287</v>
      </c>
      <c r="M109">
        <v>1.1775700934582023E-2</v>
      </c>
      <c r="N109">
        <v>0.11885813148789115</v>
      </c>
      <c r="O109">
        <v>0.44131811276854105</v>
      </c>
      <c r="P109">
        <v>7.662375914785069E-2</v>
      </c>
      <c r="Q109">
        <v>0</v>
      </c>
      <c r="R109">
        <v>0.43367377478487401</v>
      </c>
      <c r="S109">
        <v>0</v>
      </c>
      <c r="T109">
        <v>0</v>
      </c>
      <c r="U109">
        <v>0.28558691465097974</v>
      </c>
      <c r="V109">
        <v>1.6373648487954418E-2</v>
      </c>
      <c r="W109">
        <v>0.67131333776503377</v>
      </c>
      <c r="X109">
        <v>0.4610461418016365</v>
      </c>
      <c r="Y109">
        <v>0.10012112233355652</v>
      </c>
      <c r="Z109">
        <v>9.3300000000001271E-2</v>
      </c>
      <c r="AA109">
        <v>0.23489748217891981</v>
      </c>
      <c r="AB109">
        <v>1.9934981880196063</v>
      </c>
      <c r="AC109">
        <v>0.57525951557092969</v>
      </c>
      <c r="AD109">
        <v>0</v>
      </c>
      <c r="AE109">
        <v>1.0046577349801047</v>
      </c>
      <c r="AF109">
        <v>6.4834615768962767E-3</v>
      </c>
      <c r="AG109">
        <v>-0.25111365788031481</v>
      </c>
      <c r="AH109">
        <v>1.4858541360744058</v>
      </c>
      <c r="AI109">
        <v>3.4238040123456921</v>
      </c>
      <c r="AJ109">
        <v>-0.28720315007752817</v>
      </c>
      <c r="AK109">
        <v>1.4858689222065968</v>
      </c>
      <c r="AL109">
        <v>0</v>
      </c>
      <c r="AM109">
        <v>0.52853037316543761</v>
      </c>
      <c r="AN109">
        <v>2.3243324033481061E-2</v>
      </c>
      <c r="AO109">
        <v>0.95443181818182676</v>
      </c>
      <c r="AP109">
        <v>-0.46638692973841611</v>
      </c>
      <c r="AQ109">
        <v>0</v>
      </c>
      <c r="AR109">
        <v>0</v>
      </c>
      <c r="AS109">
        <v>0</v>
      </c>
      <c r="AT109">
        <v>0.2289999999999941</v>
      </c>
      <c r="AU109">
        <v>0</v>
      </c>
      <c r="AV109">
        <v>0.13571994416990441</v>
      </c>
      <c r="AW109">
        <v>0</v>
      </c>
      <c r="AX109">
        <v>1.9733580056068818</v>
      </c>
      <c r="AY109">
        <v>0</v>
      </c>
      <c r="AZ109">
        <v>0.80013263107965504</v>
      </c>
      <c r="BA109">
        <v>1.0681875000000041</v>
      </c>
      <c r="BB109">
        <v>0.26059137888748229</v>
      </c>
      <c r="BC109">
        <v>0</v>
      </c>
      <c r="BD109">
        <v>0.18076347305389007</v>
      </c>
      <c r="BE109">
        <v>1.6814084091173584</v>
      </c>
      <c r="BF109">
        <v>2.6236624113475173</v>
      </c>
      <c r="BG109">
        <v>0.92463948787062011</v>
      </c>
    </row>
    <row r="110" spans="1:59" x14ac:dyDescent="0.25">
      <c r="A110" s="3">
        <v>42400</v>
      </c>
      <c r="B110">
        <v>13.452092102005425</v>
      </c>
      <c r="C110">
        <v>4.4999999999992824E-3</v>
      </c>
      <c r="D110">
        <v>-8.128346551793586E-2</v>
      </c>
      <c r="E110">
        <v>0.37331301803998307</v>
      </c>
      <c r="F110">
        <v>-0.16030912659470031</v>
      </c>
      <c r="G110">
        <v>1.5644090333104401</v>
      </c>
      <c r="H110">
        <v>1.4099999999998669E-2</v>
      </c>
      <c r="I110">
        <v>0.11860000000000026</v>
      </c>
      <c r="J110">
        <v>0.20052684919096508</v>
      </c>
      <c r="K110">
        <v>1.6015132408575106</v>
      </c>
      <c r="L110">
        <v>0.22783692119374321</v>
      </c>
      <c r="M110">
        <v>-0.19242990654205427</v>
      </c>
      <c r="N110">
        <v>5.2422145328721914E-2</v>
      </c>
      <c r="O110">
        <v>0.44333595812641713</v>
      </c>
      <c r="P110">
        <v>4.720188271638226E-2</v>
      </c>
      <c r="Q110">
        <v>0</v>
      </c>
      <c r="R110">
        <v>0.39223344556676665</v>
      </c>
      <c r="S110">
        <v>0</v>
      </c>
      <c r="T110">
        <v>0</v>
      </c>
      <c r="U110">
        <v>0.27465942587644654</v>
      </c>
      <c r="V110">
        <v>-5.2962807120248701E-2</v>
      </c>
      <c r="W110">
        <v>0.60861800394884336</v>
      </c>
      <c r="X110">
        <v>0.39672163233351498</v>
      </c>
      <c r="Y110">
        <v>0.1106017077248016</v>
      </c>
      <c r="Z110">
        <v>5.1700000000000967E-2</v>
      </c>
      <c r="AA110">
        <v>0.24053942521093874</v>
      </c>
      <c r="AB110">
        <v>2.1599872095501969</v>
      </c>
      <c r="AC110">
        <v>0.74740484429065335</v>
      </c>
      <c r="AD110">
        <v>0</v>
      </c>
      <c r="AE110">
        <v>0.86529202428301488</v>
      </c>
      <c r="AF110">
        <v>1.8517038073351255E-3</v>
      </c>
      <c r="AG110">
        <v>-0.24867806069061926</v>
      </c>
      <c r="AH110">
        <v>1.2591776798825309</v>
      </c>
      <c r="AI110">
        <v>2.4917824074074182</v>
      </c>
      <c r="AJ110">
        <v>-0.24958515818394522</v>
      </c>
      <c r="AK110">
        <v>1.3340528808672185</v>
      </c>
      <c r="AL110">
        <v>0</v>
      </c>
      <c r="AM110">
        <v>0.53663098084812622</v>
      </c>
      <c r="AN110">
        <v>2.8976683937825376E-2</v>
      </c>
      <c r="AO110">
        <v>0.31272727272727829</v>
      </c>
      <c r="AP110">
        <v>-0.52632205457846015</v>
      </c>
      <c r="AQ110">
        <v>0</v>
      </c>
      <c r="AR110">
        <v>0</v>
      </c>
      <c r="AS110">
        <v>-8.0000000000000071E-3</v>
      </c>
      <c r="AT110">
        <v>0.22999999999999421</v>
      </c>
      <c r="AU110">
        <v>0</v>
      </c>
      <c r="AV110">
        <v>0.15175223508996938</v>
      </c>
      <c r="AW110">
        <v>0</v>
      </c>
      <c r="AX110">
        <v>1.7177097100341361</v>
      </c>
      <c r="AY110">
        <v>0</v>
      </c>
      <c r="AZ110">
        <v>0.73593414579032479</v>
      </c>
      <c r="BA110">
        <v>0.81550000000000344</v>
      </c>
      <c r="BB110">
        <v>0.26336825630215954</v>
      </c>
      <c r="BC110">
        <v>0</v>
      </c>
      <c r="BD110">
        <v>0.17449476047903967</v>
      </c>
      <c r="BE110">
        <v>1.7462985193654825</v>
      </c>
      <c r="BF110">
        <v>1.9014978723404248</v>
      </c>
      <c r="BG110">
        <v>0.79604110512129411</v>
      </c>
    </row>
    <row r="111" spans="1:59" x14ac:dyDescent="0.25">
      <c r="A111" s="3">
        <v>42429</v>
      </c>
      <c r="B111">
        <v>12.944045555830636</v>
      </c>
      <c r="C111">
        <v>-2.7500000000000857E-2</v>
      </c>
      <c r="D111">
        <v>-0.15455533636619867</v>
      </c>
      <c r="E111">
        <v>0.42399073622623384</v>
      </c>
      <c r="F111">
        <v>-0.14227674190382689</v>
      </c>
      <c r="G111">
        <v>1.5490225791105776</v>
      </c>
      <c r="H111">
        <v>1.6499999999998627E-2</v>
      </c>
      <c r="I111">
        <v>0.11509999999999998</v>
      </c>
      <c r="J111">
        <v>0.20470944093935017</v>
      </c>
      <c r="K111">
        <v>1.4413619167717595</v>
      </c>
      <c r="L111">
        <v>0.16153372744928096</v>
      </c>
      <c r="M111">
        <v>-0.22401869158878362</v>
      </c>
      <c r="N111">
        <v>-6.7301038062281937E-2</v>
      </c>
      <c r="O111">
        <v>0.44737729880917088</v>
      </c>
      <c r="P111">
        <v>-1.654962078711375E-2</v>
      </c>
      <c r="Q111">
        <v>0</v>
      </c>
      <c r="R111">
        <v>0.51256640478861404</v>
      </c>
      <c r="S111">
        <v>0</v>
      </c>
      <c r="T111">
        <v>0</v>
      </c>
      <c r="U111">
        <v>0.25248035186619644</v>
      </c>
      <c r="V111">
        <v>-0.18102486233328929</v>
      </c>
      <c r="W111">
        <v>0.62604054013830845</v>
      </c>
      <c r="X111">
        <v>0.42892792484219999</v>
      </c>
      <c r="Y111">
        <v>0.11586702569595242</v>
      </c>
      <c r="Z111">
        <v>4.650000000000154E-2</v>
      </c>
      <c r="AA111">
        <v>0.24494289294324578</v>
      </c>
      <c r="AB111">
        <v>2.1493817949264495</v>
      </c>
      <c r="AC111">
        <v>0.77768166089964974</v>
      </c>
      <c r="AD111">
        <v>0</v>
      </c>
      <c r="AE111">
        <v>0.90705463680133058</v>
      </c>
      <c r="AF111">
        <v>1.5100429699210993E-2</v>
      </c>
      <c r="AG111">
        <v>-0.23898948627236161</v>
      </c>
      <c r="AH111">
        <v>1.2793930494371075</v>
      </c>
      <c r="AI111">
        <v>2.3223379629629743</v>
      </c>
      <c r="AJ111">
        <v>-0.1707822148472572</v>
      </c>
      <c r="AK111">
        <v>1.3600329868796841</v>
      </c>
      <c r="AL111">
        <v>0</v>
      </c>
      <c r="AM111">
        <v>0.55024821283624248</v>
      </c>
      <c r="AN111">
        <v>2.8208449581508255E-2</v>
      </c>
      <c r="AO111">
        <v>0.25136363636364223</v>
      </c>
      <c r="AP111">
        <v>-0.54661786150046121</v>
      </c>
      <c r="AQ111">
        <v>0</v>
      </c>
      <c r="AR111">
        <v>0</v>
      </c>
      <c r="AS111">
        <v>-2.0480000000000498E-3</v>
      </c>
      <c r="AT111">
        <v>0.22299999999999431</v>
      </c>
      <c r="AU111">
        <v>0</v>
      </c>
      <c r="AV111">
        <v>0.14447923346787883</v>
      </c>
      <c r="AW111">
        <v>0</v>
      </c>
      <c r="AX111">
        <v>1.5009872866267884</v>
      </c>
      <c r="AY111">
        <v>0</v>
      </c>
      <c r="AZ111">
        <v>0.72492361719298493</v>
      </c>
      <c r="BA111">
        <v>0.88862500000000422</v>
      </c>
      <c r="BB111">
        <v>0.24961572741175875</v>
      </c>
      <c r="BC111">
        <v>0</v>
      </c>
      <c r="BD111">
        <v>0.17486901197604565</v>
      </c>
      <c r="BE111">
        <v>1.7664252436596573</v>
      </c>
      <c r="BF111">
        <v>1.8678156028368789</v>
      </c>
      <c r="BG111">
        <v>0.82168800539083575</v>
      </c>
    </row>
    <row r="112" spans="1:59" x14ac:dyDescent="0.25">
      <c r="A112" s="3">
        <v>42460</v>
      </c>
      <c r="B112">
        <v>12.787571180985374</v>
      </c>
      <c r="C112">
        <v>9.7999999999993648E-3</v>
      </c>
      <c r="D112">
        <v>-0.11751680824509891</v>
      </c>
      <c r="E112">
        <v>0.52074353973671705</v>
      </c>
      <c r="F112">
        <v>-4.0426889106967234E-2</v>
      </c>
      <c r="G112">
        <v>1.5413755113732455</v>
      </c>
      <c r="H112">
        <v>3.0599999999998406E-2</v>
      </c>
      <c r="I112">
        <v>0.15120000000000045</v>
      </c>
      <c r="J112">
        <v>0.23841620973516098</v>
      </c>
      <c r="K112">
        <v>1.6128625472887843</v>
      </c>
      <c r="L112">
        <v>0.38570973684699217</v>
      </c>
      <c r="M112">
        <v>-2.8224299065418901E-2</v>
      </c>
      <c r="N112">
        <v>0.11885813148789071</v>
      </c>
      <c r="O112">
        <v>0.45389049665381198</v>
      </c>
      <c r="P112">
        <v>2.773440616906564E-2</v>
      </c>
      <c r="Q112">
        <v>0</v>
      </c>
      <c r="R112">
        <v>0.80793490460155581</v>
      </c>
      <c r="S112">
        <v>0</v>
      </c>
      <c r="T112">
        <v>0</v>
      </c>
      <c r="U112">
        <v>0.26174870647000636</v>
      </c>
      <c r="V112">
        <v>-0.16585865608020223</v>
      </c>
      <c r="W112">
        <v>0.61958150194961714</v>
      </c>
      <c r="X112">
        <v>0.51549640358174198</v>
      </c>
      <c r="Y112">
        <v>0.12096217179351099</v>
      </c>
      <c r="Z112">
        <v>0.12910000000000199</v>
      </c>
      <c r="AA112">
        <v>0.25168570290834125</v>
      </c>
      <c r="AB112">
        <v>2.2682796845022346</v>
      </c>
      <c r="AC112">
        <v>0.20674740484428789</v>
      </c>
      <c r="AD112">
        <v>0</v>
      </c>
      <c r="AE112">
        <v>1.0175842579024406</v>
      </c>
      <c r="AF112">
        <v>5.5143399620266376E-2</v>
      </c>
      <c r="AG112">
        <v>-0.17053066919129167</v>
      </c>
      <c r="AH112">
        <v>1.4117474302496382</v>
      </c>
      <c r="AI112">
        <v>2.4122299382716159</v>
      </c>
      <c r="AJ112">
        <v>-0.16989132504556514</v>
      </c>
      <c r="AK112">
        <v>1.4868150423305515</v>
      </c>
      <c r="AL112">
        <v>0</v>
      </c>
      <c r="AM112">
        <v>0.60658735556175736</v>
      </c>
      <c r="AN112">
        <v>3.8458549222799343E-2</v>
      </c>
      <c r="AO112">
        <v>0.42443181818182563</v>
      </c>
      <c r="AP112">
        <v>-0.63559801208225442</v>
      </c>
      <c r="AQ112">
        <v>0</v>
      </c>
      <c r="AR112">
        <v>0</v>
      </c>
      <c r="AS112">
        <v>2.4896703999999881E-2</v>
      </c>
      <c r="AT112">
        <v>0.24599999999999422</v>
      </c>
      <c r="AU112">
        <v>0</v>
      </c>
      <c r="AV112">
        <v>0.15863291712248673</v>
      </c>
      <c r="AW112">
        <v>0</v>
      </c>
      <c r="AX112">
        <v>1.7905642140193736</v>
      </c>
      <c r="AY112">
        <v>0</v>
      </c>
      <c r="AZ112">
        <v>0.85802670080115373</v>
      </c>
      <c r="BA112">
        <v>1.3308750000000051</v>
      </c>
      <c r="BB112">
        <v>0.2377054107737584</v>
      </c>
      <c r="BC112">
        <v>0</v>
      </c>
      <c r="BD112">
        <v>0.20658682634730319</v>
      </c>
      <c r="BE112">
        <v>1.7841964576989064</v>
      </c>
      <c r="BF112">
        <v>1.9594439716312047</v>
      </c>
      <c r="BG112">
        <v>0.98966307277627918</v>
      </c>
    </row>
    <row r="113" spans="1:59" x14ac:dyDescent="0.25">
      <c r="A113" s="3">
        <v>42490</v>
      </c>
      <c r="B113">
        <v>12.793513245852905</v>
      </c>
      <c r="C113">
        <v>2.7999999999999137E-2</v>
      </c>
      <c r="D113">
        <v>-5.269938403317409E-2</v>
      </c>
      <c r="E113">
        <v>0.42308629936616571</v>
      </c>
      <c r="F113">
        <v>-5.2963689892051025E-2</v>
      </c>
      <c r="G113">
        <v>1.5464582623959919</v>
      </c>
      <c r="H113">
        <v>3.6899999999998379E-2</v>
      </c>
      <c r="I113">
        <v>0.16920000000000068</v>
      </c>
      <c r="J113">
        <v>0.26408994202598546</v>
      </c>
      <c r="K113">
        <v>1.5460277427490614</v>
      </c>
      <c r="L113">
        <v>0.44945238474195381</v>
      </c>
      <c r="M113">
        <v>4.4392523364488179E-2</v>
      </c>
      <c r="N113">
        <v>0.17387543252595306</v>
      </c>
      <c r="O113">
        <v>0.46072378198808472</v>
      </c>
      <c r="P113">
        <v>4.6031588103578658E-2</v>
      </c>
      <c r="Q113">
        <v>0</v>
      </c>
      <c r="R113">
        <v>0.77670781893002494</v>
      </c>
      <c r="S113">
        <v>0</v>
      </c>
      <c r="T113">
        <v>0</v>
      </c>
      <c r="U113">
        <v>0.26666952642523944</v>
      </c>
      <c r="V113">
        <v>-0.21331479482629179</v>
      </c>
      <c r="W113">
        <v>0.62218099197333054</v>
      </c>
      <c r="X113">
        <v>0.51971424377355091</v>
      </c>
      <c r="Y113">
        <v>0.12274397141112448</v>
      </c>
      <c r="Z113">
        <v>0.12880000000000225</v>
      </c>
      <c r="AA113">
        <v>0.25829090450680225</v>
      </c>
      <c r="AB113">
        <v>2.1460243018546126</v>
      </c>
      <c r="AC113">
        <v>0.35813148788926963</v>
      </c>
      <c r="AD113">
        <v>0</v>
      </c>
      <c r="AE113">
        <v>1.0110948293908222</v>
      </c>
      <c r="AF113">
        <v>6.8792845008494918E-2</v>
      </c>
      <c r="AG113">
        <v>-0.14666301260650916</v>
      </c>
      <c r="AH113">
        <v>1.3142927068037262</v>
      </c>
      <c r="AI113">
        <v>2.505671296296307</v>
      </c>
      <c r="AJ113">
        <v>-0.13138244335029003</v>
      </c>
      <c r="AK113">
        <v>1.6102631506779566</v>
      </c>
      <c r="AL113">
        <v>0</v>
      </c>
      <c r="AM113">
        <v>0.62799884668783545</v>
      </c>
      <c r="AN113">
        <v>4.4217815862895637E-2</v>
      </c>
      <c r="AO113">
        <v>0.30420454545455278</v>
      </c>
      <c r="AP113">
        <v>-0.64271047227926081</v>
      </c>
      <c r="AQ113">
        <v>0</v>
      </c>
      <c r="AR113">
        <v>0</v>
      </c>
      <c r="AS113">
        <v>2.4896703999999881E-2</v>
      </c>
      <c r="AT113">
        <v>0.26199999999999379</v>
      </c>
      <c r="AU113">
        <v>0</v>
      </c>
      <c r="AV113">
        <v>0.16324267229997358</v>
      </c>
      <c r="AW113">
        <v>0</v>
      </c>
      <c r="AX113">
        <v>1.8957692739258536</v>
      </c>
      <c r="AY113">
        <v>0</v>
      </c>
      <c r="AZ113">
        <v>0.86006897626679013</v>
      </c>
      <c r="BA113">
        <v>1.214500000000005</v>
      </c>
      <c r="BB113">
        <v>0.23678689911705431</v>
      </c>
      <c r="BC113">
        <v>0</v>
      </c>
      <c r="BD113">
        <v>0.2340007485029918</v>
      </c>
      <c r="BE113">
        <v>1.793298161956725</v>
      </c>
      <c r="BF113">
        <v>2.0333730496453875</v>
      </c>
      <c r="BG113">
        <v>0.89502021563342171</v>
      </c>
    </row>
    <row r="114" spans="1:59" x14ac:dyDescent="0.25">
      <c r="A114" s="3">
        <v>42521</v>
      </c>
      <c r="B114">
        <v>13.944293141866762</v>
      </c>
      <c r="C114">
        <v>4.3499999999998984E-2</v>
      </c>
      <c r="D114">
        <v>2.1832601956599751E-2</v>
      </c>
      <c r="E114">
        <v>0.45958313018040298</v>
      </c>
      <c r="F114">
        <v>-2.2365063788027606E-2</v>
      </c>
      <c r="G114">
        <v>1.5591905537079715</v>
      </c>
      <c r="H114">
        <v>4.0299999999997782E-2</v>
      </c>
      <c r="I114">
        <v>0.17200000000000104</v>
      </c>
      <c r="J114">
        <v>0.26191253396873804</v>
      </c>
      <c r="K114">
        <v>1.6141235813367021</v>
      </c>
      <c r="L114">
        <v>0.47409307528256694</v>
      </c>
      <c r="M114">
        <v>2.2336448598132996E-2</v>
      </c>
      <c r="N114">
        <v>0.13408304498269996</v>
      </c>
      <c r="O114">
        <v>0.46525202571224789</v>
      </c>
      <c r="P114">
        <v>6.3586007295622249E-2</v>
      </c>
      <c r="Q114">
        <v>0</v>
      </c>
      <c r="R114">
        <v>0.70184436962213193</v>
      </c>
      <c r="S114">
        <v>0</v>
      </c>
      <c r="T114">
        <v>0</v>
      </c>
      <c r="U114">
        <v>0.27680288263664132</v>
      </c>
      <c r="V114">
        <v>-0.31867327710799209</v>
      </c>
      <c r="W114">
        <v>0.64071476053934484</v>
      </c>
      <c r="X114">
        <v>0.5482115770416438</v>
      </c>
      <c r="Y114">
        <v>0.13693830769076709</v>
      </c>
      <c r="Z114">
        <v>0.13110000000000221</v>
      </c>
      <c r="AA114">
        <v>0.26352002243891715</v>
      </c>
      <c r="AB114">
        <v>2.2023555745043684</v>
      </c>
      <c r="AC114">
        <v>0.22750865051902736</v>
      </c>
      <c r="AD114">
        <v>0</v>
      </c>
      <c r="AE114">
        <v>1.0558928197613469</v>
      </c>
      <c r="AF114">
        <v>5.8201259118617843E-2</v>
      </c>
      <c r="AG114">
        <v>-0.19542478449349898</v>
      </c>
      <c r="AH114">
        <v>1.4274106705824838</v>
      </c>
      <c r="AI114">
        <v>2.6603009259259403</v>
      </c>
      <c r="AJ114">
        <v>-0.18510785887217462</v>
      </c>
      <c r="AK114">
        <v>1.6624427528765588</v>
      </c>
      <c r="AL114">
        <v>-9.983427510351639E-5</v>
      </c>
      <c r="AM114">
        <v>0.62208263732406843</v>
      </c>
      <c r="AN114">
        <v>4.2983260263054879E-2</v>
      </c>
      <c r="AO114">
        <v>0.33363636363637128</v>
      </c>
      <c r="AP114">
        <v>-0.60732672678034705</v>
      </c>
      <c r="AQ114">
        <v>0</v>
      </c>
      <c r="AR114">
        <v>0</v>
      </c>
      <c r="AS114">
        <v>2.6946497407999814E-2</v>
      </c>
      <c r="AT114">
        <v>0.2719999999999938</v>
      </c>
      <c r="AU114">
        <v>0</v>
      </c>
      <c r="AV114">
        <v>0.15427967859972092</v>
      </c>
      <c r="AW114">
        <v>0</v>
      </c>
      <c r="AX114">
        <v>1.8639447433041436</v>
      </c>
      <c r="AY114">
        <v>0</v>
      </c>
      <c r="AZ114">
        <v>0.88466507643988135</v>
      </c>
      <c r="BA114">
        <v>1.3940625000000062</v>
      </c>
      <c r="BB114">
        <v>0.23698079539465788</v>
      </c>
      <c r="BC114">
        <v>0</v>
      </c>
      <c r="BD114">
        <v>0.23895958083832092</v>
      </c>
      <c r="BE114">
        <v>1.7997772031057515</v>
      </c>
      <c r="BF114">
        <v>2.1532567375886509</v>
      </c>
      <c r="BG114">
        <v>1.0554076819406992</v>
      </c>
    </row>
    <row r="115" spans="1:59" x14ac:dyDescent="0.25">
      <c r="A115" s="3">
        <v>42551</v>
      </c>
      <c r="B115">
        <v>10.563258232235674</v>
      </c>
      <c r="C115">
        <v>2.1799999999999153E-2</v>
      </c>
      <c r="D115">
        <v>-8.8530134063369292E-2</v>
      </c>
      <c r="E115">
        <v>0.45788152120916936</v>
      </c>
      <c r="F115">
        <v>-3.2399411187439164E-2</v>
      </c>
      <c r="G115">
        <v>1.5719865064765113</v>
      </c>
      <c r="H115">
        <v>5.1599999999997204E-2</v>
      </c>
      <c r="I115">
        <v>0.18310000000000115</v>
      </c>
      <c r="J115">
        <v>0.27976235934199445</v>
      </c>
      <c r="K115">
        <v>1.5422446406053023</v>
      </c>
      <c r="L115">
        <v>0.42987028302408992</v>
      </c>
      <c r="M115">
        <v>1.8130841121497765E-2</v>
      </c>
      <c r="N115">
        <v>9.4117647058823861E-2</v>
      </c>
      <c r="O115">
        <v>0.46935473138424211</v>
      </c>
      <c r="P115">
        <v>3.6860339917387241E-2</v>
      </c>
      <c r="Q115">
        <v>0</v>
      </c>
      <c r="R115">
        <v>0.62095398428730419</v>
      </c>
      <c r="S115">
        <v>0</v>
      </c>
      <c r="T115">
        <v>0</v>
      </c>
      <c r="U115">
        <v>0.25573563507313679</v>
      </c>
      <c r="V115">
        <v>-0.43542928230365274</v>
      </c>
      <c r="W115">
        <v>0.66269136512913107</v>
      </c>
      <c r="X115">
        <v>0.54641092136811031</v>
      </c>
      <c r="Y115">
        <v>0.14659806404468467</v>
      </c>
      <c r="Z115">
        <v>0.13080000000000225</v>
      </c>
      <c r="AA115">
        <v>0.27040044077064729</v>
      </c>
      <c r="AB115">
        <v>2.4513962907695563</v>
      </c>
      <c r="AC115">
        <v>0.35207612456746995</v>
      </c>
      <c r="AD115">
        <v>0</v>
      </c>
      <c r="AE115">
        <v>1.0447456562696154</v>
      </c>
      <c r="AF115">
        <v>7.6764265014490629E-2</v>
      </c>
      <c r="AG115">
        <v>-0.14640589964622208</v>
      </c>
      <c r="AH115">
        <v>1.3595203132648144</v>
      </c>
      <c r="AI115">
        <v>2.3689814814814958</v>
      </c>
      <c r="AJ115">
        <v>-0.11353064388890377</v>
      </c>
      <c r="AK115">
        <v>1.7553799563570287</v>
      </c>
      <c r="AL115">
        <v>8.1464768484316163E-3</v>
      </c>
      <c r="AM115">
        <v>0.6738022633751346</v>
      </c>
      <c r="AN115">
        <v>5.1297329613393838E-2</v>
      </c>
      <c r="AO115">
        <v>0.29306818181818861</v>
      </c>
      <c r="AP115">
        <v>-0.63753236318185902</v>
      </c>
      <c r="AQ115">
        <v>0</v>
      </c>
      <c r="AR115">
        <v>0</v>
      </c>
      <c r="AS115">
        <v>4.2350694869119687E-2</v>
      </c>
      <c r="AT115">
        <v>0.27599999999999336</v>
      </c>
      <c r="AU115">
        <v>0</v>
      </c>
      <c r="AV115">
        <v>0.14784412840921957</v>
      </c>
      <c r="AW115">
        <v>0</v>
      </c>
      <c r="AX115">
        <v>2.0506837246381449</v>
      </c>
      <c r="AY115">
        <v>0</v>
      </c>
      <c r="AZ115">
        <v>0.87738392043196312</v>
      </c>
      <c r="BA115">
        <v>1.4906250000000076</v>
      </c>
      <c r="BB115">
        <v>0.23766890010976716</v>
      </c>
      <c r="BC115">
        <v>0</v>
      </c>
      <c r="BD115">
        <v>0.24859655688622517</v>
      </c>
      <c r="BE115">
        <v>1.844667905092797</v>
      </c>
      <c r="BF115">
        <v>1.9211943262411335</v>
      </c>
      <c r="BG115">
        <v>1.0593800539083551</v>
      </c>
    </row>
    <row r="116" spans="1:59" x14ac:dyDescent="0.25">
      <c r="A116" s="3">
        <v>42582</v>
      </c>
      <c r="B116">
        <v>11.735825699430526</v>
      </c>
      <c r="C116">
        <v>5.909999999999993E-2</v>
      </c>
      <c r="D116">
        <v>1.1312854784812698E-2</v>
      </c>
      <c r="E116">
        <v>0.47404680643588781</v>
      </c>
      <c r="F116">
        <v>3.2811579980372541E-2</v>
      </c>
      <c r="G116">
        <v>1.5874184255153705</v>
      </c>
      <c r="H116">
        <v>6.3499999999997891E-2</v>
      </c>
      <c r="I116">
        <v>0.20440000000000169</v>
      </c>
      <c r="J116">
        <v>0.30656785175297019</v>
      </c>
      <c r="K116">
        <v>1.7049180327868907</v>
      </c>
      <c r="L116">
        <v>0.52710146226972809</v>
      </c>
      <c r="M116">
        <v>-2.616822429904464E-3</v>
      </c>
      <c r="N116">
        <v>0.10934256055363356</v>
      </c>
      <c r="O116">
        <v>0.47670150504116315</v>
      </c>
      <c r="P116">
        <v>8.5004959960751192E-2</v>
      </c>
      <c r="Q116">
        <v>6.0000000000000053E-2</v>
      </c>
      <c r="R116">
        <v>0.61894500561165922</v>
      </c>
      <c r="S116">
        <v>0</v>
      </c>
      <c r="T116">
        <v>0</v>
      </c>
      <c r="U116">
        <v>0.25171728104090274</v>
      </c>
      <c r="V116">
        <v>-0.43733191855253251</v>
      </c>
      <c r="W116">
        <v>0.69440117473136964</v>
      </c>
      <c r="X116">
        <v>0.60006850320497507</v>
      </c>
      <c r="Y116">
        <v>0.14826975244997387</v>
      </c>
      <c r="Z116">
        <v>0.18110000000000226</v>
      </c>
      <c r="AA116">
        <v>0.27617999216930067</v>
      </c>
      <c r="AB116">
        <v>2.3918141121296075</v>
      </c>
      <c r="AC116">
        <v>2.6816608996536706E-2</v>
      </c>
      <c r="AD116">
        <v>0</v>
      </c>
      <c r="AE116">
        <v>1.1370106761565739</v>
      </c>
      <c r="AF116">
        <v>9.4235035475167761E-2</v>
      </c>
      <c r="AG116">
        <v>-0.14350590462903168</v>
      </c>
      <c r="AH116">
        <v>1.5462065589818974</v>
      </c>
      <c r="AI116">
        <v>2.7892361111111246</v>
      </c>
      <c r="AJ116">
        <v>-9.5253801583200182E-2</v>
      </c>
      <c r="AK116">
        <v>1.9251135148264695</v>
      </c>
      <c r="AL116">
        <v>1.0642333726014641E-2</v>
      </c>
      <c r="AM116">
        <v>0.69411215334037957</v>
      </c>
      <c r="AN116">
        <v>5.5014946193705505E-2</v>
      </c>
      <c r="AO116">
        <v>0.31227272727273392</v>
      </c>
      <c r="AP116">
        <v>-0.65032883968693311</v>
      </c>
      <c r="AQ116">
        <v>0</v>
      </c>
      <c r="AR116">
        <v>0</v>
      </c>
      <c r="AS116">
        <v>3.818129208964316E-2</v>
      </c>
      <c r="AT116">
        <v>0.29499999999999327</v>
      </c>
      <c r="AU116">
        <v>0</v>
      </c>
      <c r="AV116">
        <v>0.15952318080651851</v>
      </c>
      <c r="AW116">
        <v>0</v>
      </c>
      <c r="AX116">
        <v>2.2368966806726136</v>
      </c>
      <c r="AY116">
        <v>0</v>
      </c>
      <c r="AZ116">
        <v>0.94975150758383564</v>
      </c>
      <c r="BA116">
        <v>1.531062500000008</v>
      </c>
      <c r="BB116">
        <v>0.23699764201781215</v>
      </c>
      <c r="BC116">
        <v>0</v>
      </c>
      <c r="BD116">
        <v>0.2654378742514949</v>
      </c>
      <c r="BE116">
        <v>1.8574360023791545</v>
      </c>
      <c r="BF116">
        <v>2.292550354609928</v>
      </c>
      <c r="BG116">
        <v>1.2938173854447417</v>
      </c>
    </row>
    <row r="117" spans="1:59" x14ac:dyDescent="0.25">
      <c r="A117" s="3">
        <v>42613</v>
      </c>
      <c r="B117">
        <v>11.464471403812798</v>
      </c>
      <c r="C117">
        <v>7.6400000000000023E-2</v>
      </c>
      <c r="D117">
        <v>-2.9751600305971682E-2</v>
      </c>
      <c r="E117">
        <v>0.51850073135056451</v>
      </c>
      <c r="F117">
        <v>3.3994111874386723E-2</v>
      </c>
      <c r="G117">
        <v>1.6158800281960395</v>
      </c>
      <c r="H117">
        <v>7.0899999999998187E-2</v>
      </c>
      <c r="I117">
        <v>0.21720000000000184</v>
      </c>
      <c r="J117">
        <v>0.32617682600863596</v>
      </c>
      <c r="K117">
        <v>1.7616645649432576</v>
      </c>
      <c r="L117">
        <v>0.58513131783597783</v>
      </c>
      <c r="M117">
        <v>1.7757009345795938E-2</v>
      </c>
      <c r="N117">
        <v>0.11141868512110742</v>
      </c>
      <c r="O117">
        <v>0.48319899166334412</v>
      </c>
      <c r="P117">
        <v>0.1091083005214093</v>
      </c>
      <c r="Q117">
        <v>7.5000000000000178E-2</v>
      </c>
      <c r="R117">
        <v>0.75807706696594135</v>
      </c>
      <c r="S117">
        <v>0</v>
      </c>
      <c r="T117">
        <v>0</v>
      </c>
      <c r="U117">
        <v>0.27324681827480646</v>
      </c>
      <c r="V117">
        <v>-0.40055981412707331</v>
      </c>
      <c r="W117">
        <v>0.69620692734326184</v>
      </c>
      <c r="X117">
        <v>0.61353427606791877</v>
      </c>
      <c r="Y117">
        <v>0.15099250242745121</v>
      </c>
      <c r="Z117">
        <v>0.17770000000000263</v>
      </c>
      <c r="AA117">
        <v>0.28127150173478088</v>
      </c>
      <c r="AB117">
        <v>2.4200063952248954</v>
      </c>
      <c r="AC117">
        <v>0.16089965397923578</v>
      </c>
      <c r="AD117">
        <v>0</v>
      </c>
      <c r="AE117">
        <v>1.1360686623403717</v>
      </c>
      <c r="AF117">
        <v>9.6637353852304209E-2</v>
      </c>
      <c r="AG117">
        <v>-0.14508445861776986</v>
      </c>
      <c r="AH117">
        <v>1.5674008810572766</v>
      </c>
      <c r="AI117">
        <v>2.6772762345679166</v>
      </c>
      <c r="AJ117">
        <v>-0.12245654361959735</v>
      </c>
      <c r="AK117">
        <v>1.9139324513326037</v>
      </c>
      <c r="AL117">
        <v>1.0881935986262636E-2</v>
      </c>
      <c r="AM117">
        <v>0.69993590969064856</v>
      </c>
      <c r="AN117">
        <v>5.5170386608213162E-2</v>
      </c>
      <c r="AO117">
        <v>0.40511363636364361</v>
      </c>
      <c r="AP117">
        <v>-0.67580275570633597</v>
      </c>
      <c r="AQ117">
        <v>0</v>
      </c>
      <c r="AR117">
        <v>0</v>
      </c>
      <c r="AS117">
        <v>4.2334017258001788E-2</v>
      </c>
      <c r="AT117">
        <v>0.30599999999999339</v>
      </c>
      <c r="AU117">
        <v>0</v>
      </c>
      <c r="AV117">
        <v>0.16057942585536988</v>
      </c>
      <c r="AW117">
        <v>0</v>
      </c>
      <c r="AX117">
        <v>2.3042241316306038</v>
      </c>
      <c r="AY117">
        <v>0</v>
      </c>
      <c r="AZ117">
        <v>0.93794182771733348</v>
      </c>
      <c r="BA117">
        <v>1.6793125000000084</v>
      </c>
      <c r="BB117">
        <v>0.2478165438863722</v>
      </c>
      <c r="BC117">
        <v>0</v>
      </c>
      <c r="BD117">
        <v>0.28012724550897983</v>
      </c>
      <c r="BE117">
        <v>1.862670358401918</v>
      </c>
      <c r="BF117">
        <v>2.2451687943262395</v>
      </c>
      <c r="BG117">
        <v>1.3917115902964952</v>
      </c>
    </row>
    <row r="118" spans="1:59" x14ac:dyDescent="0.25">
      <c r="A118" s="3">
        <v>42643</v>
      </c>
      <c r="B118">
        <v>11.135677147808835</v>
      </c>
      <c r="C118">
        <v>6.5900000000000736E-2</v>
      </c>
      <c r="D118">
        <v>5.0766939087724561E-2</v>
      </c>
      <c r="E118">
        <v>0.46606289614822471</v>
      </c>
      <c r="F118">
        <v>0.11256624141315053</v>
      </c>
      <c r="G118">
        <v>1.6263435483088236</v>
      </c>
      <c r="H118">
        <v>7.2399999999998688E-2</v>
      </c>
      <c r="I118">
        <v>0.21510000000000207</v>
      </c>
      <c r="J118">
        <v>0.32693953391569441</v>
      </c>
      <c r="K118">
        <v>1.860025220680964</v>
      </c>
      <c r="L118">
        <v>0.60890828760351723</v>
      </c>
      <c r="M118">
        <v>-5.626168224298933E-2</v>
      </c>
      <c r="N118">
        <v>8.2352941176470962E-2</v>
      </c>
      <c r="O118">
        <v>0.48957674732749656</v>
      </c>
      <c r="P118">
        <v>9.6355241550578619E-2</v>
      </c>
      <c r="Q118">
        <v>0.1120000000000001</v>
      </c>
      <c r="R118">
        <v>0.66910587355030393</v>
      </c>
      <c r="S118">
        <v>0</v>
      </c>
      <c r="T118">
        <v>0</v>
      </c>
      <c r="U118">
        <v>0.28967170223055128</v>
      </c>
      <c r="V118">
        <v>-0.41808602111194337</v>
      </c>
      <c r="W118">
        <v>0.7070414430146148</v>
      </c>
      <c r="X118">
        <v>0.60431570191319883</v>
      </c>
      <c r="Y118">
        <v>0.1553368902591612</v>
      </c>
      <c r="Z118">
        <v>0.16380000000000261</v>
      </c>
      <c r="AA118">
        <v>0.28567496946708837</v>
      </c>
      <c r="AB118">
        <v>2.4028991686207597</v>
      </c>
      <c r="AC118">
        <v>0.14965397923875146</v>
      </c>
      <c r="AD118">
        <v>4.9840584181837233E-2</v>
      </c>
      <c r="AE118">
        <v>1.1397320494033827</v>
      </c>
      <c r="AF118">
        <v>9.5251324073149402E-2</v>
      </c>
      <c r="AG118">
        <v>-0.12759380138522236</v>
      </c>
      <c r="AH118">
        <v>1.6265296133137648</v>
      </c>
      <c r="AI118">
        <v>2.7905864197531032</v>
      </c>
      <c r="AJ118">
        <v>-0.11370066102663201</v>
      </c>
      <c r="AK118">
        <v>1.9585763928337818</v>
      </c>
      <c r="AL118">
        <v>1.4376135614878827E-2</v>
      </c>
      <c r="AM118">
        <v>0.68930146263801939</v>
      </c>
      <c r="AN118">
        <v>5.5006974890397631E-2</v>
      </c>
      <c r="AO118">
        <v>0.36181818181818892</v>
      </c>
      <c r="AP118">
        <v>-0.66538701901615949</v>
      </c>
      <c r="AQ118">
        <v>0</v>
      </c>
      <c r="AR118">
        <v>0</v>
      </c>
      <c r="AS118">
        <v>6.9434701706709845E-2</v>
      </c>
      <c r="AT118">
        <v>0.31599999999999295</v>
      </c>
      <c r="AU118">
        <v>0</v>
      </c>
      <c r="AV118">
        <v>0.16033799841563234</v>
      </c>
      <c r="AW118">
        <v>0</v>
      </c>
      <c r="AX118">
        <v>2.287578166231961</v>
      </c>
      <c r="AY118">
        <v>0</v>
      </c>
      <c r="AZ118">
        <v>0.9296839312693288</v>
      </c>
      <c r="BA118">
        <v>1.5108125000000081</v>
      </c>
      <c r="BB118">
        <v>0.25374499934460393</v>
      </c>
      <c r="BC118">
        <v>0</v>
      </c>
      <c r="BD118">
        <v>0.27853667664670434</v>
      </c>
      <c r="BE118">
        <v>1.8756630618040133</v>
      </c>
      <c r="BF118">
        <v>2.2885560283687916</v>
      </c>
      <c r="BG118">
        <v>1.5094743935309967</v>
      </c>
    </row>
    <row r="119" spans="1:59" x14ac:dyDescent="0.25">
      <c r="A119" s="3">
        <v>42674</v>
      </c>
      <c r="B119">
        <v>11.923991086902664</v>
      </c>
      <c r="C119">
        <v>8.8100000000000511E-2</v>
      </c>
      <c r="D119">
        <v>-0.12114014251781535</v>
      </c>
      <c r="E119">
        <v>0.48126767430522066</v>
      </c>
      <c r="F119">
        <v>-9.5682041216826885E-4</v>
      </c>
      <c r="G119">
        <v>1.6447279531469849</v>
      </c>
      <c r="H119">
        <v>7.1799999999998532E-2</v>
      </c>
      <c r="I119">
        <v>0.2181000000000024</v>
      </c>
      <c r="J119">
        <v>0.32313829612083733</v>
      </c>
      <c r="K119">
        <v>1.8020176544766771</v>
      </c>
      <c r="L119">
        <v>0.62982409534236283</v>
      </c>
      <c r="M119">
        <v>4.2429906542057028E-2</v>
      </c>
      <c r="N119">
        <v>0.15968858131487984</v>
      </c>
      <c r="O119">
        <v>0.4947902659431429</v>
      </c>
      <c r="P119">
        <v>0.12145451464789003</v>
      </c>
      <c r="Q119">
        <v>6.2999999999999945E-2</v>
      </c>
      <c r="R119">
        <v>0.53583613916945905</v>
      </c>
      <c r="S119">
        <v>0</v>
      </c>
      <c r="T119">
        <v>0</v>
      </c>
      <c r="U119">
        <v>0.31778654533917727</v>
      </c>
      <c r="V119">
        <v>-0.41109749181317501</v>
      </c>
      <c r="W119">
        <v>0.70380696306144541</v>
      </c>
      <c r="X119">
        <v>0.54351421441503311</v>
      </c>
      <c r="Y119">
        <v>0.16235397751729197</v>
      </c>
      <c r="Z119">
        <v>0.14550000000000241</v>
      </c>
      <c r="AA119">
        <v>0.29241777943218361</v>
      </c>
      <c r="AB119">
        <v>2.3874440417821328</v>
      </c>
      <c r="AC119">
        <v>0.47577854671280018</v>
      </c>
      <c r="AD119">
        <v>2.7974904864753958E-2</v>
      </c>
      <c r="AE119">
        <v>1.1045635335984842</v>
      </c>
      <c r="AF119">
        <v>7.1355051463975805E-2</v>
      </c>
      <c r="AG119">
        <v>-0.13416911654791053</v>
      </c>
      <c r="AH119">
        <v>1.594860499265796</v>
      </c>
      <c r="AI119">
        <v>2.3613040123456943</v>
      </c>
      <c r="AJ119">
        <v>-0.14583390005712615</v>
      </c>
      <c r="AK119">
        <v>1.744706232639778</v>
      </c>
      <c r="AL119">
        <v>1.0881935986262192E-2</v>
      </c>
      <c r="AM119">
        <v>0.66939507523168751</v>
      </c>
      <c r="AN119">
        <v>5.2569748903948721E-2</v>
      </c>
      <c r="AO119">
        <v>0.38534090909091656</v>
      </c>
      <c r="AP119">
        <v>-0.6327411243043779</v>
      </c>
      <c r="AQ119">
        <v>0</v>
      </c>
      <c r="AR119">
        <v>0</v>
      </c>
      <c r="AS119">
        <v>9.7240003951084342E-2</v>
      </c>
      <c r="AT119">
        <v>0.32099999999999329</v>
      </c>
      <c r="AU119">
        <v>0</v>
      </c>
      <c r="AV119">
        <v>0.16530989475272539</v>
      </c>
      <c r="AW119">
        <v>0</v>
      </c>
      <c r="AX119">
        <v>2.5109562825492331</v>
      </c>
      <c r="AY119">
        <v>0</v>
      </c>
      <c r="AZ119">
        <v>0.86273281383066291</v>
      </c>
      <c r="BA119">
        <v>1.5445000000000095</v>
      </c>
      <c r="BB119">
        <v>0.26108167374447278</v>
      </c>
      <c r="BC119">
        <v>0</v>
      </c>
      <c r="BD119">
        <v>0.28312125748502748</v>
      </c>
      <c r="BE119">
        <v>1.8603666207203795</v>
      </c>
      <c r="BF119">
        <v>1.9348936170212725</v>
      </c>
      <c r="BG119">
        <v>1.4661253369272229</v>
      </c>
    </row>
    <row r="120" spans="1:59" x14ac:dyDescent="0.25">
      <c r="A120" s="3">
        <v>42704</v>
      </c>
      <c r="B120">
        <v>11.140628868531779</v>
      </c>
      <c r="C120">
        <v>6.960000000000055E-2</v>
      </c>
      <c r="D120">
        <v>-2.7738636821128648E-2</v>
      </c>
      <c r="E120">
        <v>0.49444417357386983</v>
      </c>
      <c r="F120">
        <v>8.7340529931312361E-3</v>
      </c>
      <c r="G120">
        <v>1.6658857767721607</v>
      </c>
      <c r="H120">
        <v>6.06999999999982E-2</v>
      </c>
      <c r="I120">
        <v>0.2121000000000024</v>
      </c>
      <c r="J120">
        <v>0.30435353847441182</v>
      </c>
      <c r="K120">
        <v>1.7604035308953394</v>
      </c>
      <c r="L120">
        <v>0.64775216039112871</v>
      </c>
      <c r="M120">
        <v>0.18186915887850597</v>
      </c>
      <c r="N120">
        <v>0.35294117647058942</v>
      </c>
      <c r="O120">
        <v>0.50211473824626407</v>
      </c>
      <c r="P120">
        <v>0.10488814722069573</v>
      </c>
      <c r="Q120">
        <v>6.899999999999995E-2</v>
      </c>
      <c r="R120">
        <v>0.7971268237934741</v>
      </c>
      <c r="S120">
        <v>0</v>
      </c>
      <c r="T120">
        <v>0</v>
      </c>
      <c r="U120">
        <v>0.36614931155312491</v>
      </c>
      <c r="V120">
        <v>-0.39618740967051402</v>
      </c>
      <c r="W120">
        <v>0.67844705275377293</v>
      </c>
      <c r="X120">
        <v>0.52838479228849899</v>
      </c>
      <c r="Y120">
        <v>0.17894073013743839</v>
      </c>
      <c r="Z120">
        <v>0.14830000000000254</v>
      </c>
      <c r="AA120">
        <v>0.29971102286381757</v>
      </c>
      <c r="AB120">
        <v>1.9858239181411186</v>
      </c>
      <c r="AC120">
        <v>0.15311418685120914</v>
      </c>
      <c r="AD120">
        <v>4.3402242106346023E-2</v>
      </c>
      <c r="AE120">
        <v>1.1840066987649065</v>
      </c>
      <c r="AF120">
        <v>4.0599580293795068E-2</v>
      </c>
      <c r="AG120">
        <v>-0.20110518710449032</v>
      </c>
      <c r="AH120">
        <v>1.6117474302496428</v>
      </c>
      <c r="AI120">
        <v>2.5890432098765599</v>
      </c>
      <c r="AJ120">
        <v>-0.21443581513016519</v>
      </c>
      <c r="AK120">
        <v>1.6757217349061566</v>
      </c>
      <c r="AL120">
        <v>-8.186410558473689E-3</v>
      </c>
      <c r="AM120">
        <v>0.61354326957732286</v>
      </c>
      <c r="AN120">
        <v>4.3804304503789027E-2</v>
      </c>
      <c r="AO120">
        <v>0.39397727272727923</v>
      </c>
      <c r="AP120">
        <v>-0.58756658631669845</v>
      </c>
      <c r="AQ120">
        <v>0</v>
      </c>
      <c r="AR120">
        <v>0</v>
      </c>
      <c r="AS120">
        <v>0.10755405998822454</v>
      </c>
      <c r="AT120">
        <v>0.31899999999999329</v>
      </c>
      <c r="AU120">
        <v>0</v>
      </c>
      <c r="AV120">
        <v>0.16598890942698707</v>
      </c>
      <c r="AW120">
        <v>0</v>
      </c>
      <c r="AX120">
        <v>2.1479668435336663</v>
      </c>
      <c r="AY120">
        <v>0</v>
      </c>
      <c r="AZ120">
        <v>0.85181107981878501</v>
      </c>
      <c r="BA120">
        <v>1.4400625000000091</v>
      </c>
      <c r="BB120">
        <v>0.27776631000452601</v>
      </c>
      <c r="BC120">
        <v>0</v>
      </c>
      <c r="BD120">
        <v>0.27170658682634463</v>
      </c>
      <c r="BE120">
        <v>1.7707211328816936</v>
      </c>
      <c r="BF120">
        <v>2.1061588652482222</v>
      </c>
      <c r="BG120">
        <v>1.5669103773584898</v>
      </c>
    </row>
    <row r="121" spans="1:59" x14ac:dyDescent="0.25">
      <c r="A121" s="3">
        <v>42735</v>
      </c>
      <c r="B121">
        <v>11.116860609061607</v>
      </c>
      <c r="C121">
        <v>0.10370000000000146</v>
      </c>
      <c r="D121">
        <v>-7.7257538548251459E-2</v>
      </c>
      <c r="E121">
        <v>0.48115065821550873</v>
      </c>
      <c r="F121">
        <v>5.7212953876355499E-3</v>
      </c>
      <c r="G121">
        <v>1.6658857767721607</v>
      </c>
      <c r="H121">
        <v>6.2399999999998235E-2</v>
      </c>
      <c r="I121">
        <v>0.22090000000000276</v>
      </c>
      <c r="J121">
        <v>0.31186990188106845</v>
      </c>
      <c r="K121">
        <v>1.8247162673392237</v>
      </c>
      <c r="L121">
        <v>0.70542348600481808</v>
      </c>
      <c r="M121">
        <v>7.0280373831776766E-2</v>
      </c>
      <c r="N121">
        <v>0.23321799307958591</v>
      </c>
      <c r="O121">
        <v>0.5124793299401631</v>
      </c>
      <c r="P121">
        <v>0.14405853837295313</v>
      </c>
      <c r="Q121">
        <v>6.8999999999999506E-2</v>
      </c>
      <c r="R121">
        <v>0.96261878039653981</v>
      </c>
      <c r="S121">
        <v>0</v>
      </c>
      <c r="T121">
        <v>0</v>
      </c>
      <c r="U121">
        <v>0.38869077519375139</v>
      </c>
      <c r="V121">
        <v>-0.35262801631876417</v>
      </c>
      <c r="W121">
        <v>0.67660161327128976</v>
      </c>
      <c r="X121">
        <v>0.55214561824142794</v>
      </c>
      <c r="Y121">
        <v>0.19420614820969129</v>
      </c>
      <c r="Z121">
        <v>0.16310000000000269</v>
      </c>
      <c r="AA121">
        <v>0.30686665792881707</v>
      </c>
      <c r="AB121">
        <v>2.0810594755915544</v>
      </c>
      <c r="AC121">
        <v>0.2145328719723163</v>
      </c>
      <c r="AD121">
        <v>6.7057492543454389E-2</v>
      </c>
      <c r="AE121">
        <v>1.2337240946200452</v>
      </c>
      <c r="AF121">
        <v>4.668432097531805E-2</v>
      </c>
      <c r="AG121">
        <v>-0.18493098809108643</v>
      </c>
      <c r="AH121">
        <v>1.6583945178658945</v>
      </c>
      <c r="AI121">
        <v>2.4764660493827324</v>
      </c>
      <c r="AJ121">
        <v>-0.22327670629199381</v>
      </c>
      <c r="AK121">
        <v>1.717161012799072</v>
      </c>
      <c r="AL121">
        <v>-1.2099914142524093E-2</v>
      </c>
      <c r="AM121">
        <v>0.6309784976228654</v>
      </c>
      <c r="AN121">
        <v>4.5652650458352761E-2</v>
      </c>
      <c r="AO121">
        <v>0.29625000000000634</v>
      </c>
      <c r="AP121">
        <v>-0.53272029283099775</v>
      </c>
      <c r="AQ121">
        <v>1.9407763105241393E-3</v>
      </c>
      <c r="AR121">
        <v>0</v>
      </c>
      <c r="AS121">
        <v>0.12970514118798904</v>
      </c>
      <c r="AT121">
        <v>0.33099999999999397</v>
      </c>
      <c r="AU121">
        <v>0</v>
      </c>
      <c r="AV121">
        <v>0.16611716775434759</v>
      </c>
      <c r="AW121">
        <v>0</v>
      </c>
      <c r="AX121">
        <v>2.1240718286872271</v>
      </c>
      <c r="AY121">
        <v>0</v>
      </c>
      <c r="AZ121">
        <v>0.88164606053415895</v>
      </c>
      <c r="BA121">
        <v>1.1535625000000089</v>
      </c>
      <c r="BB121">
        <v>0.28274166626785524</v>
      </c>
      <c r="BC121">
        <v>0</v>
      </c>
      <c r="BD121">
        <v>0.2911676646706558</v>
      </c>
      <c r="BE121">
        <v>1.7691855783001302</v>
      </c>
      <c r="BF121">
        <v>2.0798411347517698</v>
      </c>
      <c r="BG121">
        <v>1.6084535040431276</v>
      </c>
    </row>
    <row r="122" spans="1:59" x14ac:dyDescent="0.25">
      <c r="A122" s="3">
        <v>42766</v>
      </c>
      <c r="B122">
        <v>11.941817281505271</v>
      </c>
      <c r="C122">
        <v>0.11620000000000097</v>
      </c>
      <c r="D122">
        <v>-5.5517532911953826E-2</v>
      </c>
      <c r="E122">
        <v>0.49284739151633739</v>
      </c>
      <c r="F122">
        <v>0.10811089303238486</v>
      </c>
      <c r="G122">
        <v>1.68987874876311</v>
      </c>
      <c r="H122">
        <v>6.8699999999998207E-2</v>
      </c>
      <c r="I122">
        <v>0.23080000000000234</v>
      </c>
      <c r="J122">
        <v>0.32494665196499062</v>
      </c>
      <c r="K122">
        <v>2.0264817150063101</v>
      </c>
      <c r="L122">
        <v>0.72247772086486628</v>
      </c>
      <c r="M122">
        <v>0.16037383177570175</v>
      </c>
      <c r="N122">
        <v>0.32404844290657597</v>
      </c>
      <c r="O122">
        <v>0.51804525387434275</v>
      </c>
      <c r="P122">
        <v>0.16323245617059245</v>
      </c>
      <c r="Q122">
        <v>0.1329999999999989</v>
      </c>
      <c r="R122">
        <v>0.96261878039654025</v>
      </c>
      <c r="S122">
        <v>0</v>
      </c>
      <c r="T122">
        <v>0</v>
      </c>
      <c r="U122">
        <v>0.38146958316274393</v>
      </c>
      <c r="V122">
        <v>-0.36874554069629084</v>
      </c>
      <c r="W122">
        <v>0.69587951066088616</v>
      </c>
      <c r="X122">
        <v>0.58223809756814027</v>
      </c>
      <c r="Y122">
        <v>0.19808006086146945</v>
      </c>
      <c r="Z122">
        <v>0.19590000000000307</v>
      </c>
      <c r="AA122">
        <v>0.31292142606073958</v>
      </c>
      <c r="AB122">
        <v>2.1950010658708115</v>
      </c>
      <c r="AC122">
        <v>3.7197231833908662E-2</v>
      </c>
      <c r="AD122">
        <v>0.13133806438342122</v>
      </c>
      <c r="AE122">
        <v>1.2484823110738867</v>
      </c>
      <c r="AF122">
        <v>5.4317977415810459E-2</v>
      </c>
      <c r="AG122">
        <v>-0.17015496536947594</v>
      </c>
      <c r="AH122">
        <v>1.7488497307880686</v>
      </c>
      <c r="AI122">
        <v>2.6426697530864378</v>
      </c>
      <c r="AJ122">
        <v>-0.18765811593808579</v>
      </c>
      <c r="AK122">
        <v>1.9012313273497345</v>
      </c>
      <c r="AL122">
        <v>-8.8453167741552319E-3</v>
      </c>
      <c r="AM122">
        <v>0.63516708923439968</v>
      </c>
      <c r="AN122">
        <v>4.9768832204068136E-2</v>
      </c>
      <c r="AO122">
        <v>0.28875000000000561</v>
      </c>
      <c r="AP122">
        <v>-0.55962265273933931</v>
      </c>
      <c r="AQ122">
        <v>3.7715086034413314E-3</v>
      </c>
      <c r="AR122">
        <v>0</v>
      </c>
      <c r="AS122">
        <v>0.12405661548204905</v>
      </c>
      <c r="AT122">
        <v>0.34099999999999375</v>
      </c>
      <c r="AU122">
        <v>0</v>
      </c>
      <c r="AV122">
        <v>0.16663774567128131</v>
      </c>
      <c r="AW122">
        <v>0</v>
      </c>
      <c r="AX122">
        <v>2.2266324542078975</v>
      </c>
      <c r="AY122">
        <v>0</v>
      </c>
      <c r="AZ122">
        <v>0.94140481655036745</v>
      </c>
      <c r="BA122">
        <v>1.3996250000000101</v>
      </c>
      <c r="BB122">
        <v>0.29397167563469395</v>
      </c>
      <c r="BC122">
        <v>0</v>
      </c>
      <c r="BD122">
        <v>0.30136601796406892</v>
      </c>
      <c r="BE122">
        <v>1.769377804198518</v>
      </c>
      <c r="BF122">
        <v>2.2630780141843942</v>
      </c>
      <c r="BG122">
        <v>1.7104009433962264</v>
      </c>
    </row>
    <row r="123" spans="1:59" x14ac:dyDescent="0.25">
      <c r="A123" s="3">
        <v>42794</v>
      </c>
      <c r="B123">
        <v>11.998266897746905</v>
      </c>
      <c r="C123">
        <v>0.1334000000000013</v>
      </c>
      <c r="D123">
        <v>5.2779902572566595E-2</v>
      </c>
      <c r="E123">
        <v>0.54217698683569338</v>
      </c>
      <c r="F123">
        <v>0.15996565260058904</v>
      </c>
      <c r="G123">
        <v>1.7033281425069253</v>
      </c>
      <c r="H123">
        <v>8.1199999999998385E-2</v>
      </c>
      <c r="I123">
        <v>0.24020000000000219</v>
      </c>
      <c r="J123">
        <v>0.34176313114158696</v>
      </c>
      <c r="K123">
        <v>2.078184110970998</v>
      </c>
      <c r="L123">
        <v>0.76898461932821749</v>
      </c>
      <c r="M123">
        <v>0.17757009345794472</v>
      </c>
      <c r="N123">
        <v>0.31245674740484608</v>
      </c>
      <c r="O123">
        <v>0.52275119416135341</v>
      </c>
      <c r="P123">
        <v>0.19115600086294249</v>
      </c>
      <c r="Q123">
        <v>0.17499999999999893</v>
      </c>
      <c r="R123">
        <v>0.59807332585108908</v>
      </c>
      <c r="S123">
        <v>0</v>
      </c>
      <c r="T123">
        <v>0</v>
      </c>
      <c r="U123">
        <v>0.38174587707937646</v>
      </c>
      <c r="V123">
        <v>-0.36488538446058338</v>
      </c>
      <c r="W123">
        <v>0.68519382075424939</v>
      </c>
      <c r="X123">
        <v>0.66362969124627291</v>
      </c>
      <c r="Y123">
        <v>0.20171373086817623</v>
      </c>
      <c r="Z123">
        <v>0.25070000000000303</v>
      </c>
      <c r="AA123">
        <v>0.31870097745939274</v>
      </c>
      <c r="AB123">
        <v>2.3476337667874594</v>
      </c>
      <c r="AC123">
        <v>0.11764705882352811</v>
      </c>
      <c r="AD123">
        <v>0.15910727141828662</v>
      </c>
      <c r="AE123">
        <v>1.3512664852417751</v>
      </c>
      <c r="AF123">
        <v>6.4164085140403504E-2</v>
      </c>
      <c r="AG123">
        <v>-0.15472220838108586</v>
      </c>
      <c r="AH123">
        <v>1.8864904552129369</v>
      </c>
      <c r="AI123">
        <v>2.8936728395061917</v>
      </c>
      <c r="AJ123">
        <v>-0.15739506542259363</v>
      </c>
      <c r="AK123">
        <v>2.0502011729538991</v>
      </c>
      <c r="AL123">
        <v>-3.3743984984925257E-3</v>
      </c>
      <c r="AM123">
        <v>0.65509933214450933</v>
      </c>
      <c r="AN123">
        <v>5.4144081307297087E-2</v>
      </c>
      <c r="AO123">
        <v>0.32215909090909656</v>
      </c>
      <c r="AP123">
        <v>-0.54462399190548494</v>
      </c>
      <c r="AQ123">
        <v>4.3117246898758399E-3</v>
      </c>
      <c r="AR123">
        <v>0</v>
      </c>
      <c r="AS123">
        <v>0.127428785328495</v>
      </c>
      <c r="AT123">
        <v>0.35699999999999377</v>
      </c>
      <c r="AU123">
        <v>0</v>
      </c>
      <c r="AV123">
        <v>0.16843336225432859</v>
      </c>
      <c r="AW123">
        <v>0</v>
      </c>
      <c r="AX123">
        <v>2.3579207942068705</v>
      </c>
      <c r="AY123">
        <v>0</v>
      </c>
      <c r="AZ123">
        <v>1.0136836091167769</v>
      </c>
      <c r="BA123">
        <v>1.419812500000011</v>
      </c>
      <c r="BB123">
        <v>0.29237288668015737</v>
      </c>
      <c r="BC123">
        <v>0</v>
      </c>
      <c r="BD123">
        <v>0.32045284431137389</v>
      </c>
      <c r="BE123">
        <v>1.7926889055316018</v>
      </c>
      <c r="BF123">
        <v>2.4723716312056707</v>
      </c>
      <c r="BG123">
        <v>1.7814016172506753</v>
      </c>
    </row>
    <row r="124" spans="1:59" x14ac:dyDescent="0.25">
      <c r="A124" s="3">
        <v>42825</v>
      </c>
      <c r="B124">
        <v>11.006932409012075</v>
      </c>
      <c r="C124">
        <v>0.14200000000000057</v>
      </c>
      <c r="D124">
        <v>3.707878739079562E-2</v>
      </c>
      <c r="E124">
        <v>0.55635543637250584</v>
      </c>
      <c r="F124">
        <v>0.20184985279685974</v>
      </c>
      <c r="G124">
        <v>1.7114381269344459</v>
      </c>
      <c r="H124">
        <v>8.5699999999997889E-2</v>
      </c>
      <c r="I124">
        <v>0.2381000000000022</v>
      </c>
      <c r="J124">
        <v>0.33770355679756636</v>
      </c>
      <c r="K124">
        <v>2.2156368221941989</v>
      </c>
      <c r="L124">
        <v>0.830899081004705</v>
      </c>
      <c r="M124">
        <v>0.18186915887850597</v>
      </c>
      <c r="N124">
        <v>0.34325259515571127</v>
      </c>
      <c r="O124">
        <v>0.52914674917683113</v>
      </c>
      <c r="P124">
        <v>0.20110350507176733</v>
      </c>
      <c r="Q124">
        <v>0.22499999999999942</v>
      </c>
      <c r="R124">
        <v>0.54111111111109711</v>
      </c>
      <c r="S124">
        <v>1.6184471217065122E-2</v>
      </c>
      <c r="T124">
        <v>0</v>
      </c>
      <c r="U124">
        <v>0.38976000316643677</v>
      </c>
      <c r="V124">
        <v>-0.36479391156400254</v>
      </c>
      <c r="W124">
        <v>0.70845032692059751</v>
      </c>
      <c r="X124">
        <v>0.70194255516954973</v>
      </c>
      <c r="Y124">
        <v>0.21471686403267221</v>
      </c>
      <c r="Z124">
        <v>0.27690000000000281</v>
      </c>
      <c r="AA124">
        <v>0.32351727029160404</v>
      </c>
      <c r="AB124">
        <v>2.412971647836275</v>
      </c>
      <c r="AC124">
        <v>7.0069204152247933E-2</v>
      </c>
      <c r="AD124">
        <v>0.19434330967808311</v>
      </c>
      <c r="AE124">
        <v>1.3556625497173878</v>
      </c>
      <c r="AF124">
        <v>6.2191465973819859E-2</v>
      </c>
      <c r="AG124">
        <v>-0.13468633215406911</v>
      </c>
      <c r="AH124">
        <v>1.9420949583945335</v>
      </c>
      <c r="AI124">
        <v>2.8457561728395233</v>
      </c>
      <c r="AJ124">
        <v>-0.16521585375805803</v>
      </c>
      <c r="AK124">
        <v>2.092563064880733</v>
      </c>
      <c r="AL124">
        <v>-4.6922109298561665E-3</v>
      </c>
      <c r="AM124">
        <v>0.64756989604521187</v>
      </c>
      <c r="AN124">
        <v>5.3377839776806324E-2</v>
      </c>
      <c r="AO124">
        <v>0.24295454545455053</v>
      </c>
      <c r="AP124">
        <v>-0.49120614230872317</v>
      </c>
      <c r="AQ124">
        <v>5.1420568227289465E-3</v>
      </c>
      <c r="AR124">
        <v>0</v>
      </c>
      <c r="AS124">
        <v>0.14208535953776535</v>
      </c>
      <c r="AT124">
        <v>0.364999999999994</v>
      </c>
      <c r="AU124">
        <v>0</v>
      </c>
      <c r="AV124">
        <v>0.22829227809423203</v>
      </c>
      <c r="AW124">
        <v>0</v>
      </c>
      <c r="AX124">
        <v>2.5498863629170261</v>
      </c>
      <c r="AY124">
        <v>0</v>
      </c>
      <c r="AZ124">
        <v>1.0503557729127566</v>
      </c>
      <c r="BA124">
        <v>1.4299375000000105</v>
      </c>
      <c r="BB124">
        <v>0.2843624223858956</v>
      </c>
      <c r="BC124">
        <v>0</v>
      </c>
      <c r="BD124">
        <v>0.32915419161676351</v>
      </c>
      <c r="BE124">
        <v>1.7941448101055117</v>
      </c>
      <c r="BF124">
        <v>2.4085248226950302</v>
      </c>
      <c r="BG124">
        <v>1.9022843665768217</v>
      </c>
    </row>
    <row r="125" spans="1:59" x14ac:dyDescent="0.25">
      <c r="A125" s="3">
        <v>42855</v>
      </c>
      <c r="B125">
        <v>11.654617479574094</v>
      </c>
      <c r="C125">
        <v>0.16080000000000116</v>
      </c>
      <c r="D125">
        <v>7.170175933008438E-2</v>
      </c>
      <c r="E125">
        <v>0.56273525109703071</v>
      </c>
      <c r="F125">
        <v>0.26254661432777193</v>
      </c>
      <c r="G125">
        <v>1.7141495650613798</v>
      </c>
      <c r="H125">
        <v>9.0599999999997793E-2</v>
      </c>
      <c r="I125">
        <v>0.24350000000000205</v>
      </c>
      <c r="J125">
        <v>0.35271168013000764</v>
      </c>
      <c r="K125">
        <v>2.3114754098360657</v>
      </c>
      <c r="L125">
        <v>0.89314964975886513</v>
      </c>
      <c r="M125">
        <v>0.16682242990654306</v>
      </c>
      <c r="N125">
        <v>0.27560553633218188</v>
      </c>
      <c r="O125">
        <v>0.53526333617353838</v>
      </c>
      <c r="P125">
        <v>0.23834507732514543</v>
      </c>
      <c r="Q125">
        <v>0.26899999999999902</v>
      </c>
      <c r="R125">
        <v>0.52888140665917094</v>
      </c>
      <c r="S125">
        <v>2.6803082247339072E-2</v>
      </c>
      <c r="T125">
        <v>0</v>
      </c>
      <c r="U125">
        <v>0.41449773122279931</v>
      </c>
      <c r="V125">
        <v>-0.36967856424141432</v>
      </c>
      <c r="W125">
        <v>0.70161426346129097</v>
      </c>
      <c r="X125">
        <v>0.77828448402407902</v>
      </c>
      <c r="Y125">
        <v>0.22527753030560782</v>
      </c>
      <c r="Z125">
        <v>0.32800000000000362</v>
      </c>
      <c r="AA125">
        <v>0.32984725515679547</v>
      </c>
      <c r="AB125">
        <v>2.3379343423576984</v>
      </c>
      <c r="AC125">
        <v>-6.4013840830450808E-2</v>
      </c>
      <c r="AD125">
        <v>0.21773115293633616</v>
      </c>
      <c r="AE125">
        <v>1.3753401716558415</v>
      </c>
      <c r="AF125">
        <v>7.5750974317978281E-2</v>
      </c>
      <c r="AG125">
        <v>-0.12683442124669975</v>
      </c>
      <c r="AH125">
        <v>2.0164953499755414</v>
      </c>
      <c r="AI125">
        <v>2.9030864197531048</v>
      </c>
      <c r="AJ125">
        <v>-0.15067938848235829</v>
      </c>
      <c r="AK125">
        <v>2.2216408817917972</v>
      </c>
      <c r="AL125">
        <v>1.69718267675667E-3</v>
      </c>
      <c r="AM125">
        <v>0.66140494106512948</v>
      </c>
      <c r="AN125">
        <v>5.8662813870069552E-2</v>
      </c>
      <c r="AO125">
        <v>0.21329545454545928</v>
      </c>
      <c r="AP125">
        <v>-0.43909769961015488</v>
      </c>
      <c r="AQ125">
        <v>8.4733893557420448E-3</v>
      </c>
      <c r="AR125">
        <v>0</v>
      </c>
      <c r="AS125">
        <v>0.15350621313314305</v>
      </c>
      <c r="AT125">
        <v>0.37599999999999412</v>
      </c>
      <c r="AU125">
        <v>0</v>
      </c>
      <c r="AV125">
        <v>0.23883209476027001</v>
      </c>
      <c r="AW125">
        <v>0</v>
      </c>
      <c r="AX125">
        <v>2.799307360583787</v>
      </c>
      <c r="AY125">
        <v>0</v>
      </c>
      <c r="AZ125">
        <v>1.1302708998289357</v>
      </c>
      <c r="BA125">
        <v>1.35243750000001</v>
      </c>
      <c r="BB125">
        <v>0.28801378655815868</v>
      </c>
      <c r="BC125">
        <v>0</v>
      </c>
      <c r="BD125">
        <v>0.34215943113772163</v>
      </c>
      <c r="BE125">
        <v>1.8278595919846721</v>
      </c>
      <c r="BF125">
        <v>2.4927007092198519</v>
      </c>
      <c r="BG125">
        <v>1.9019204851752058</v>
      </c>
    </row>
    <row r="126" spans="1:59" x14ac:dyDescent="0.25">
      <c r="A126" s="3">
        <v>42886</v>
      </c>
      <c r="B126">
        <v>8.708343649418131</v>
      </c>
      <c r="C126">
        <v>0.17820000000000102</v>
      </c>
      <c r="D126">
        <v>-1.4855670518138187E-2</v>
      </c>
      <c r="E126">
        <v>0.65306923451975196</v>
      </c>
      <c r="F126">
        <v>0.42205593719332701</v>
      </c>
      <c r="G126">
        <v>1.7331486120168091</v>
      </c>
      <c r="H126">
        <v>9.4999999999997975E-2</v>
      </c>
      <c r="I126">
        <v>0.25120000000000164</v>
      </c>
      <c r="J126">
        <v>0.37100436815897608</v>
      </c>
      <c r="K126">
        <v>2.4905422446406056</v>
      </c>
      <c r="L126">
        <v>0.93479894205356029</v>
      </c>
      <c r="M126">
        <v>0.14757009345794536</v>
      </c>
      <c r="N126">
        <v>0.24861591695501883</v>
      </c>
      <c r="O126">
        <v>0.54048323151652844</v>
      </c>
      <c r="P126">
        <v>0.25454695905643399</v>
      </c>
      <c r="Q126">
        <v>0.32699999999999885</v>
      </c>
      <c r="R126">
        <v>0.62588851477739005</v>
      </c>
      <c r="S126">
        <v>3.4806124267974914E-2</v>
      </c>
      <c r="T126">
        <v>0</v>
      </c>
      <c r="U126">
        <v>0.42666241171131536</v>
      </c>
      <c r="V126">
        <v>-0.28287078538628885</v>
      </c>
      <c r="W126">
        <v>0.75436803619442672</v>
      </c>
      <c r="X126">
        <v>0.85629006214219894</v>
      </c>
      <c r="Y126">
        <v>0.23143374808556549</v>
      </c>
      <c r="Z126">
        <v>0.38420000000000432</v>
      </c>
      <c r="AA126">
        <v>0.33755332368833324</v>
      </c>
      <c r="AB126">
        <v>2.2255915583031256</v>
      </c>
      <c r="AC126">
        <v>-9.9480968858131957E-2</v>
      </c>
      <c r="AD126">
        <v>0.28149748020158372</v>
      </c>
      <c r="AE126">
        <v>1.4010885492987133</v>
      </c>
      <c r="AF126">
        <v>9.3567502748077347E-2</v>
      </c>
      <c r="AG126">
        <v>-0.11045493048981025</v>
      </c>
      <c r="AH126">
        <v>2.1294664708761766</v>
      </c>
      <c r="AI126">
        <v>2.7471450617284123</v>
      </c>
      <c r="AJ126">
        <v>-0.15093441418894937</v>
      </c>
      <c r="AK126">
        <v>2.2841376986754365</v>
      </c>
      <c r="AL126">
        <v>8.4859133837826839E-3</v>
      </c>
      <c r="AM126">
        <v>0.68849367402008466</v>
      </c>
      <c r="AN126">
        <v>6.2062574730970654E-2</v>
      </c>
      <c r="AO126">
        <v>0.17863636363636881</v>
      </c>
      <c r="AP126">
        <v>-0.42290866886885159</v>
      </c>
      <c r="AQ126">
        <v>1.1784713885554021E-2</v>
      </c>
      <c r="AR126">
        <v>0</v>
      </c>
      <c r="AS126">
        <v>0.15581322555940935</v>
      </c>
      <c r="AT126">
        <v>0.38899999999999468</v>
      </c>
      <c r="AU126">
        <v>0</v>
      </c>
      <c r="AV126">
        <v>0.23809272322607411</v>
      </c>
      <c r="AW126">
        <v>0</v>
      </c>
      <c r="AX126">
        <v>2.7533967140810791</v>
      </c>
      <c r="AY126">
        <v>0</v>
      </c>
      <c r="AZ126">
        <v>1.2022833086389579</v>
      </c>
      <c r="BA126">
        <v>1.3996250000000106</v>
      </c>
      <c r="BB126">
        <v>0.30496750762651148</v>
      </c>
      <c r="BC126">
        <v>0</v>
      </c>
      <c r="BD126">
        <v>0.35647455089820057</v>
      </c>
      <c r="BE126">
        <v>1.8608089893550637</v>
      </c>
      <c r="BF126">
        <v>2.359279432624108</v>
      </c>
      <c r="BG126">
        <v>2.1309433962264159</v>
      </c>
    </row>
    <row r="127" spans="1:59" x14ac:dyDescent="0.25">
      <c r="A127" s="3">
        <v>42916</v>
      </c>
      <c r="B127">
        <v>11.049517207229467</v>
      </c>
      <c r="C127">
        <v>0.17820000000000058</v>
      </c>
      <c r="D127">
        <v>0.12159104633841777</v>
      </c>
      <c r="E127">
        <v>0.65051925889810391</v>
      </c>
      <c r="F127">
        <v>0.45215407262021579</v>
      </c>
      <c r="G127">
        <v>1.7604800981369775</v>
      </c>
      <c r="H127">
        <v>9.4999999999997753E-2</v>
      </c>
      <c r="I127">
        <v>0.25080000000000058</v>
      </c>
      <c r="J127">
        <v>0.37781953236075672</v>
      </c>
      <c r="K127">
        <v>2.4501891551071875</v>
      </c>
      <c r="L127">
        <v>0.98316891560489905</v>
      </c>
      <c r="M127">
        <v>9.1775700934581428E-2</v>
      </c>
      <c r="N127">
        <v>0.18875432525951785</v>
      </c>
      <c r="O127">
        <v>0.54602897114998794</v>
      </c>
      <c r="P127">
        <v>0.25612311341711158</v>
      </c>
      <c r="Q127">
        <v>0.31499999999999884</v>
      </c>
      <c r="R127">
        <v>0.66194912083799617</v>
      </c>
      <c r="S127">
        <v>3.2939359180410799E-2</v>
      </c>
      <c r="T127">
        <v>0</v>
      </c>
      <c r="U127">
        <v>0.44592235426941818</v>
      </c>
      <c r="V127">
        <v>-0.32260661166096394</v>
      </c>
      <c r="W127">
        <v>0.78506583059659385</v>
      </c>
      <c r="X127">
        <v>0.85597690463375775</v>
      </c>
      <c r="Y127">
        <v>0.22512737865243815</v>
      </c>
      <c r="Z127">
        <v>0.37820000000000409</v>
      </c>
      <c r="AA127">
        <v>0.34292004998708281</v>
      </c>
      <c r="AB127">
        <v>2.0651780004263403</v>
      </c>
      <c r="AC127">
        <v>-3.2871972318339715E-2</v>
      </c>
      <c r="AD127">
        <v>0.26349892008639242</v>
      </c>
      <c r="AE127">
        <v>1.421708185053371</v>
      </c>
      <c r="AF127">
        <v>0.1005156390526647</v>
      </c>
      <c r="AG127">
        <v>-0.10652847675519472</v>
      </c>
      <c r="AH127">
        <v>2.0611845325501852</v>
      </c>
      <c r="AI127">
        <v>3.0685185185185357</v>
      </c>
      <c r="AJ127">
        <v>-0.16793612796169755</v>
      </c>
      <c r="AK127">
        <v>2.4038953508871659</v>
      </c>
      <c r="AL127">
        <v>6.4692610266956496E-3</v>
      </c>
      <c r="AM127">
        <v>0.699980569197171</v>
      </c>
      <c r="AN127">
        <v>6.2354523714629462E-2</v>
      </c>
      <c r="AO127">
        <v>0.20829545454546006</v>
      </c>
      <c r="AP127">
        <v>-0.42418831651935907</v>
      </c>
      <c r="AQ127">
        <v>1.317527010804298E-2</v>
      </c>
      <c r="AR127">
        <v>0</v>
      </c>
      <c r="AS127">
        <v>0.16968298426612227</v>
      </c>
      <c r="AT127">
        <v>0.3939999999999948</v>
      </c>
      <c r="AU127">
        <v>0</v>
      </c>
      <c r="AV127">
        <v>0.24763665170319515</v>
      </c>
      <c r="AW127">
        <v>0</v>
      </c>
      <c r="AX127">
        <v>2.8191751257370066</v>
      </c>
      <c r="AY127">
        <v>0</v>
      </c>
      <c r="AZ127">
        <v>1.1909176016997685</v>
      </c>
      <c r="BA127">
        <v>1.3793750000000107</v>
      </c>
      <c r="BB127">
        <v>0.3147653543932083</v>
      </c>
      <c r="BC127">
        <v>0</v>
      </c>
      <c r="BD127">
        <v>0.35806511976047584</v>
      </c>
      <c r="BE127">
        <v>1.840055648651024</v>
      </c>
      <c r="BF127">
        <v>2.5969163120567318</v>
      </c>
      <c r="BG127">
        <v>1.9805694070080877</v>
      </c>
    </row>
    <row r="128" spans="1:59" x14ac:dyDescent="0.25">
      <c r="A128" s="3">
        <v>42947</v>
      </c>
      <c r="B128">
        <v>12.601386481802383</v>
      </c>
      <c r="C128">
        <v>0.20200000000000018</v>
      </c>
      <c r="D128">
        <v>0.14182938121502331</v>
      </c>
      <c r="E128">
        <v>0.71990980009751904</v>
      </c>
      <c r="F128">
        <v>0.48587340529931322</v>
      </c>
      <c r="G128">
        <v>1.7604800981369775</v>
      </c>
      <c r="H128">
        <v>0.10069999999999779</v>
      </c>
      <c r="I128">
        <v>0.25620000000000021</v>
      </c>
      <c r="J128">
        <v>0.3864061471853828</v>
      </c>
      <c r="K128">
        <v>2.6481715006305184</v>
      </c>
      <c r="L128">
        <v>1.026798631748207</v>
      </c>
      <c r="M128">
        <v>0.12691588785046992</v>
      </c>
      <c r="N128">
        <v>0.22162629757785646</v>
      </c>
      <c r="O128">
        <v>0.554686733388428</v>
      </c>
      <c r="P128">
        <v>0.28813677867541831</v>
      </c>
      <c r="Q128">
        <v>0.37200000000000011</v>
      </c>
      <c r="R128">
        <v>0.6934829779274081</v>
      </c>
      <c r="S128">
        <v>4.0095382385870515E-2</v>
      </c>
      <c r="T128">
        <v>0</v>
      </c>
      <c r="U128">
        <v>0.47440702464852569</v>
      </c>
      <c r="V128">
        <v>-0.31894769579773408</v>
      </c>
      <c r="W128">
        <v>0.85557947791921829</v>
      </c>
      <c r="X128">
        <v>0.89532710280374372</v>
      </c>
      <c r="Y128">
        <v>0.24221463678315014</v>
      </c>
      <c r="Z128">
        <v>0.41120000000000423</v>
      </c>
      <c r="AA128">
        <v>0.34787395118592856</v>
      </c>
      <c r="AB128">
        <v>1.7731826902579337</v>
      </c>
      <c r="AC128">
        <v>-0.1124567474048449</v>
      </c>
      <c r="AD128">
        <v>0.32572251362747995</v>
      </c>
      <c r="AE128">
        <v>1.4723675947247123</v>
      </c>
      <c r="AF128">
        <v>0.11743579494354095</v>
      </c>
      <c r="AG128">
        <v>-9.0301459963127884E-2</v>
      </c>
      <c r="AH128">
        <v>2.1845325501713315</v>
      </c>
      <c r="AI128">
        <v>3.1867283950617455</v>
      </c>
      <c r="AJ128">
        <v>-0.15076439705122158</v>
      </c>
      <c r="AK128">
        <v>2.3599703039729278</v>
      </c>
      <c r="AL128">
        <v>9.6439909749810315E-3</v>
      </c>
      <c r="AM128">
        <v>0.71070198476249646</v>
      </c>
      <c r="AN128">
        <v>6.6928058987646866E-2</v>
      </c>
      <c r="AO128">
        <v>0.17340909090909684</v>
      </c>
      <c r="AP128">
        <v>-0.44876945510817567</v>
      </c>
      <c r="AQ128">
        <v>1.571628651460566E-2</v>
      </c>
      <c r="AR128">
        <v>0</v>
      </c>
      <c r="AS128">
        <v>0.18722822903011394</v>
      </c>
      <c r="AT128">
        <v>0.40199999999999525</v>
      </c>
      <c r="AU128">
        <v>0</v>
      </c>
      <c r="AV128">
        <v>0.24578067826021344</v>
      </c>
      <c r="AW128">
        <v>0</v>
      </c>
      <c r="AX128">
        <v>3.0487283582505498</v>
      </c>
      <c r="AY128">
        <v>0</v>
      </c>
      <c r="AZ128">
        <v>1.2594670216767581</v>
      </c>
      <c r="BA128">
        <v>1.2440000000000109</v>
      </c>
      <c r="BB128">
        <v>0.31968732018059409</v>
      </c>
      <c r="BC128">
        <v>0</v>
      </c>
      <c r="BD128">
        <v>0.36695359281436768</v>
      </c>
      <c r="BE128">
        <v>1.864069560778427</v>
      </c>
      <c r="BF128">
        <v>2.717452482269497</v>
      </c>
      <c r="BG128">
        <v>2.1254818059299199</v>
      </c>
    </row>
    <row r="129" spans="1:59" x14ac:dyDescent="0.25">
      <c r="A129" s="3">
        <v>42978</v>
      </c>
      <c r="B129">
        <v>13.103490963109632</v>
      </c>
      <c r="C129">
        <v>0.20020000000000038</v>
      </c>
      <c r="D129">
        <v>0.24360884093562407</v>
      </c>
      <c r="E129">
        <v>0.65896879570941569</v>
      </c>
      <c r="F129">
        <v>0.7125613346418056</v>
      </c>
      <c r="G129">
        <v>1.7742824986276622</v>
      </c>
      <c r="H129">
        <v>0.10759999999999792</v>
      </c>
      <c r="I129">
        <v>0.25849999999999995</v>
      </c>
      <c r="J129">
        <v>0.3946975202395353</v>
      </c>
      <c r="K129">
        <v>2.7591424968474163</v>
      </c>
      <c r="L129">
        <v>1.0186914372212139</v>
      </c>
      <c r="M129">
        <v>0.12037383177570349</v>
      </c>
      <c r="N129">
        <v>0.22941176470588398</v>
      </c>
      <c r="O129">
        <v>0.56152735501533702</v>
      </c>
      <c r="P129">
        <v>0.28824415419123928</v>
      </c>
      <c r="Q129">
        <v>0.40500000000000025</v>
      </c>
      <c r="R129">
        <v>0.58536475869807836</v>
      </c>
      <c r="S129">
        <v>4.5888628789978902E-2</v>
      </c>
      <c r="T129">
        <v>0</v>
      </c>
      <c r="U129">
        <v>0.50197843600945302</v>
      </c>
      <c r="V129">
        <v>-0.26603977241543242</v>
      </c>
      <c r="W129">
        <v>0.91217295538203635</v>
      </c>
      <c r="X129">
        <v>0.89871311836375822</v>
      </c>
      <c r="Y129">
        <v>0.25750007507582562</v>
      </c>
      <c r="Z129">
        <v>0.42180000000000439</v>
      </c>
      <c r="AA129">
        <v>0.35640566991727396</v>
      </c>
      <c r="AB129">
        <v>1.8675655510552032</v>
      </c>
      <c r="AC129">
        <v>-8.3910034602077577E-2</v>
      </c>
      <c r="AD129">
        <v>0.37303301450169601</v>
      </c>
      <c r="AE129">
        <v>1.4699602260833049</v>
      </c>
      <c r="AF129">
        <v>0.12427101029279641</v>
      </c>
      <c r="AG129">
        <v>-7.3113757536499846E-2</v>
      </c>
      <c r="AH129">
        <v>2.2352422907489147</v>
      </c>
      <c r="AI129">
        <v>3.3738425925926112</v>
      </c>
      <c r="AJ129">
        <v>-0.11812110660754505</v>
      </c>
      <c r="AK129">
        <v>2.3904106905697571</v>
      </c>
      <c r="AL129">
        <v>1.6552522812130599E-2</v>
      </c>
      <c r="AM129">
        <v>0.72127610230631833</v>
      </c>
      <c r="AN129">
        <v>6.9293543244322908E-2</v>
      </c>
      <c r="AO129">
        <v>0.21250000000000546</v>
      </c>
      <c r="AP129">
        <v>-0.4268071303157468</v>
      </c>
      <c r="AQ129">
        <v>1.9767907162864917E-2</v>
      </c>
      <c r="AR129">
        <v>0</v>
      </c>
      <c r="AS129">
        <v>0.19553882663332467</v>
      </c>
      <c r="AT129">
        <v>0.41299999999999515</v>
      </c>
      <c r="AU129">
        <v>0</v>
      </c>
      <c r="AV129">
        <v>0.24603719491493448</v>
      </c>
      <c r="AW129">
        <v>0</v>
      </c>
      <c r="AX129">
        <v>3.0264442432813992</v>
      </c>
      <c r="AY129">
        <v>0</v>
      </c>
      <c r="AZ129">
        <v>1.2517418927415269</v>
      </c>
      <c r="BA129">
        <v>1.4221875000000117</v>
      </c>
      <c r="BB129">
        <v>0.32282708646176639</v>
      </c>
      <c r="BC129">
        <v>0</v>
      </c>
      <c r="BD129">
        <v>0.37612275449101462</v>
      </c>
      <c r="BE129">
        <v>1.9039251097017007</v>
      </c>
      <c r="BF129">
        <v>2.8717758865248149</v>
      </c>
      <c r="BG129">
        <v>2.2252459568733176</v>
      </c>
    </row>
    <row r="130" spans="1:59" x14ac:dyDescent="0.25">
      <c r="A130" s="3">
        <v>43008</v>
      </c>
      <c r="B130">
        <v>12.893538004456504</v>
      </c>
      <c r="C130">
        <v>0.20430000000000104</v>
      </c>
      <c r="D130">
        <v>0.25528402914770942</v>
      </c>
      <c r="E130">
        <v>0.65258166747928414</v>
      </c>
      <c r="F130">
        <v>0.71990186457311167</v>
      </c>
      <c r="G130">
        <v>1.8020253236139387</v>
      </c>
      <c r="H130">
        <v>0.11099999999999799</v>
      </c>
      <c r="I130">
        <v>0.26049999999999995</v>
      </c>
      <c r="J130">
        <v>0.39646897086238075</v>
      </c>
      <c r="K130">
        <v>2.7692307692307727</v>
      </c>
      <c r="L130">
        <v>1.1014577861472836</v>
      </c>
      <c r="M130">
        <v>8.1028037383180429E-2</v>
      </c>
      <c r="N130">
        <v>0.26868512110726916</v>
      </c>
      <c r="O130">
        <v>0.57167728282293662</v>
      </c>
      <c r="P130">
        <v>0.29572497682560428</v>
      </c>
      <c r="Q130">
        <v>0.4440000000000015</v>
      </c>
      <c r="R130">
        <v>0.65069584736249952</v>
      </c>
      <c r="S130">
        <v>4.3250653535003014E-2</v>
      </c>
      <c r="T130">
        <v>0</v>
      </c>
      <c r="U130">
        <v>0.55439748342618289</v>
      </c>
      <c r="V130">
        <v>-0.30242769067525244</v>
      </c>
      <c r="W130">
        <v>0.92651975910069639</v>
      </c>
      <c r="X130">
        <v>0.91302050203063678</v>
      </c>
      <c r="Y130">
        <v>0.26600866875544193</v>
      </c>
      <c r="Z130">
        <v>0.44870000000000432</v>
      </c>
      <c r="AA130">
        <v>0.36466217191535022</v>
      </c>
      <c r="AB130">
        <v>1.8527499467064503</v>
      </c>
      <c r="AC130">
        <v>-0.1773356401384093</v>
      </c>
      <c r="AD130">
        <v>0.42702869484726835</v>
      </c>
      <c r="AE130">
        <v>1.5227129997906528</v>
      </c>
      <c r="AF130">
        <v>0.12204157090037082</v>
      </c>
      <c r="AG130">
        <v>-7.8381583536798916E-2</v>
      </c>
      <c r="AH130">
        <v>2.233627019089591</v>
      </c>
      <c r="AI130">
        <v>3.3785493827160664</v>
      </c>
      <c r="AJ130">
        <v>-0.14064837735643632</v>
      </c>
      <c r="AK130">
        <v>2.4163810023780408</v>
      </c>
      <c r="AL130">
        <v>1.4695605295209191E-2</v>
      </c>
      <c r="AM130">
        <v>0.72176265587735489</v>
      </c>
      <c r="AN130">
        <v>6.8348943802313933E-2</v>
      </c>
      <c r="AO130">
        <v>0.16340909090909594</v>
      </c>
      <c r="AP130">
        <v>-0.45900663631223515</v>
      </c>
      <c r="AQ130">
        <v>2.481992797118826E-2</v>
      </c>
      <c r="AR130">
        <v>0</v>
      </c>
      <c r="AS130">
        <v>0.21347190903282431</v>
      </c>
      <c r="AT130">
        <v>0.41799999999999482</v>
      </c>
      <c r="AU130">
        <v>0</v>
      </c>
      <c r="AV130">
        <v>0.24616545324229522</v>
      </c>
      <c r="AW130">
        <v>0</v>
      </c>
      <c r="AX130">
        <v>3.0624210072074982</v>
      </c>
      <c r="AY130">
        <v>0</v>
      </c>
      <c r="AZ130">
        <v>1.3021772172841808</v>
      </c>
      <c r="BA130">
        <v>1.3570625000000107</v>
      </c>
      <c r="BB130">
        <v>0.35259999993937652</v>
      </c>
      <c r="BC130">
        <v>0</v>
      </c>
      <c r="BD130">
        <v>0.38650823353293107</v>
      </c>
      <c r="BE130">
        <v>1.8894602496368904</v>
      </c>
      <c r="BF130">
        <v>2.8402808510638233</v>
      </c>
      <c r="BG130">
        <v>2.3978335579514849</v>
      </c>
    </row>
    <row r="131" spans="1:59" x14ac:dyDescent="0.25">
      <c r="A131" s="3">
        <v>43039</v>
      </c>
      <c r="B131">
        <v>10.850458034166836</v>
      </c>
      <c r="C131">
        <v>0.2290000000000012</v>
      </c>
      <c r="D131">
        <v>0.22267402069326336</v>
      </c>
      <c r="E131">
        <v>0.67262067284252103</v>
      </c>
      <c r="F131">
        <v>0.78120706575073662</v>
      </c>
      <c r="G131">
        <v>1.8272435515264638</v>
      </c>
      <c r="H131">
        <v>0.11659999999999804</v>
      </c>
      <c r="I131">
        <v>0.26529999999999987</v>
      </c>
      <c r="J131">
        <v>0.40672862238636109</v>
      </c>
      <c r="K131">
        <v>3.138713745271124</v>
      </c>
      <c r="L131">
        <v>1.1581971463732601</v>
      </c>
      <c r="M131">
        <v>6.9065420560750379E-2</v>
      </c>
      <c r="N131">
        <v>0.23148788927335895</v>
      </c>
      <c r="O131">
        <v>0.57827832741079299</v>
      </c>
      <c r="P131">
        <v>0.33612279818623825</v>
      </c>
      <c r="Q131">
        <v>0.49500000000000077</v>
      </c>
      <c r="R131">
        <v>0.74290310512531255</v>
      </c>
      <c r="S131">
        <v>4.3668561820325191E-2</v>
      </c>
      <c r="T131">
        <v>0</v>
      </c>
      <c r="U131">
        <v>0.57413833146569537</v>
      </c>
      <c r="V131">
        <v>-0.29774427837031814</v>
      </c>
      <c r="W131">
        <v>0.97795394338667996</v>
      </c>
      <c r="X131">
        <v>0.99891373489260205</v>
      </c>
      <c r="Y131">
        <v>0.26682949779276965</v>
      </c>
      <c r="Z131">
        <v>0.50580000000000469</v>
      </c>
      <c r="AA131">
        <v>0.37154259024708036</v>
      </c>
      <c r="AB131">
        <v>1.7510658708164497</v>
      </c>
      <c r="AC131">
        <v>-0.11937716262975884</v>
      </c>
      <c r="AD131">
        <v>0.52833487606705654</v>
      </c>
      <c r="AE131">
        <v>1.5862465982834308</v>
      </c>
      <c r="AF131">
        <v>0.12147396822224499</v>
      </c>
      <c r="AG131">
        <v>-0.10554885644526457</v>
      </c>
      <c r="AH131">
        <v>2.3847283406754967</v>
      </c>
      <c r="AI131">
        <v>3.1238040123456958</v>
      </c>
      <c r="AJ131">
        <v>-0.15076439705122169</v>
      </c>
      <c r="AK131">
        <v>2.5286715533216171</v>
      </c>
      <c r="AL131">
        <v>1.3038356328493927E-2</v>
      </c>
      <c r="AM131">
        <v>0.72679664411231704</v>
      </c>
      <c r="AN131">
        <v>7.0355719410126305E-2</v>
      </c>
      <c r="AO131">
        <v>0.14829545454545934</v>
      </c>
      <c r="AP131">
        <v>-0.41841502246823337</v>
      </c>
      <c r="AQ131">
        <v>2.7711084433773348E-2</v>
      </c>
      <c r="AR131">
        <v>0</v>
      </c>
      <c r="AS131">
        <v>0.22075274048702132</v>
      </c>
      <c r="AT131">
        <v>0.42499999999999494</v>
      </c>
      <c r="AU131">
        <v>0</v>
      </c>
      <c r="AV131">
        <v>0.24578822286770552</v>
      </c>
      <c r="AW131">
        <v>0</v>
      </c>
      <c r="AX131">
        <v>3.3496981519905278</v>
      </c>
      <c r="AY131">
        <v>-5.7885936293322615E-4</v>
      </c>
      <c r="AZ131">
        <v>1.3741896260942021</v>
      </c>
      <c r="BA131">
        <v>1.3913125000000104</v>
      </c>
      <c r="BB131">
        <v>0.35660325082541933</v>
      </c>
      <c r="BC131">
        <v>0</v>
      </c>
      <c r="BD131">
        <v>0.3942739520958054</v>
      </c>
      <c r="BE131">
        <v>1.8892081757225112</v>
      </c>
      <c r="BF131">
        <v>2.6223999999999936</v>
      </c>
      <c r="BG131">
        <v>2.6996765498652295</v>
      </c>
    </row>
    <row r="132" spans="1:59" x14ac:dyDescent="0.25">
      <c r="A132" s="3">
        <v>43069</v>
      </c>
      <c r="B132">
        <v>9.8749690517454489</v>
      </c>
      <c r="C132">
        <v>0.23430000000000173</v>
      </c>
      <c r="D132">
        <v>0.27501107129916602</v>
      </c>
      <c r="E132">
        <v>0.67750365675280944</v>
      </c>
      <c r="F132">
        <v>0.86598135426889211</v>
      </c>
      <c r="G132">
        <v>1.8470342563871487</v>
      </c>
      <c r="H132">
        <v>0.11309999999999798</v>
      </c>
      <c r="I132">
        <v>0.26730000000000054</v>
      </c>
      <c r="J132">
        <v>0.40717148504207201</v>
      </c>
      <c r="K132">
        <v>3.1614123581336733</v>
      </c>
      <c r="L132">
        <v>1.166829934958753</v>
      </c>
      <c r="M132">
        <v>8.9719626168254241E-3</v>
      </c>
      <c r="N132">
        <v>0.14498269896194005</v>
      </c>
      <c r="O132">
        <v>0.5849070963859182</v>
      </c>
      <c r="P132">
        <v>0.33200608001544407</v>
      </c>
      <c r="Q132">
        <v>0.55099999999999971</v>
      </c>
      <c r="R132">
        <v>0.88903853348296269</v>
      </c>
      <c r="S132">
        <v>3.8669687770934269E-2</v>
      </c>
      <c r="T132">
        <v>0</v>
      </c>
      <c r="U132">
        <v>0.58830557644888648</v>
      </c>
      <c r="V132">
        <v>-0.22987138910740701</v>
      </c>
      <c r="W132">
        <v>1.0501542827094239</v>
      </c>
      <c r="X132">
        <v>1.036316484806973</v>
      </c>
      <c r="Y132">
        <v>0.27201473488223016</v>
      </c>
      <c r="Z132">
        <v>0.52710000000000523</v>
      </c>
      <c r="AA132">
        <v>0.37608366634602208</v>
      </c>
      <c r="AB132">
        <v>1.7990833510978379</v>
      </c>
      <c r="AC132">
        <v>-2.4221453287198824E-2</v>
      </c>
      <c r="AD132">
        <v>0.57153142034351423</v>
      </c>
      <c r="AE132">
        <v>1.6589909985346352</v>
      </c>
      <c r="AF132">
        <v>0.1279434395922856</v>
      </c>
      <c r="AG132">
        <v>-9.376650555583288E-2</v>
      </c>
      <c r="AH132">
        <v>2.447185511502711</v>
      </c>
      <c r="AI132">
        <v>3.1445216049382871</v>
      </c>
      <c r="AJ132">
        <v>-0.14523884007507892</v>
      </c>
      <c r="AK132">
        <v>2.6350307342127355</v>
      </c>
      <c r="AL132">
        <v>1.2020046722440059E-2</v>
      </c>
      <c r="AM132">
        <v>0.72546391041773828</v>
      </c>
      <c r="AN132">
        <v>6.7503985651656606E-2</v>
      </c>
      <c r="AO132">
        <v>4.136363636364071E-2</v>
      </c>
      <c r="AP132">
        <v>-0.44228193911258062</v>
      </c>
      <c r="AQ132">
        <v>3.0482192877150593E-2</v>
      </c>
      <c r="AR132">
        <v>0</v>
      </c>
      <c r="AS132">
        <v>0.22136311685726473</v>
      </c>
      <c r="AT132">
        <v>0.42699999999999472</v>
      </c>
      <c r="AU132">
        <v>0</v>
      </c>
      <c r="AV132">
        <v>0.24548643856803354</v>
      </c>
      <c r="AW132">
        <v>0</v>
      </c>
      <c r="AX132">
        <v>3.5298504549339045</v>
      </c>
      <c r="AY132">
        <v>-2.1006984096104686E-3</v>
      </c>
      <c r="AZ132">
        <v>1.3949675590924095</v>
      </c>
      <c r="BA132">
        <v>1.1035625000000091</v>
      </c>
      <c r="BB132">
        <v>0.36853168563397798</v>
      </c>
      <c r="BC132">
        <v>0</v>
      </c>
      <c r="BD132">
        <v>0.39071856287424822</v>
      </c>
      <c r="BE132">
        <v>1.8808349314320827</v>
      </c>
      <c r="BF132">
        <v>2.6017843971631156</v>
      </c>
      <c r="BG132">
        <v>2.6501583557951478</v>
      </c>
    </row>
    <row r="133" spans="1:59" x14ac:dyDescent="0.25">
      <c r="A133" s="3">
        <v>43100</v>
      </c>
      <c r="B133">
        <v>10.843525625154703</v>
      </c>
      <c r="C133">
        <v>0.24090000000000167</v>
      </c>
      <c r="D133">
        <v>0.34377792986835098</v>
      </c>
      <c r="E133">
        <v>0.68803022915651479</v>
      </c>
      <c r="F133">
        <v>0.88411187438665362</v>
      </c>
      <c r="G133">
        <v>1.8584223934126971</v>
      </c>
      <c r="H133">
        <v>0.11519999999999775</v>
      </c>
      <c r="I133">
        <v>0.27190000000000092</v>
      </c>
      <c r="J133">
        <v>0.41305171697068399</v>
      </c>
      <c r="K133">
        <v>2.3493064312736487</v>
      </c>
      <c r="L133">
        <v>1.1884982343083403</v>
      </c>
      <c r="M133">
        <v>-1.0654205607473544E-2</v>
      </c>
      <c r="N133">
        <v>0.13512110726643867</v>
      </c>
      <c r="O133">
        <v>0.59029578051363041</v>
      </c>
      <c r="P133">
        <v>0.3382446959943004</v>
      </c>
      <c r="Q133">
        <v>0.55699999999999994</v>
      </c>
      <c r="R133">
        <v>0.81181069958846219</v>
      </c>
      <c r="S133">
        <v>4.3570852075584643E-2</v>
      </c>
      <c r="T133">
        <v>0</v>
      </c>
      <c r="U133">
        <v>0.6153067712485174</v>
      </c>
      <c r="V133">
        <v>-0.25083697700371355</v>
      </c>
      <c r="W133">
        <v>1.0915675321711711</v>
      </c>
      <c r="X133">
        <v>1.0771541811420517</v>
      </c>
      <c r="Y133">
        <v>0.28433718055235691</v>
      </c>
      <c r="Z133">
        <v>0.5377000000000054</v>
      </c>
      <c r="AA133">
        <v>0.38323930141102114</v>
      </c>
      <c r="AB133">
        <v>1.8917608185887786</v>
      </c>
      <c r="AC133">
        <v>-4.4982698961939849E-2</v>
      </c>
      <c r="AD133">
        <v>0.57077033837292945</v>
      </c>
      <c r="AE133">
        <v>1.7161921708184931</v>
      </c>
      <c r="AF133">
        <v>0.13827220945338281</v>
      </c>
      <c r="AG133">
        <v>-7.4084408789675815E-2</v>
      </c>
      <c r="AH133">
        <v>2.5066568771414772</v>
      </c>
      <c r="AI133">
        <v>3.2091820987654494</v>
      </c>
      <c r="AJ133">
        <v>-0.13265757188324501</v>
      </c>
      <c r="AK133">
        <v>2.5543891746620164</v>
      </c>
      <c r="AL133">
        <v>1.493520755545652E-2</v>
      </c>
      <c r="AM133">
        <v>0.74196912382750058</v>
      </c>
      <c r="AN133">
        <v>6.7873654842569131E-2</v>
      </c>
      <c r="AO133">
        <v>2.0000000000004903E-2</v>
      </c>
      <c r="AP133">
        <v>-0.48135583132458526</v>
      </c>
      <c r="AQ133">
        <v>3.156262505001961E-2</v>
      </c>
      <c r="AR133">
        <v>0</v>
      </c>
      <c r="AS133">
        <v>0.22539361514289391</v>
      </c>
      <c r="AT133">
        <v>0.42899999999999472</v>
      </c>
      <c r="AU133">
        <v>0</v>
      </c>
      <c r="AV133">
        <v>0.24505639594100126</v>
      </c>
      <c r="AW133">
        <v>0</v>
      </c>
      <c r="AX133">
        <v>3.7999446676925288</v>
      </c>
      <c r="AY133">
        <v>6.7030882628058563E-3</v>
      </c>
      <c r="AZ133">
        <v>1.4176101783853272</v>
      </c>
      <c r="BA133">
        <v>1.3159375000000102</v>
      </c>
      <c r="BB133">
        <v>0.38492081738042216</v>
      </c>
      <c r="BC133">
        <v>0</v>
      </c>
      <c r="BD133">
        <v>0.39876497005987743</v>
      </c>
      <c r="BE133">
        <v>1.8978068353806288</v>
      </c>
      <c r="BF133">
        <v>2.5868028368794262</v>
      </c>
      <c r="BG133">
        <v>2.6112432614555257</v>
      </c>
    </row>
    <row r="134" spans="1:59" x14ac:dyDescent="0.25">
      <c r="A134" s="3">
        <v>43131</v>
      </c>
      <c r="B134">
        <v>10.816786333250775</v>
      </c>
      <c r="C134">
        <v>0.26300000000000212</v>
      </c>
      <c r="D134">
        <v>0.46303393856435249</v>
      </c>
      <c r="E134">
        <v>0.76330814236958289</v>
      </c>
      <c r="F134">
        <v>1.0954906771344453</v>
      </c>
      <c r="G134">
        <v>1.8870066173468243</v>
      </c>
      <c r="H134">
        <v>0.11479999999999779</v>
      </c>
      <c r="I134">
        <v>0.275200000000001</v>
      </c>
      <c r="J134">
        <v>0.4125719490936639</v>
      </c>
      <c r="K134">
        <v>2.8953341740227065</v>
      </c>
      <c r="L134">
        <v>1.2169487113543487</v>
      </c>
      <c r="M134">
        <v>3.8411214953274264E-2</v>
      </c>
      <c r="N134">
        <v>0.1804498269896222</v>
      </c>
      <c r="O134">
        <v>0.59729308194789033</v>
      </c>
      <c r="P134">
        <v>0.35798898465120943</v>
      </c>
      <c r="Q134">
        <v>0.70300000000000007</v>
      </c>
      <c r="R134">
        <v>0.86763187429852606</v>
      </c>
      <c r="S134">
        <v>-1.0555425144030406E-2</v>
      </c>
      <c r="T134">
        <v>0</v>
      </c>
      <c r="U134">
        <v>0.67232710027358999</v>
      </c>
      <c r="V134">
        <v>-0.23603666233694964</v>
      </c>
      <c r="W134">
        <v>1.1871434382720349</v>
      </c>
      <c r="X134">
        <v>1.2184175759651672</v>
      </c>
      <c r="Y134">
        <v>0.28614901050060459</v>
      </c>
      <c r="Z134">
        <v>0.63440000000000607</v>
      </c>
      <c r="AA134">
        <v>0.38984450300948215</v>
      </c>
      <c r="AB134">
        <v>1.6474632274568237</v>
      </c>
      <c r="AC134">
        <v>0.18855148550292089</v>
      </c>
      <c r="AD134">
        <v>0.71963385786279832</v>
      </c>
      <c r="AE134">
        <v>1.8508478124345706</v>
      </c>
      <c r="AF134">
        <v>0.14349255521135151</v>
      </c>
      <c r="AG134">
        <v>-3.4503961333400168E-2</v>
      </c>
      <c r="AH134">
        <v>2.7710719530102974</v>
      </c>
      <c r="AI134">
        <v>3.4973765432098931</v>
      </c>
      <c r="AJ134">
        <v>-0.10290457278093512</v>
      </c>
      <c r="AK134">
        <v>2.9171821682801142</v>
      </c>
      <c r="AL134">
        <v>2.1963540522718095E-3</v>
      </c>
      <c r="AM134">
        <v>0.71868506742802762</v>
      </c>
      <c r="AN134">
        <v>6.3363889996017164E-2</v>
      </c>
      <c r="AO134">
        <v>1.8750000000004707E-2</v>
      </c>
      <c r="AP134">
        <v>-0.49132517929946862</v>
      </c>
      <c r="AQ134">
        <v>3.6814725890355726E-2</v>
      </c>
      <c r="AR134">
        <v>0</v>
      </c>
      <c r="AS134">
        <v>0.23372629172586556</v>
      </c>
      <c r="AT134">
        <v>0.42699999999999516</v>
      </c>
      <c r="AU134">
        <v>0</v>
      </c>
      <c r="AV134">
        <v>0.24846655852729271</v>
      </c>
      <c r="AW134">
        <v>0</v>
      </c>
      <c r="AX134">
        <v>3.930427557752858</v>
      </c>
      <c r="AY134">
        <v>-1.60252847857838E-2</v>
      </c>
      <c r="AZ134">
        <v>1.5753981567520485</v>
      </c>
      <c r="BA134">
        <v>1.3673750000000116</v>
      </c>
      <c r="BB134">
        <v>0.41807003595572101</v>
      </c>
      <c r="BC134">
        <v>0</v>
      </c>
      <c r="BD134">
        <v>0.40690494011975753</v>
      </c>
      <c r="BE134">
        <v>1.8362465154728409</v>
      </c>
      <c r="BF134">
        <v>2.7353418439716237</v>
      </c>
      <c r="BG134">
        <v>2.9324561994609182</v>
      </c>
    </row>
    <row r="135" spans="1:59" x14ac:dyDescent="0.25">
      <c r="A135" s="3">
        <v>43159</v>
      </c>
      <c r="B135">
        <v>10.631591978212398</v>
      </c>
      <c r="C135">
        <v>0.25780000000000225</v>
      </c>
      <c r="D135">
        <v>0.41016949152542237</v>
      </c>
      <c r="E135">
        <v>0.69602389078498939</v>
      </c>
      <c r="F135">
        <v>1.0787242394504424</v>
      </c>
      <c r="G135">
        <v>1.9101026702855988</v>
      </c>
      <c r="H135">
        <v>0.11079999999999779</v>
      </c>
      <c r="I135">
        <v>0.27110000000000123</v>
      </c>
      <c r="J135">
        <v>0.3942546575838235</v>
      </c>
      <c r="K135">
        <v>2.8751576292559973</v>
      </c>
      <c r="L135">
        <v>1.1726097371272615</v>
      </c>
      <c r="M135">
        <v>-8.2710280373828993E-2</v>
      </c>
      <c r="N135">
        <v>0.1174740484429091</v>
      </c>
      <c r="O135">
        <v>0.60224469050192897</v>
      </c>
      <c r="P135">
        <v>0.34838429401583237</v>
      </c>
      <c r="Q135">
        <v>0.63900000000000001</v>
      </c>
      <c r="R135">
        <v>0.93006359895247193</v>
      </c>
      <c r="S135">
        <v>-1.2270143323378058E-2</v>
      </c>
      <c r="T135">
        <v>0</v>
      </c>
      <c r="U135">
        <v>0.68587294978580604</v>
      </c>
      <c r="V135">
        <v>-0.32811328003512574</v>
      </c>
      <c r="W135">
        <v>1.1471192292809747</v>
      </c>
      <c r="X135">
        <v>1.123139404022123</v>
      </c>
      <c r="Y135">
        <v>0.29536832200522434</v>
      </c>
      <c r="Z135">
        <v>0.5997000000000059</v>
      </c>
      <c r="AA135">
        <v>0.39700013807448142</v>
      </c>
      <c r="AB135">
        <v>1.4467064591771397</v>
      </c>
      <c r="AC135">
        <v>0.71244481565445361</v>
      </c>
      <c r="AD135">
        <v>0.64969659570091443</v>
      </c>
      <c r="AE135">
        <v>1.7693112832321436</v>
      </c>
      <c r="AF135">
        <v>0.12192765064454836</v>
      </c>
      <c r="AG135">
        <v>-4.3308585380438247E-2</v>
      </c>
      <c r="AH135">
        <v>2.7632403328438757</v>
      </c>
      <c r="AI135">
        <v>3.2608410493827318</v>
      </c>
      <c r="AJ135">
        <v>-0.11850194499605426</v>
      </c>
      <c r="AK135">
        <v>2.763542446122099</v>
      </c>
      <c r="AL135">
        <v>-6.4492941716765007E-3</v>
      </c>
      <c r="AM135">
        <v>0.68122200945842071</v>
      </c>
      <c r="AN135">
        <v>5.9385213232366008E-2</v>
      </c>
      <c r="AO135">
        <v>-2.7727272727268049E-2</v>
      </c>
      <c r="AP135">
        <v>-0.50956759813112029</v>
      </c>
      <c r="AQ135">
        <v>3.9435774309723337E-2</v>
      </c>
      <c r="AR135">
        <v>0</v>
      </c>
      <c r="AS135">
        <v>0.25198544084340835</v>
      </c>
      <c r="AT135">
        <v>0.41899999999999538</v>
      </c>
      <c r="AU135">
        <v>0</v>
      </c>
      <c r="AV135">
        <v>0.24711607378626144</v>
      </c>
      <c r="AW135">
        <v>0</v>
      </c>
      <c r="AX135">
        <v>3.7500067714965999</v>
      </c>
      <c r="AY135">
        <v>-2.086665979221547E-2</v>
      </c>
      <c r="AZ135">
        <v>1.5545314291683798</v>
      </c>
      <c r="BA135">
        <v>1.3673750000000107</v>
      </c>
      <c r="BB135">
        <v>0.43625570258985369</v>
      </c>
      <c r="BC135">
        <v>0</v>
      </c>
      <c r="BD135">
        <v>0.40288173652694304</v>
      </c>
      <c r="BE135">
        <v>1.8023708467675257</v>
      </c>
      <c r="BF135">
        <v>2.4831716312056673</v>
      </c>
      <c r="BG135">
        <v>2.9335613207547193</v>
      </c>
    </row>
    <row r="136" spans="1:59" x14ac:dyDescent="0.25">
      <c r="A136" s="3">
        <v>43190</v>
      </c>
      <c r="B136">
        <v>10.038375835602839</v>
      </c>
      <c r="C136">
        <v>0.24580000000000224</v>
      </c>
      <c r="D136">
        <v>0.40278996738998973</v>
      </c>
      <c r="E136">
        <v>0.7264943929790415</v>
      </c>
      <c r="F136">
        <v>0.98523061825319069</v>
      </c>
      <c r="G136">
        <v>1.9304733889775978</v>
      </c>
      <c r="H136">
        <v>0.10609999999999742</v>
      </c>
      <c r="I136">
        <v>0.27130000000000076</v>
      </c>
      <c r="J136">
        <v>0.39579237513837651</v>
      </c>
      <c r="K136">
        <v>2.7591424968474203</v>
      </c>
      <c r="L136">
        <v>1.1595740787044977</v>
      </c>
      <c r="M136">
        <v>-0.14168224299065157</v>
      </c>
      <c r="N136">
        <v>6.8512110726645981E-2</v>
      </c>
      <c r="O136">
        <v>0.61185815864494053</v>
      </c>
      <c r="P136">
        <v>0.33332512419603644</v>
      </c>
      <c r="Q136">
        <v>0.62200000000000077</v>
      </c>
      <c r="R136">
        <v>0.88095772540215433</v>
      </c>
      <c r="S136">
        <v>-1.4111998143614302E-2</v>
      </c>
      <c r="T136">
        <v>0</v>
      </c>
      <c r="U136">
        <v>0.6717116170076054</v>
      </c>
      <c r="V136">
        <v>-0.32809498545580962</v>
      </c>
      <c r="W136">
        <v>1.239232455922771</v>
      </c>
      <c r="X136">
        <v>1.0600381660713478</v>
      </c>
      <c r="Y136">
        <v>0.30007307380454162</v>
      </c>
      <c r="Z136">
        <v>0.57840000000000669</v>
      </c>
      <c r="AA136">
        <v>0.4056694651724615</v>
      </c>
      <c r="AB136">
        <v>1.2664144105734323</v>
      </c>
      <c r="AC136">
        <v>0.90013124925426191</v>
      </c>
      <c r="AD136">
        <v>0.63221228016044351</v>
      </c>
      <c r="AE136">
        <v>1.6584676575256339</v>
      </c>
      <c r="AF136">
        <v>0.12632057559708154</v>
      </c>
      <c r="AG136">
        <v>-3.507200159450008E-2</v>
      </c>
      <c r="AH136">
        <v>2.5542829172785293</v>
      </c>
      <c r="AI136">
        <v>3.2080246913580419</v>
      </c>
      <c r="AJ136">
        <v>-0.11608090095481483</v>
      </c>
      <c r="AK136">
        <v>2.7903570183308486</v>
      </c>
      <c r="AL136">
        <v>5.3910508555632397E-4</v>
      </c>
      <c r="AM136">
        <v>0.69108940989906054</v>
      </c>
      <c r="AN136">
        <v>6.0632722200081313E-2</v>
      </c>
      <c r="AO136">
        <v>-7.1818181818178006E-2</v>
      </c>
      <c r="AP136">
        <v>-0.4786477397851393</v>
      </c>
      <c r="AQ136">
        <v>4.4517807122848696E-2</v>
      </c>
      <c r="AR136">
        <v>0</v>
      </c>
      <c r="AS136">
        <v>0.25323742628425161</v>
      </c>
      <c r="AT136">
        <v>0.42499999999999516</v>
      </c>
      <c r="AU136">
        <v>0</v>
      </c>
      <c r="AV136">
        <v>0.24967369572597997</v>
      </c>
      <c r="AW136">
        <v>0</v>
      </c>
      <c r="AX136">
        <v>3.523406855424752</v>
      </c>
      <c r="AY136">
        <v>-2.6612157898178279E-2</v>
      </c>
      <c r="AZ136">
        <v>1.5469838894040753</v>
      </c>
      <c r="BA136">
        <v>1.6928125000000143</v>
      </c>
      <c r="BB136">
        <v>0.43666901292239557</v>
      </c>
      <c r="BC136">
        <v>0</v>
      </c>
      <c r="BD136">
        <v>0.4032559880239488</v>
      </c>
      <c r="BE136">
        <v>1.8340675422620398</v>
      </c>
      <c r="BF136">
        <v>2.4644595744680777</v>
      </c>
      <c r="BG136">
        <v>2.8501212938005431</v>
      </c>
    </row>
    <row r="137" spans="1:59" x14ac:dyDescent="0.25">
      <c r="A137" s="3">
        <v>43220</v>
      </c>
      <c r="B137">
        <v>10.649418172815022</v>
      </c>
      <c r="C137">
        <v>0.24590000000000289</v>
      </c>
      <c r="D137">
        <v>0.39213736462820448</v>
      </c>
      <c r="E137">
        <v>0.74020965382740744</v>
      </c>
      <c r="F137">
        <v>0.9862463199214917</v>
      </c>
      <c r="G137">
        <v>1.942195282533508</v>
      </c>
      <c r="H137">
        <v>0.10089999999999777</v>
      </c>
      <c r="I137">
        <v>0.27200000000000046</v>
      </c>
      <c r="J137">
        <v>0.39378719144723884</v>
      </c>
      <c r="K137">
        <v>2.7692307692307767</v>
      </c>
      <c r="L137">
        <v>1.2286804492230416</v>
      </c>
      <c r="M137">
        <v>1.8785046728975185E-2</v>
      </c>
      <c r="N137">
        <v>0.23927335640138714</v>
      </c>
      <c r="O137">
        <v>0.61588780404155274</v>
      </c>
      <c r="P137">
        <v>0.34231314443779892</v>
      </c>
      <c r="Q137">
        <v>0.60100000000000153</v>
      </c>
      <c r="R137">
        <v>0.77712682379347542</v>
      </c>
      <c r="S137">
        <v>-1.7646917165822562E-2</v>
      </c>
      <c r="T137">
        <v>-3.5982618938602551E-3</v>
      </c>
      <c r="U137">
        <v>0.69160498524999592</v>
      </c>
      <c r="V137">
        <v>-0.25394705548745888</v>
      </c>
      <c r="W137">
        <v>1.2210955560626666</v>
      </c>
      <c r="X137">
        <v>1.0823995694084343</v>
      </c>
      <c r="Y137">
        <v>0.29890189090981778</v>
      </c>
      <c r="Z137">
        <v>0.60080000000000688</v>
      </c>
      <c r="AA137">
        <v>0.41296270860409523</v>
      </c>
      <c r="AB137">
        <v>1.433169899808135</v>
      </c>
      <c r="AC137">
        <v>0.59068130294713916</v>
      </c>
      <c r="AD137">
        <v>0.58284480098734837</v>
      </c>
      <c r="AE137">
        <v>1.7061963575465677</v>
      </c>
      <c r="AF137">
        <v>0.113792345358249</v>
      </c>
      <c r="AG137">
        <v>-6.3615526433804415E-2</v>
      </c>
      <c r="AH137">
        <v>2.6287322564855775</v>
      </c>
      <c r="AI137">
        <v>3.0861882716049545</v>
      </c>
      <c r="AJ137">
        <v>-0.12143644079323124</v>
      </c>
      <c r="AK137">
        <v>2.8591946030017454</v>
      </c>
      <c r="AL137">
        <v>-5.3111834354987453E-3</v>
      </c>
      <c r="AM137">
        <v>0.66881215114658099</v>
      </c>
      <c r="AN137">
        <v>5.9673176564370323E-2</v>
      </c>
      <c r="AO137">
        <v>-0.12215909090908772</v>
      </c>
      <c r="AP137">
        <v>-0.41648067136862921</v>
      </c>
      <c r="AQ137">
        <v>4.9359743897558817E-2</v>
      </c>
      <c r="AR137">
        <v>0</v>
      </c>
      <c r="AS137">
        <v>0.25712246230573288</v>
      </c>
      <c r="AT137">
        <v>0.42199999999999593</v>
      </c>
      <c r="AU137">
        <v>0</v>
      </c>
      <c r="AV137">
        <v>0.24907012712663623</v>
      </c>
      <c r="AW137">
        <v>0</v>
      </c>
      <c r="AX137">
        <v>3.7666527368952423</v>
      </c>
      <c r="AY137">
        <v>-2.3530460820305188E-2</v>
      </c>
      <c r="AZ137">
        <v>1.5659859306930333</v>
      </c>
      <c r="BA137">
        <v>1.2680000000000113</v>
      </c>
      <c r="BB137">
        <v>0.47206147308228696</v>
      </c>
      <c r="BC137">
        <v>0</v>
      </c>
      <c r="BD137">
        <v>0.40868263473053634</v>
      </c>
      <c r="BE137">
        <v>1.8076012459991473</v>
      </c>
      <c r="BF137">
        <v>2.3257106382978643</v>
      </c>
      <c r="BG137">
        <v>2.5872439353099757</v>
      </c>
    </row>
    <row r="138" spans="1:59" x14ac:dyDescent="0.25">
      <c r="A138" s="3">
        <v>43251</v>
      </c>
      <c r="B138">
        <v>10.500866551126487</v>
      </c>
      <c r="C138">
        <v>0.20780000000000309</v>
      </c>
      <c r="D138">
        <v>0.56753492491645963</v>
      </c>
      <c r="E138">
        <v>0.74564358849342494</v>
      </c>
      <c r="F138">
        <v>1.209313052011777</v>
      </c>
      <c r="G138">
        <v>1.9627906495112422</v>
      </c>
      <c r="H138">
        <v>9.9699999999998123E-2</v>
      </c>
      <c r="I138">
        <v>0.27400000000000069</v>
      </c>
      <c r="J138">
        <v>0.39109311029166216</v>
      </c>
      <c r="K138">
        <v>3.0100882723833644</v>
      </c>
      <c r="L138">
        <v>1.1484479530510119</v>
      </c>
      <c r="M138">
        <v>-2.9252336448595484E-2</v>
      </c>
      <c r="N138">
        <v>0.24325259515571207</v>
      </c>
      <c r="O138">
        <v>0.62122023379489</v>
      </c>
      <c r="P138">
        <v>0.30557692667631242</v>
      </c>
      <c r="Q138">
        <v>0.66900000000000248</v>
      </c>
      <c r="R138">
        <v>0.71856715301158292</v>
      </c>
      <c r="S138">
        <v>-1.2308642273680004E-2</v>
      </c>
      <c r="T138">
        <v>3.0698155498061208E-3</v>
      </c>
      <c r="U138">
        <v>0.70395370164232096</v>
      </c>
      <c r="V138">
        <v>-0.27573589945299182</v>
      </c>
      <c r="W138">
        <v>1.2464157794997486</v>
      </c>
      <c r="X138">
        <v>1.1457356754905406</v>
      </c>
      <c r="Y138">
        <v>0.31712029149440801</v>
      </c>
      <c r="Z138">
        <v>0.64620000000000677</v>
      </c>
      <c r="AA138">
        <v>0.42121921060217127</v>
      </c>
      <c r="AB138">
        <v>1.5578234917927865</v>
      </c>
      <c r="AC138">
        <v>0.43246629280515103</v>
      </c>
      <c r="AD138">
        <v>0.60238609482669769</v>
      </c>
      <c r="AE138">
        <v>1.7509943479170929</v>
      </c>
      <c r="AF138">
        <v>0.1060927350854397</v>
      </c>
      <c r="AG138">
        <v>-0.11246499576461322</v>
      </c>
      <c r="AH138">
        <v>2.804111600587389</v>
      </c>
      <c r="AI138">
        <v>3.2754243827160643</v>
      </c>
      <c r="AJ138">
        <v>-0.12951225483528672</v>
      </c>
      <c r="AK138">
        <v>3.0552569411525177</v>
      </c>
      <c r="AL138">
        <v>-1.5574146916139675E-3</v>
      </c>
      <c r="AM138">
        <v>0.6736291098498568</v>
      </c>
      <c r="AN138">
        <v>6.2979274611400848E-2</v>
      </c>
      <c r="AO138">
        <v>-0.16113636363636041</v>
      </c>
      <c r="AP138">
        <v>-0.40273189893759631</v>
      </c>
      <c r="AQ138">
        <v>5.4431772709083281E-2</v>
      </c>
      <c r="AR138">
        <v>0</v>
      </c>
      <c r="AS138">
        <v>0.26001384396903604</v>
      </c>
      <c r="AT138">
        <v>0.41799999999999549</v>
      </c>
      <c r="AU138">
        <v>0</v>
      </c>
      <c r="AV138">
        <v>0.31862386359349659</v>
      </c>
      <c r="AW138">
        <v>0</v>
      </c>
      <c r="AX138">
        <v>3.3988305982478115</v>
      </c>
      <c r="AY138">
        <v>-2.8531520185125392E-2</v>
      </c>
      <c r="AZ138">
        <v>1.6389750799431413</v>
      </c>
      <c r="BA138">
        <v>1.3878750000000122</v>
      </c>
      <c r="BB138">
        <v>0.49433031263474692</v>
      </c>
      <c r="BC138">
        <v>0</v>
      </c>
      <c r="BD138">
        <v>0.39811002994011724</v>
      </c>
      <c r="BE138">
        <v>1.8438700388764562</v>
      </c>
      <c r="BF138">
        <v>2.3953730496453822</v>
      </c>
      <c r="BG138">
        <v>2.957560646900272</v>
      </c>
    </row>
    <row r="139" spans="1:59" x14ac:dyDescent="0.25">
      <c r="A139" s="3">
        <v>43281</v>
      </c>
      <c r="B139">
        <v>11.295122555087858</v>
      </c>
      <c r="C139">
        <v>0.1953000000000038</v>
      </c>
      <c r="D139">
        <v>0.52737227746688364</v>
      </c>
      <c r="E139">
        <v>0.71923695758167461</v>
      </c>
      <c r="F139">
        <v>1.2855299313052022</v>
      </c>
      <c r="G139">
        <v>1.9716790214597757</v>
      </c>
      <c r="H139">
        <v>9.109999999999796E-2</v>
      </c>
      <c r="I139">
        <v>0.27400000000000069</v>
      </c>
      <c r="J139">
        <v>0.39007206583543885</v>
      </c>
      <c r="K139">
        <v>3.0920554854981193</v>
      </c>
      <c r="L139">
        <v>1.1183696817082978</v>
      </c>
      <c r="M139">
        <v>-0.13186915887850215</v>
      </c>
      <c r="N139">
        <v>0.16262975778546918</v>
      </c>
      <c r="O139">
        <v>0.62381418616896189</v>
      </c>
      <c r="P139">
        <v>0.2967750896684056</v>
      </c>
      <c r="Q139">
        <v>0.67100000000000315</v>
      </c>
      <c r="R139">
        <v>0.70588851477738812</v>
      </c>
      <c r="S139">
        <v>-1.3551710214132595E-2</v>
      </c>
      <c r="T139">
        <v>1.5447719292527307E-3</v>
      </c>
      <c r="U139">
        <v>0.7042944923826493</v>
      </c>
      <c r="V139">
        <v>-0.28351109566235466</v>
      </c>
      <c r="W139">
        <v>1.2261953189336157</v>
      </c>
      <c r="X139">
        <v>1.1607770220678271</v>
      </c>
      <c r="Y139">
        <v>0.33248581066877425</v>
      </c>
      <c r="Z139">
        <v>0.66800000000000681</v>
      </c>
      <c r="AA139">
        <v>0.43002614606678558</v>
      </c>
      <c r="AB139">
        <v>1.6635045832445035</v>
      </c>
      <c r="AC139">
        <v>0.43169072902994521</v>
      </c>
      <c r="AD139">
        <v>0.54402962048750236</v>
      </c>
      <c r="AE139">
        <v>1.7807201172283773</v>
      </c>
      <c r="AF139">
        <v>9.9886079744178735E-2</v>
      </c>
      <c r="AG139">
        <v>-0.13774179082166627</v>
      </c>
      <c r="AH139">
        <v>2.8571708272148992</v>
      </c>
      <c r="AI139">
        <v>3.3356095679012476</v>
      </c>
      <c r="AJ139">
        <v>-0.16402573379396601</v>
      </c>
      <c r="AK139">
        <v>3.1130349104613986</v>
      </c>
      <c r="AL139">
        <v>7.5874049078272776E-4</v>
      </c>
      <c r="AM139">
        <v>0.66743867544605329</v>
      </c>
      <c r="AN139">
        <v>6.4229772817857578E-2</v>
      </c>
      <c r="AO139">
        <v>-0.21568181818181498</v>
      </c>
      <c r="AP139">
        <v>-0.38368598041841673</v>
      </c>
      <c r="AQ139">
        <v>6.1004401760704097E-2</v>
      </c>
      <c r="AR139">
        <v>0</v>
      </c>
      <c r="AS139">
        <v>0.25585579828393823</v>
      </c>
      <c r="AT139">
        <v>0.41699999999999537</v>
      </c>
      <c r="AU139">
        <v>0</v>
      </c>
      <c r="AV139">
        <v>0.31820891018144781</v>
      </c>
      <c r="AW139">
        <v>0</v>
      </c>
      <c r="AX139">
        <v>3.0522186413180066</v>
      </c>
      <c r="AY139">
        <v>-3.1604861888245739E-2</v>
      </c>
      <c r="AZ139">
        <v>1.6822180430633407</v>
      </c>
      <c r="BA139">
        <v>1.1618125000000092</v>
      </c>
      <c r="BB139">
        <v>0.50351833883793895</v>
      </c>
      <c r="BC139">
        <v>0</v>
      </c>
      <c r="BD139">
        <v>0.38819236526945877</v>
      </c>
      <c r="BE139">
        <v>1.8456703390494904</v>
      </c>
      <c r="BF139">
        <v>2.4538099290780058</v>
      </c>
      <c r="BG139">
        <v>2.7906772237196775</v>
      </c>
    </row>
    <row r="140" spans="1:59" x14ac:dyDescent="0.25">
      <c r="A140" s="3">
        <v>43312</v>
      </c>
      <c r="B140">
        <v>12.167615746471872</v>
      </c>
      <c r="C140">
        <v>0.2334000000000036</v>
      </c>
      <c r="D140">
        <v>0.53721164298079271</v>
      </c>
      <c r="E140">
        <v>0.75534129692833529</v>
      </c>
      <c r="F140">
        <v>1.2636800785083424</v>
      </c>
      <c r="G140">
        <v>1.9835657375456148</v>
      </c>
      <c r="H140">
        <v>9.7599999999997467E-2</v>
      </c>
      <c r="I140">
        <v>0.28300000000000147</v>
      </c>
      <c r="J140">
        <v>0.39758842924209592</v>
      </c>
      <c r="K140">
        <v>3.0277427490542363</v>
      </c>
      <c r="L140">
        <v>1.2603004503827537</v>
      </c>
      <c r="M140">
        <v>6.2242990654209018E-2</v>
      </c>
      <c r="N140">
        <v>0.36851211072664625</v>
      </c>
      <c r="O140">
        <v>0.63469374121629385</v>
      </c>
      <c r="P140">
        <v>0.33010484381787886</v>
      </c>
      <c r="Q140">
        <v>0.72100000000000342</v>
      </c>
      <c r="R140">
        <v>0.69754208754207325</v>
      </c>
      <c r="S140">
        <v>-5.347336454569418E-3</v>
      </c>
      <c r="T140">
        <v>4.0344629101132234E-3</v>
      </c>
      <c r="U140">
        <v>0.70633964577350872</v>
      </c>
      <c r="V140">
        <v>-0.24216534640785881</v>
      </c>
      <c r="W140">
        <v>1.1874609332367636</v>
      </c>
      <c r="X140">
        <v>1.2191515388755785</v>
      </c>
      <c r="Y140">
        <v>0.34093434368712261</v>
      </c>
      <c r="Z140">
        <v>0.71120000000000672</v>
      </c>
      <c r="AA140">
        <v>0.43910829826466946</v>
      </c>
      <c r="AB140">
        <v>1.7578874440417738</v>
      </c>
      <c r="AC140">
        <v>0.21685956329793288</v>
      </c>
      <c r="AD140">
        <v>0.57642702869484608</v>
      </c>
      <c r="AE140">
        <v>1.861942641825403</v>
      </c>
      <c r="AF140">
        <v>0.1066673328669927</v>
      </c>
      <c r="AG140">
        <v>-0.11886292291594125</v>
      </c>
      <c r="AH140">
        <v>2.938032305433206</v>
      </c>
      <c r="AI140">
        <v>3.5989197530864336</v>
      </c>
      <c r="AJ140">
        <v>-0.18306765321944385</v>
      </c>
      <c r="AK140">
        <v>3.2692348375925198</v>
      </c>
      <c r="AL140">
        <v>-3.9933710041617498E-4</v>
      </c>
      <c r="AM140">
        <v>0.69052842381715673</v>
      </c>
      <c r="AN140">
        <v>6.5624750896773776E-2</v>
      </c>
      <c r="AO140">
        <v>-0.21045454545454234</v>
      </c>
      <c r="AP140">
        <v>-0.3943397910900831</v>
      </c>
      <c r="AQ140">
        <v>6.6596638655461948E-2</v>
      </c>
      <c r="AR140">
        <v>0</v>
      </c>
      <c r="AS140">
        <v>0.26288859075432836</v>
      </c>
      <c r="AT140">
        <v>0.42599999999999505</v>
      </c>
      <c r="AU140">
        <v>1.0041168792047639E-3</v>
      </c>
      <c r="AV140">
        <v>0.3275793126862574</v>
      </c>
      <c r="AW140">
        <v>0</v>
      </c>
      <c r="AX140">
        <v>3.2479429764085008</v>
      </c>
      <c r="AY140">
        <v>-1.7304075197985935E-2</v>
      </c>
      <c r="AZ140">
        <v>1.7164927530518352</v>
      </c>
      <c r="BA140">
        <v>1.3254375000000094</v>
      </c>
      <c r="BB140">
        <v>0.51449072849756639</v>
      </c>
      <c r="BC140">
        <v>0</v>
      </c>
      <c r="BD140">
        <v>0.4123315868263453</v>
      </c>
      <c r="BE140">
        <v>1.8403481285943863</v>
      </c>
      <c r="BF140">
        <v>2.7028141843971571</v>
      </c>
      <c r="BG140">
        <v>2.9095653638814012</v>
      </c>
    </row>
    <row r="141" spans="1:59" x14ac:dyDescent="0.25">
      <c r="A141" s="3">
        <v>43343</v>
      </c>
      <c r="B141">
        <v>11.105966823471134</v>
      </c>
      <c r="C141">
        <v>0.21700000000000297</v>
      </c>
      <c r="D141">
        <v>0.58597769636458397</v>
      </c>
      <c r="E141">
        <v>0.69559970745978328</v>
      </c>
      <c r="F141">
        <v>1.525363101079491</v>
      </c>
      <c r="G141">
        <v>1.9925164347582514</v>
      </c>
      <c r="H141">
        <v>0.10489999999999666</v>
      </c>
      <c r="I141">
        <v>0.28530000000000144</v>
      </c>
      <c r="J141">
        <v>0.40715918330163592</v>
      </c>
      <c r="K141">
        <v>3.5825977301387271</v>
      </c>
      <c r="L141">
        <v>1.2580401499323708</v>
      </c>
      <c r="M141">
        <v>6.4485981308415097E-2</v>
      </c>
      <c r="N141">
        <v>0.36245674740484657</v>
      </c>
      <c r="O141">
        <v>0.6399247611881862</v>
      </c>
      <c r="P141">
        <v>0.32638314933372947</v>
      </c>
      <c r="Q141">
        <v>0.80600000000000316</v>
      </c>
      <c r="R141">
        <v>0.55896745230077238</v>
      </c>
      <c r="S141">
        <v>-3.3119854570567986E-3</v>
      </c>
      <c r="T141">
        <v>8.3103465079414907E-3</v>
      </c>
      <c r="U141">
        <v>0.69439526825309406</v>
      </c>
      <c r="V141">
        <v>-0.26322240720074586</v>
      </c>
      <c r="W141">
        <v>1.1992776989552452</v>
      </c>
      <c r="X141">
        <v>1.2597641532514654</v>
      </c>
      <c r="Y141">
        <v>0.3434869217910077</v>
      </c>
      <c r="Z141">
        <v>0.74080000000000745</v>
      </c>
      <c r="AA141">
        <v>0.44887849229572629</v>
      </c>
      <c r="AB141">
        <v>1.6158068642080519</v>
      </c>
      <c r="AC141">
        <v>0.15132442429304116</v>
      </c>
      <c r="AD141">
        <v>0.60444307312557721</v>
      </c>
      <c r="AE141">
        <v>1.9497592631358489</v>
      </c>
      <c r="AF141">
        <v>0.10793144798640908</v>
      </c>
      <c r="AG141">
        <v>-0.18330360257113054</v>
      </c>
      <c r="AH141">
        <v>3.1712187958884215</v>
      </c>
      <c r="AI141">
        <v>3.823958333333346</v>
      </c>
      <c r="AJ141">
        <v>-0.19798495688365292</v>
      </c>
      <c r="AK141">
        <v>3.5066071701410086</v>
      </c>
      <c r="AL141">
        <v>6.010023361218142E-3</v>
      </c>
      <c r="AM141">
        <v>0.69387005180503558</v>
      </c>
      <c r="AN141">
        <v>7.0613790354724815E-2</v>
      </c>
      <c r="AO141">
        <v>-0.22215909090908825</v>
      </c>
      <c r="AP141">
        <v>-0.39264351397196839</v>
      </c>
      <c r="AQ141">
        <v>7.3869547819127357E-2</v>
      </c>
      <c r="AR141">
        <v>0</v>
      </c>
      <c r="AS141">
        <v>0.26503550135861076</v>
      </c>
      <c r="AT141">
        <v>0.41999999999999504</v>
      </c>
      <c r="AU141">
        <v>-7.7316999698766598E-3</v>
      </c>
      <c r="AV141">
        <v>0.33262665509826839</v>
      </c>
      <c r="AW141">
        <v>0</v>
      </c>
      <c r="AX141">
        <v>3.2294176278196884</v>
      </c>
      <c r="AY141">
        <v>-1.6450201990322433E-2</v>
      </c>
      <c r="AZ141">
        <v>1.7853973513706722</v>
      </c>
      <c r="BA141">
        <v>1.7351875000000114</v>
      </c>
      <c r="BB141">
        <v>0.50504416991680778</v>
      </c>
      <c r="BC141">
        <v>0</v>
      </c>
      <c r="BD141">
        <v>0.40802769461077681</v>
      </c>
      <c r="BE141">
        <v>1.8734020941597382</v>
      </c>
      <c r="BF141">
        <v>2.8913645390070837</v>
      </c>
      <c r="BG141">
        <v>3.0221731805929917</v>
      </c>
    </row>
    <row r="142" spans="1:59" x14ac:dyDescent="0.25">
      <c r="A142" s="3">
        <v>43373</v>
      </c>
      <c r="B142">
        <v>12.766773953948972</v>
      </c>
      <c r="C142">
        <v>0.22530000000000228</v>
      </c>
      <c r="D142">
        <v>0.61343451829783446</v>
      </c>
      <c r="E142">
        <v>0.72027547537787129</v>
      </c>
      <c r="F142">
        <v>1.4054465161923475</v>
      </c>
      <c r="G142">
        <v>2.0074790169320424</v>
      </c>
      <c r="H142">
        <v>0.10299999999999687</v>
      </c>
      <c r="I142">
        <v>0.28500000000000147</v>
      </c>
      <c r="J142">
        <v>0.40148808096044264</v>
      </c>
      <c r="K142">
        <v>3.6872635561160285</v>
      </c>
      <c r="L142">
        <v>1.3393295953299362</v>
      </c>
      <c r="M142">
        <v>0.18457943925234099</v>
      </c>
      <c r="N142">
        <v>0.55934256055363507</v>
      </c>
      <c r="O142">
        <v>0.64599248280458266</v>
      </c>
      <c r="P142">
        <v>0.33175980589659004</v>
      </c>
      <c r="Q142">
        <v>0.7890000000000037</v>
      </c>
      <c r="R142">
        <v>0.68463898241674626</v>
      </c>
      <c r="S142">
        <v>-5.0126478213111669E-3</v>
      </c>
      <c r="T142">
        <v>2.5778573017440909E-3</v>
      </c>
      <c r="U142">
        <v>0.6888037638678588</v>
      </c>
      <c r="V142">
        <v>-0.20327107078172713</v>
      </c>
      <c r="W142">
        <v>1.2502951711000234</v>
      </c>
      <c r="X142">
        <v>1.2648138180750692</v>
      </c>
      <c r="Y142">
        <v>0.36430795103053959</v>
      </c>
      <c r="Z142">
        <v>0.74700000000000766</v>
      </c>
      <c r="AA142">
        <v>0.45754781939370615</v>
      </c>
      <c r="AB142">
        <v>1.5462054998934072</v>
      </c>
      <c r="AC142">
        <v>3.5377639899770941E-2</v>
      </c>
      <c r="AD142">
        <v>0.55507559395248296</v>
      </c>
      <c r="AE142">
        <v>1.9741469541553172</v>
      </c>
      <c r="AF142">
        <v>0.10634555810932333</v>
      </c>
      <c r="AG142">
        <v>-0.15627086551397773</v>
      </c>
      <c r="AH142">
        <v>3.1647087616250849</v>
      </c>
      <c r="AI142">
        <v>3.8153935185185288</v>
      </c>
      <c r="AJ142">
        <v>-0.203979761159924</v>
      </c>
      <c r="AK142">
        <v>3.6651635827982547</v>
      </c>
      <c r="AL142">
        <v>1.4975141265478609E-3</v>
      </c>
      <c r="AM142">
        <v>0.68921762812578069</v>
      </c>
      <c r="AN142">
        <v>7.1912116381030122E-2</v>
      </c>
      <c r="AO142">
        <v>-0.17443181818181508</v>
      </c>
      <c r="AP142">
        <v>-0.33732107252328813</v>
      </c>
      <c r="AQ142">
        <v>8.0142056822728902E-2</v>
      </c>
      <c r="AR142">
        <v>7.3000000000000842E-3</v>
      </c>
      <c r="AS142">
        <v>0.27793886347246866</v>
      </c>
      <c r="AT142">
        <v>0.42499999999999494</v>
      </c>
      <c r="AU142">
        <v>-2.1086454463299931E-2</v>
      </c>
      <c r="AV142">
        <v>0.35543400354596555</v>
      </c>
      <c r="AW142">
        <v>-2.9000000000000137E-3</v>
      </c>
      <c r="AX142">
        <v>2.5399524803404168</v>
      </c>
      <c r="AY142">
        <v>-1.5615714417370974E-2</v>
      </c>
      <c r="AZ142">
        <v>1.7902810535711047</v>
      </c>
      <c r="BA142">
        <v>1.6826250000000096</v>
      </c>
      <c r="BB142">
        <v>0.51014283958289441</v>
      </c>
      <c r="BC142">
        <v>0</v>
      </c>
      <c r="BD142">
        <v>0.42037799401197429</v>
      </c>
      <c r="BE142">
        <v>1.841691274094972</v>
      </c>
      <c r="BF142">
        <v>2.9161219858155927</v>
      </c>
      <c r="BG142">
        <v>2.9302392183288415</v>
      </c>
    </row>
    <row r="143" spans="1:59" x14ac:dyDescent="0.25">
      <c r="A143" s="3">
        <v>43404</v>
      </c>
      <c r="B143">
        <v>10.098786828422861</v>
      </c>
      <c r="C143">
        <v>0.20640000000000169</v>
      </c>
      <c r="D143">
        <v>0.3810700913885392</v>
      </c>
      <c r="E143">
        <v>0.64961969770844141</v>
      </c>
      <c r="F143">
        <v>1.1635819430814549</v>
      </c>
      <c r="G143">
        <v>2.0195089329997704</v>
      </c>
      <c r="H143">
        <v>9.7299999999997278E-2</v>
      </c>
      <c r="I143">
        <v>0.27940000000000187</v>
      </c>
      <c r="J143">
        <v>0.39159748164955555</v>
      </c>
      <c r="K143">
        <v>2.9634300126103525</v>
      </c>
      <c r="L143">
        <v>1.2551137298980586</v>
      </c>
      <c r="M143">
        <v>0.11271028037383557</v>
      </c>
      <c r="N143">
        <v>0.40674740484429317</v>
      </c>
      <c r="O143">
        <v>0.65093046025299617</v>
      </c>
      <c r="P143">
        <v>0.31612435463867095</v>
      </c>
      <c r="Q143">
        <v>0.57100000000000262</v>
      </c>
      <c r="R143">
        <v>0.47311634867189145</v>
      </c>
      <c r="S143">
        <v>-5.4877503284906926E-3</v>
      </c>
      <c r="T143">
        <v>1.8028915281893543E-3</v>
      </c>
      <c r="U143">
        <v>0.7011320313440943</v>
      </c>
      <c r="V143">
        <v>-0.22099851813907501</v>
      </c>
      <c r="W143">
        <v>1.2885533143497825</v>
      </c>
      <c r="X143">
        <v>1.0856485785585051</v>
      </c>
      <c r="Y143">
        <v>0.37400774782530211</v>
      </c>
      <c r="Z143">
        <v>0.62720000000000709</v>
      </c>
      <c r="AA143">
        <v>0.46786844689130125</v>
      </c>
      <c r="AB143">
        <v>1.5290449797484489</v>
      </c>
      <c r="AC143">
        <v>0.45728433361173781</v>
      </c>
      <c r="AD143">
        <v>0.33857862799547367</v>
      </c>
      <c r="AE143">
        <v>1.7716139836717502</v>
      </c>
      <c r="AF143">
        <v>8.4442889977015767E-2</v>
      </c>
      <c r="AG143">
        <v>-0.17482884050027481</v>
      </c>
      <c r="AH143">
        <v>2.7965247185511712</v>
      </c>
      <c r="AI143">
        <v>3.1096836419753178</v>
      </c>
      <c r="AJ143">
        <v>-0.18884823590217759</v>
      </c>
      <c r="AK143">
        <v>3.2088614041754724</v>
      </c>
      <c r="AL143">
        <v>-7.6073717628752924E-3</v>
      </c>
      <c r="AM143">
        <v>0.6559541307693102</v>
      </c>
      <c r="AN143">
        <v>6.9322439218813647E-2</v>
      </c>
      <c r="AO143">
        <v>-0.11249999999999682</v>
      </c>
      <c r="AP143">
        <v>-0.33056572329851652</v>
      </c>
      <c r="AQ143">
        <v>8.5854341736694595E-2</v>
      </c>
      <c r="AR143">
        <v>1.0799999999999921E-2</v>
      </c>
      <c r="AS143">
        <v>0.27947239010863578</v>
      </c>
      <c r="AT143">
        <v>0.41999999999999504</v>
      </c>
      <c r="AU143">
        <v>4.0666733607791272E-2</v>
      </c>
      <c r="AV143">
        <v>0.3593043871892565</v>
      </c>
      <c r="AW143">
        <v>2.0830979999999943E-2</v>
      </c>
      <c r="AX143">
        <v>2.5700226113831266</v>
      </c>
      <c r="AY143">
        <v>-1.5394482024524869E-2</v>
      </c>
      <c r="AZ143">
        <v>1.5736222650427982</v>
      </c>
      <c r="BA143">
        <v>1.6476250000000099</v>
      </c>
      <c r="BB143">
        <v>0.53656983758607968</v>
      </c>
      <c r="BC143">
        <v>0</v>
      </c>
      <c r="BD143">
        <v>0.42786302395209441</v>
      </c>
      <c r="BE143">
        <v>1.8094943062879758</v>
      </c>
      <c r="BF143">
        <v>2.4422950354609849</v>
      </c>
      <c r="BG143">
        <v>2.4506367924528289</v>
      </c>
    </row>
    <row r="144" spans="1:59" x14ac:dyDescent="0.25">
      <c r="A144" s="3">
        <v>43434</v>
      </c>
      <c r="B144">
        <v>11.196088140628854</v>
      </c>
      <c r="C144">
        <v>0.17820000000000147</v>
      </c>
      <c r="D144">
        <v>0.37533314545673835</v>
      </c>
      <c r="E144">
        <v>0.69237932715749007</v>
      </c>
      <c r="F144">
        <v>1.258596663395489</v>
      </c>
      <c r="G144">
        <v>2.0104504062007713</v>
      </c>
      <c r="H144">
        <v>0.10049999999999781</v>
      </c>
      <c r="I144">
        <v>0.27780000000000138</v>
      </c>
      <c r="J144">
        <v>0.37932034469400033</v>
      </c>
      <c r="K144">
        <v>2.9747793190416263</v>
      </c>
      <c r="L144">
        <v>1.1513784983227477</v>
      </c>
      <c r="M144">
        <v>0.12392523364486374</v>
      </c>
      <c r="N144">
        <v>0.44480968858131775</v>
      </c>
      <c r="O144">
        <v>0.65241629766722364</v>
      </c>
      <c r="P144">
        <v>0.28759990109631284</v>
      </c>
      <c r="Q144">
        <v>0.59100000000000352</v>
      </c>
      <c r="R144">
        <v>0.47185559296669122</v>
      </c>
      <c r="S144">
        <v>-3.5818113254743045E-3</v>
      </c>
      <c r="T144">
        <v>8.2280106602523606E-3</v>
      </c>
      <c r="U144">
        <v>0.68837354110901372</v>
      </c>
      <c r="V144">
        <v>-0.25976473170999392</v>
      </c>
      <c r="W144">
        <v>1.2940499459266408</v>
      </c>
      <c r="X144">
        <v>1.1509027743798099</v>
      </c>
      <c r="Y144">
        <v>0.37951330844152453</v>
      </c>
      <c r="Z144">
        <v>0.66560000000000774</v>
      </c>
      <c r="AA144">
        <v>0.47667538235591578</v>
      </c>
      <c r="AB144">
        <v>1.3586122361969677</v>
      </c>
      <c r="AC144">
        <v>0.3366841665672331</v>
      </c>
      <c r="AD144">
        <v>0.38615653604854394</v>
      </c>
      <c r="AE144">
        <v>1.7971530249110228</v>
      </c>
      <c r="AF144">
        <v>8.0481662836013879E-2</v>
      </c>
      <c r="AG144">
        <v>-0.14764960884947009</v>
      </c>
      <c r="AH144">
        <v>2.7639745472344805</v>
      </c>
      <c r="AI144">
        <v>3.3083333333333433</v>
      </c>
      <c r="AJ144">
        <v>-0.18553290171649162</v>
      </c>
      <c r="AK144">
        <v>3.4414228236298978</v>
      </c>
      <c r="AL144">
        <v>1.6572489667134871E-3</v>
      </c>
      <c r="AM144">
        <v>0.64614392583702029</v>
      </c>
      <c r="AN144">
        <v>6.943005181347317E-2</v>
      </c>
      <c r="AO144">
        <v>-3.3749999999996616E-2</v>
      </c>
      <c r="AP144">
        <v>-0.34080290450257567</v>
      </c>
      <c r="AQ144">
        <v>9.0686274509804043E-2</v>
      </c>
      <c r="AR144">
        <v>1.6157239999999851E-2</v>
      </c>
      <c r="AS144">
        <v>0.28446233243005947</v>
      </c>
      <c r="AT144">
        <v>0.41899999999999493</v>
      </c>
      <c r="AU144">
        <v>2.8014860929811647E-2</v>
      </c>
      <c r="AV144">
        <v>0.36642649666151117</v>
      </c>
      <c r="AW144">
        <v>5.1455909399999999E-2</v>
      </c>
      <c r="AX144">
        <v>2.8331362580068369</v>
      </c>
      <c r="AY144">
        <v>-1.7217336214374934E-2</v>
      </c>
      <c r="AZ144">
        <v>1.6318715131061463</v>
      </c>
      <c r="BA144">
        <v>1.7001250000000132</v>
      </c>
      <c r="BB144">
        <v>0.52443869336652638</v>
      </c>
      <c r="BC144">
        <v>0</v>
      </c>
      <c r="BD144">
        <v>0.41541916167664517</v>
      </c>
      <c r="BE144">
        <v>1.8549468675722487</v>
      </c>
      <c r="BF144">
        <v>2.5787432624113382</v>
      </c>
      <c r="BG144">
        <v>2.5721057951482487</v>
      </c>
    </row>
    <row r="145" spans="1:59" x14ac:dyDescent="0.25">
      <c r="A145" s="3">
        <v>43465</v>
      </c>
      <c r="B145">
        <v>8.6419905917306163</v>
      </c>
      <c r="C145">
        <v>0.1836000000000011</v>
      </c>
      <c r="D145">
        <v>0.18642054833125044</v>
      </c>
      <c r="E145">
        <v>0.53392735251097534</v>
      </c>
      <c r="F145">
        <v>0.9503631010794924</v>
      </c>
      <c r="G145">
        <v>1.9893772533573659</v>
      </c>
      <c r="H145">
        <v>0.10939999999999706</v>
      </c>
      <c r="I145">
        <v>0.28070000000000173</v>
      </c>
      <c r="J145">
        <v>0.39063794589551271</v>
      </c>
      <c r="K145">
        <v>2.6847414880201881</v>
      </c>
      <c r="L145">
        <v>1.0395068164099648</v>
      </c>
      <c r="M145">
        <v>0.21822429906542506</v>
      </c>
      <c r="N145">
        <v>0.43287197231834251</v>
      </c>
      <c r="O145">
        <v>0.65357298907559058</v>
      </c>
      <c r="P145">
        <v>0.29183680103710929</v>
      </c>
      <c r="Q145">
        <v>0.45100000000000318</v>
      </c>
      <c r="R145">
        <v>0.34170220725775136</v>
      </c>
      <c r="S145">
        <v>-3.9392501960627824E-3</v>
      </c>
      <c r="T145">
        <v>7.200414933097754E-3</v>
      </c>
      <c r="U145">
        <v>0.69090610142067743</v>
      </c>
      <c r="V145">
        <v>-0.33982181079746021</v>
      </c>
      <c r="W145">
        <v>1.3087241663276763</v>
      </c>
      <c r="X145">
        <v>1.0047462934873104</v>
      </c>
      <c r="Y145">
        <v>0.39001391405319241</v>
      </c>
      <c r="Z145">
        <v>0.5560000000000076</v>
      </c>
      <c r="AA145">
        <v>0.48479427598735758</v>
      </c>
      <c r="AB145">
        <v>1.3263163504583195</v>
      </c>
      <c r="AC145">
        <v>0.82218708984607813</v>
      </c>
      <c r="AD145">
        <v>0.27789776817854484</v>
      </c>
      <c r="AE145">
        <v>1.5679296629683819</v>
      </c>
      <c r="AF145">
        <v>9.3763365644047969E-2</v>
      </c>
      <c r="AG145">
        <v>-0.14100054810902496</v>
      </c>
      <c r="AH145">
        <v>2.4687224669603727</v>
      </c>
      <c r="AI145">
        <v>2.8079861111111217</v>
      </c>
      <c r="AJ145">
        <v>-0.14404872011098557</v>
      </c>
      <c r="AK145">
        <v>3.103759799101292</v>
      </c>
      <c r="AL145">
        <v>1.4775472715290672E-2</v>
      </c>
      <c r="AM145">
        <v>0.67324989579449124</v>
      </c>
      <c r="AN145">
        <v>7.6782582702273228E-2</v>
      </c>
      <c r="AO145">
        <v>2.4318181818185458E-2</v>
      </c>
      <c r="AP145">
        <v>-0.36169389637830085</v>
      </c>
      <c r="AQ145">
        <v>9.4087635054021623E-2</v>
      </c>
      <c r="AR145">
        <v>2.1746104819999612E-2</v>
      </c>
      <c r="AS145">
        <v>0.28741659579464862</v>
      </c>
      <c r="AT145">
        <v>0.43199999999999505</v>
      </c>
      <c r="AU145">
        <v>0.10342403855808757</v>
      </c>
      <c r="AV145">
        <v>0.36844845146931204</v>
      </c>
      <c r="AW145">
        <v>8.4997352909859991E-2</v>
      </c>
      <c r="AX145">
        <v>2.7233265830383706</v>
      </c>
      <c r="AY145">
        <v>-2.0803987730419804E-2</v>
      </c>
      <c r="AZ145">
        <v>1.4560582338905537</v>
      </c>
      <c r="BA145">
        <v>1.3043750000000114</v>
      </c>
      <c r="BB145">
        <v>0.47803738399590556</v>
      </c>
      <c r="BC145">
        <v>0</v>
      </c>
      <c r="BD145">
        <v>0.41504491017963918</v>
      </c>
      <c r="BE145">
        <v>1.9496279933692433</v>
      </c>
      <c r="BF145">
        <v>2.2034156028368712</v>
      </c>
      <c r="BG145">
        <v>2.2848416442048536</v>
      </c>
    </row>
    <row r="146" spans="1:59" x14ac:dyDescent="0.25">
      <c r="A146" s="3">
        <v>43496</v>
      </c>
      <c r="B146">
        <v>11.17727160188165</v>
      </c>
      <c r="C146">
        <v>0.23760000000000114</v>
      </c>
      <c r="D146">
        <v>0.35127017995893262</v>
      </c>
      <c r="E146">
        <v>0.46322769380790274</v>
      </c>
      <c r="F146">
        <v>1.2576790971540754</v>
      </c>
      <c r="G146">
        <v>2.0132922713842247</v>
      </c>
      <c r="H146">
        <v>0.13459999999999694</v>
      </c>
      <c r="I146">
        <v>0.30390000000000161</v>
      </c>
      <c r="J146">
        <v>0.41315013089417563</v>
      </c>
      <c r="K146">
        <v>3.161412358133683</v>
      </c>
      <c r="L146">
        <v>1.291796888886207</v>
      </c>
      <c r="M146">
        <v>0.22046728971963137</v>
      </c>
      <c r="N146">
        <v>0.47093425605536687</v>
      </c>
      <c r="O146">
        <v>0.66812443137945565</v>
      </c>
      <c r="P146">
        <v>0.34786416307681023</v>
      </c>
      <c r="Q146">
        <v>0.61100000000000354</v>
      </c>
      <c r="R146">
        <v>0.52836513280956443</v>
      </c>
      <c r="S146">
        <v>1.3835130727849476E-2</v>
      </c>
      <c r="T146">
        <v>1.4883931771461523E-2</v>
      </c>
      <c r="U146">
        <v>0.70815334365516835</v>
      </c>
      <c r="V146">
        <v>-0.31170304238853996</v>
      </c>
      <c r="W146">
        <v>1.3017293553860063</v>
      </c>
      <c r="X146">
        <v>1.1491999804276638</v>
      </c>
      <c r="Y146">
        <v>0.3969909608704778</v>
      </c>
      <c r="Z146">
        <v>0.65140000000000731</v>
      </c>
      <c r="AA146">
        <v>0.49346360308533721</v>
      </c>
      <c r="AB146">
        <v>1.471168194414834</v>
      </c>
      <c r="AC146">
        <v>0.37391122777711283</v>
      </c>
      <c r="AD146">
        <v>0.42805718399670756</v>
      </c>
      <c r="AE146">
        <v>1.7661712371781362</v>
      </c>
      <c r="AF146">
        <v>0.12067552713100738</v>
      </c>
      <c r="AG146">
        <v>-9.0210772833725916E-2</v>
      </c>
      <c r="AH146">
        <v>2.769701419481176</v>
      </c>
      <c r="AI146">
        <v>3.3316358024691457</v>
      </c>
      <c r="AJ146">
        <v>-0.11846114088299986</v>
      </c>
      <c r="AK146">
        <v>3.4243632787861547</v>
      </c>
      <c r="AL146">
        <v>2.7134955973082686E-2</v>
      </c>
      <c r="AM146">
        <v>0.73174288033446722</v>
      </c>
      <c r="AN146">
        <v>8.8833200478279917E-2</v>
      </c>
      <c r="AO146">
        <v>6.2500000000036415E-3</v>
      </c>
      <c r="AP146">
        <v>-0.36014641549861759</v>
      </c>
      <c r="AQ146">
        <v>9.6338535414165927E-2</v>
      </c>
      <c r="AR146">
        <v>3.104399437386185E-2</v>
      </c>
      <c r="AS146">
        <v>0.29745844524184695</v>
      </c>
      <c r="AT146">
        <v>0.46199999999999486</v>
      </c>
      <c r="AU146">
        <v>8.8964755497539683E-2</v>
      </c>
      <c r="AV146">
        <v>0.37199441699045588</v>
      </c>
      <c r="AW146">
        <v>4.9300939999125548E-2</v>
      </c>
      <c r="AX146">
        <v>2.4049053739611055</v>
      </c>
      <c r="AY146">
        <v>1.0457659933779562E-2</v>
      </c>
      <c r="AZ146">
        <v>1.6355120911101046</v>
      </c>
      <c r="BA146">
        <v>1.4550000000000116</v>
      </c>
      <c r="BB146">
        <v>0.49178313166706755</v>
      </c>
      <c r="BC146">
        <v>0</v>
      </c>
      <c r="BD146">
        <v>0.44320733532933931</v>
      </c>
      <c r="BE146">
        <v>1.9935439240233999</v>
      </c>
      <c r="BF146">
        <v>2.6967148936170142</v>
      </c>
      <c r="BG146">
        <v>2.6352291105121313</v>
      </c>
    </row>
    <row r="147" spans="1:59" x14ac:dyDescent="0.25">
      <c r="A147" s="3">
        <v>43524</v>
      </c>
      <c r="B147">
        <v>12.402327308739789</v>
      </c>
      <c r="C147">
        <v>0.25390000000000112</v>
      </c>
      <c r="D147">
        <v>0.4537219694834711</v>
      </c>
      <c r="E147">
        <v>0.45510970258410954</v>
      </c>
      <c r="F147">
        <v>1.4417566241413176</v>
      </c>
      <c r="G147">
        <v>2.0283587327411454</v>
      </c>
      <c r="H147">
        <v>0.14869999999999695</v>
      </c>
      <c r="I147">
        <v>0.30980000000000163</v>
      </c>
      <c r="J147">
        <v>0.43235314771543898</v>
      </c>
      <c r="K147">
        <v>3.6469104665826126</v>
      </c>
      <c r="L147">
        <v>1.4113153929718973</v>
      </c>
      <c r="M147">
        <v>0.26757009345794991</v>
      </c>
      <c r="N147">
        <v>0.56349480968858545</v>
      </c>
      <c r="O147">
        <v>0.67863361529714616</v>
      </c>
      <c r="P147">
        <v>0.36993426451219258</v>
      </c>
      <c r="Q147">
        <v>0.68400000000000438</v>
      </c>
      <c r="R147">
        <v>0.75472876917320053</v>
      </c>
      <c r="S147">
        <v>2.0259681501958005E-2</v>
      </c>
      <c r="T147">
        <v>2.5789928226183756E-2</v>
      </c>
      <c r="U147">
        <v>0.68663061152511329</v>
      </c>
      <c r="V147">
        <v>-0.2947256727831542</v>
      </c>
      <c r="W147">
        <v>1.3468037186597765</v>
      </c>
      <c r="X147">
        <v>1.2737975240984576</v>
      </c>
      <c r="Y147">
        <v>0.3957997577553316</v>
      </c>
      <c r="Z147">
        <v>0.70430000000000637</v>
      </c>
      <c r="AA147">
        <v>0.50144488835014411</v>
      </c>
      <c r="AB147">
        <v>1.5188126199104626</v>
      </c>
      <c r="AC147">
        <v>0.21802290896074217</v>
      </c>
      <c r="AD147">
        <v>0.50134732078576416</v>
      </c>
      <c r="AE147">
        <v>1.86435001046681</v>
      </c>
      <c r="AF147">
        <v>0.12312281403017789</v>
      </c>
      <c r="AG147">
        <v>-0.10553689770292707</v>
      </c>
      <c r="AH147">
        <v>2.8850709740577809</v>
      </c>
      <c r="AI147">
        <v>3.4520833333333441</v>
      </c>
      <c r="AJ147">
        <v>-0.12296659503277829</v>
      </c>
      <c r="AK147">
        <v>3.6457671408367478</v>
      </c>
      <c r="AL147">
        <v>2.7134955973082686E-2</v>
      </c>
      <c r="AM147">
        <v>0.72926701997299159</v>
      </c>
      <c r="AN147">
        <v>9.2416301315267013E-2</v>
      </c>
      <c r="AO147">
        <v>7.0681818181822287E-2</v>
      </c>
      <c r="AP147">
        <v>-0.35571228759337092</v>
      </c>
      <c r="AQ147">
        <v>9.8729491796718971E-2</v>
      </c>
      <c r="AR147">
        <v>3.7642975136982448E-2</v>
      </c>
      <c r="AS147">
        <v>0.30848684202640264</v>
      </c>
      <c r="AT147">
        <v>0.47199999999999442</v>
      </c>
      <c r="AU147">
        <v>7.0589416608092925E-2</v>
      </c>
      <c r="AV147">
        <v>0.38432230563204905</v>
      </c>
      <c r="AW147">
        <v>3.5764957873136938E-2</v>
      </c>
      <c r="AX147">
        <v>2.3780570426729719</v>
      </c>
      <c r="AY147">
        <v>2.4555234425120531E-2</v>
      </c>
      <c r="AZ147">
        <v>1.7647082129579261</v>
      </c>
      <c r="BA147">
        <v>1.4445000000000112</v>
      </c>
      <c r="BB147">
        <v>0.49775026419373591</v>
      </c>
      <c r="BC147">
        <v>0</v>
      </c>
      <c r="BD147">
        <v>0.45930014970059618</v>
      </c>
      <c r="BE147">
        <v>1.9905815350770144</v>
      </c>
      <c r="BF147">
        <v>2.7644170212765871</v>
      </c>
      <c r="BG147">
        <v>2.8888948787062003</v>
      </c>
    </row>
    <row r="148" spans="1:59" x14ac:dyDescent="0.25">
      <c r="A148" s="3">
        <v>43555</v>
      </c>
      <c r="B148">
        <v>12.38747214657093</v>
      </c>
      <c r="C148">
        <v>0.25660000000000149</v>
      </c>
      <c r="D148">
        <v>0.52539957325173936</v>
      </c>
      <c r="E148">
        <v>0.42433690882496777</v>
      </c>
      <c r="F148">
        <v>1.4506722276741928</v>
      </c>
      <c r="G148">
        <v>2.0313870914738863</v>
      </c>
      <c r="H148">
        <v>0.17299999999999716</v>
      </c>
      <c r="I148">
        <v>0.33090000000000153</v>
      </c>
      <c r="J148">
        <v>0.45658757637520075</v>
      </c>
      <c r="K148">
        <v>3.7742749054224616</v>
      </c>
      <c r="L148">
        <v>1.443160948078503</v>
      </c>
      <c r="M148">
        <v>0.15308411214953743</v>
      </c>
      <c r="N148">
        <v>0.43875432525951963</v>
      </c>
      <c r="O148">
        <v>0.68736251009669158</v>
      </c>
      <c r="P148">
        <v>0.37724860584221132</v>
      </c>
      <c r="Q148">
        <v>0.68500000000000449</v>
      </c>
      <c r="R148">
        <v>0.7959783015338433</v>
      </c>
      <c r="S148">
        <v>3.4810286758094833E-2</v>
      </c>
      <c r="T148">
        <v>4.9803892197348265E-2</v>
      </c>
      <c r="U148">
        <v>0.68376333948552048</v>
      </c>
      <c r="V148">
        <v>-0.30681838971112829</v>
      </c>
      <c r="W148">
        <v>1.393584617368961</v>
      </c>
      <c r="X148">
        <v>1.3640358173900364</v>
      </c>
      <c r="Y148">
        <v>0.39178570356059494</v>
      </c>
      <c r="Z148">
        <v>0.74870000000000658</v>
      </c>
      <c r="AA148">
        <v>0.50928856524831656</v>
      </c>
      <c r="AB148">
        <v>1.6331805585163028</v>
      </c>
      <c r="AC148">
        <v>0.1346498031261163</v>
      </c>
      <c r="AD148">
        <v>0.53142034351537348</v>
      </c>
      <c r="AE148">
        <v>1.907263973204929</v>
      </c>
      <c r="AF148">
        <v>0.14186269611271984</v>
      </c>
      <c r="AG148">
        <v>-0.11815835367980654</v>
      </c>
      <c r="AH148">
        <v>3.0257464512971355</v>
      </c>
      <c r="AI148">
        <v>3.4149691358024832</v>
      </c>
      <c r="AJ148">
        <v>-0.13605791463779482</v>
      </c>
      <c r="AK148">
        <v>3.755235002135147</v>
      </c>
      <c r="AL148">
        <v>4.2309765788788312E-2</v>
      </c>
      <c r="AM148">
        <v>0.77974166434228986</v>
      </c>
      <c r="AN148">
        <v>0.10268134715026145</v>
      </c>
      <c r="AO148">
        <v>0.1043181818181862</v>
      </c>
      <c r="AP148">
        <v>-0.35922387882034479</v>
      </c>
      <c r="AQ148">
        <v>0.10117046818727515</v>
      </c>
      <c r="AR148">
        <v>4.2364961371784027E-2</v>
      </c>
      <c r="AS148">
        <v>0.31293569728929249</v>
      </c>
      <c r="AT148">
        <v>0.48399999999999466</v>
      </c>
      <c r="AU148">
        <v>5.030625564815705E-2</v>
      </c>
      <c r="AV148">
        <v>0.39057678524274753</v>
      </c>
      <c r="AW148">
        <v>1.9607024530316153E-2</v>
      </c>
      <c r="AX148">
        <v>2.8822687042641211</v>
      </c>
      <c r="AY148">
        <v>3.4835481662279122E-2</v>
      </c>
      <c r="AZ148">
        <v>1.8699297967308941</v>
      </c>
      <c r="BA148">
        <v>1.2903750000000103</v>
      </c>
      <c r="BB148">
        <v>0.48531893700092787</v>
      </c>
      <c r="BC148">
        <v>0</v>
      </c>
      <c r="BD148">
        <v>0.47950973053891932</v>
      </c>
      <c r="BE148">
        <v>2.0717224575660471</v>
      </c>
      <c r="BF148">
        <v>2.7175460992907721</v>
      </c>
      <c r="BG148">
        <v>3.001802560646901</v>
      </c>
    </row>
    <row r="149" spans="1:59" x14ac:dyDescent="0.25">
      <c r="A149" s="3">
        <v>43585</v>
      </c>
      <c r="B149">
        <v>12.481554840307005</v>
      </c>
      <c r="C149">
        <v>0.29540000000000122</v>
      </c>
      <c r="D149">
        <v>0.44023108820805801</v>
      </c>
      <c r="E149">
        <v>0.44987079473428015</v>
      </c>
      <c r="F149">
        <v>1.4763689892051044</v>
      </c>
      <c r="G149">
        <v>2.0344184785653598</v>
      </c>
      <c r="H149">
        <v>0.18209999999999682</v>
      </c>
      <c r="I149">
        <v>0.33630000000000226</v>
      </c>
      <c r="J149">
        <v>0.47062386221316399</v>
      </c>
      <c r="K149">
        <v>3.8726355611601662</v>
      </c>
      <c r="L149">
        <v>1.533774922628024</v>
      </c>
      <c r="M149">
        <v>3.8691588785051412E-2</v>
      </c>
      <c r="N149">
        <v>0.24186851211073002</v>
      </c>
      <c r="O149">
        <v>0.69039976261486569</v>
      </c>
      <c r="P149">
        <v>0.41330806232508221</v>
      </c>
      <c r="Q149">
        <v>0.80000000000000404</v>
      </c>
      <c r="R149">
        <v>0.89575383464271008</v>
      </c>
      <c r="S149">
        <v>4.1892641630864924E-2</v>
      </c>
      <c r="T149">
        <v>5.6253587848038356E-2</v>
      </c>
      <c r="U149">
        <v>0.67803854413126974</v>
      </c>
      <c r="V149">
        <v>-0.33663855399645026</v>
      </c>
      <c r="W149">
        <v>1.3503259284247311</v>
      </c>
      <c r="X149">
        <v>1.407192836522003</v>
      </c>
      <c r="Y149">
        <v>0.40178580366169681</v>
      </c>
      <c r="Z149">
        <v>0.81230000000000668</v>
      </c>
      <c r="AA149">
        <v>0.51603137521341202</v>
      </c>
      <c r="AB149">
        <v>1.4440417821360012</v>
      </c>
      <c r="AC149">
        <v>-4.1761126357253708E-3</v>
      </c>
      <c r="AD149">
        <v>0.62861256813740374</v>
      </c>
      <c r="AE149">
        <v>2.0181075989114379</v>
      </c>
      <c r="AF149">
        <v>0.14410712501249034</v>
      </c>
      <c r="AG149">
        <v>-0.12011161492849853</v>
      </c>
      <c r="AH149">
        <v>3.231130690161554</v>
      </c>
      <c r="AI149">
        <v>3.2025077160493982</v>
      </c>
      <c r="AJ149">
        <v>-0.14421873724871426</v>
      </c>
      <c r="AK149">
        <v>3.6168076379122001</v>
      </c>
      <c r="AL149">
        <v>4.1870494978333728E-2</v>
      </c>
      <c r="AM149">
        <v>0.78958399277926938</v>
      </c>
      <c r="AN149">
        <v>0.10645277002790188</v>
      </c>
      <c r="AO149">
        <v>6.2954545454549482E-2</v>
      </c>
      <c r="AP149">
        <v>-0.47171383507425024</v>
      </c>
      <c r="AQ149">
        <v>0.10554221688675525</v>
      </c>
      <c r="AR149">
        <v>5.3886927783766581E-2</v>
      </c>
      <c r="AS149">
        <v>0.32462082499516698</v>
      </c>
      <c r="AT149">
        <v>0.49699999999999478</v>
      </c>
      <c r="AU149">
        <v>2.9922683000301209E-2</v>
      </c>
      <c r="AV149">
        <v>0.3916782979365494</v>
      </c>
      <c r="AW149">
        <v>1.1552129036526582E-2</v>
      </c>
      <c r="AX149">
        <v>2.726279899480065</v>
      </c>
      <c r="AY149">
        <v>4.0194713939996962E-2</v>
      </c>
      <c r="AZ149">
        <v>1.9669822786413214</v>
      </c>
      <c r="BA149">
        <v>1.1573125000000095</v>
      </c>
      <c r="BB149">
        <v>0.49482497819773386</v>
      </c>
      <c r="BC149">
        <v>0</v>
      </c>
      <c r="BD149">
        <v>0.49288922155688386</v>
      </c>
      <c r="BE149">
        <v>2.0697100391204235</v>
      </c>
      <c r="BF149">
        <v>2.5668085106382912</v>
      </c>
      <c r="BG149">
        <v>3.3751482479784363</v>
      </c>
    </row>
    <row r="150" spans="1:59" x14ac:dyDescent="0.25">
      <c r="A150" s="3">
        <v>43616</v>
      </c>
      <c r="B150">
        <v>10.258232235701906</v>
      </c>
      <c r="C150">
        <v>0.2677000000000016</v>
      </c>
      <c r="D150">
        <v>0.3601231933652711</v>
      </c>
      <c r="E150">
        <v>0.56411262798635264</v>
      </c>
      <c r="F150">
        <v>1.1360107948969587</v>
      </c>
      <c r="G150">
        <v>2.0495905709581863</v>
      </c>
      <c r="H150">
        <v>0.18799999999999661</v>
      </c>
      <c r="I150">
        <v>0.35010000000000274</v>
      </c>
      <c r="J150">
        <v>0.47741442293407244</v>
      </c>
      <c r="K150">
        <v>3.6696090794451628</v>
      </c>
      <c r="L150">
        <v>1.4284124102547984</v>
      </c>
      <c r="M150">
        <v>2.8598130841126057E-2</v>
      </c>
      <c r="N150">
        <v>0.17768166089965698</v>
      </c>
      <c r="O150">
        <v>0.69310440223504965</v>
      </c>
      <c r="P150">
        <v>0.39308009129874</v>
      </c>
      <c r="Q150">
        <v>0.66000000000000392</v>
      </c>
      <c r="R150">
        <v>0.9042461653572631</v>
      </c>
      <c r="S150">
        <v>4.808885291880638E-2</v>
      </c>
      <c r="T150">
        <v>6.1125685596444157E-2</v>
      </c>
      <c r="U150">
        <v>0.66696348974000319</v>
      </c>
      <c r="V150">
        <v>-0.38780849234371784</v>
      </c>
      <c r="W150">
        <v>1.3015408427506987</v>
      </c>
      <c r="X150">
        <v>1.3589959387385719</v>
      </c>
      <c r="Y150">
        <v>0.40199601597613444</v>
      </c>
      <c r="Z150">
        <v>0.74020000000000552</v>
      </c>
      <c r="AA150">
        <v>0.52387505211158447</v>
      </c>
      <c r="AB150">
        <v>0.95049030057556583</v>
      </c>
      <c r="AC150">
        <v>0.17963250208805426</v>
      </c>
      <c r="AD150">
        <v>0.43552401522163664</v>
      </c>
      <c r="AE150">
        <v>1.8513711534435719</v>
      </c>
      <c r="AF150">
        <v>0.14966023783351567</v>
      </c>
      <c r="AG150">
        <v>-0.12116298769246259</v>
      </c>
      <c r="AH150">
        <v>2.932745961820876</v>
      </c>
      <c r="AI150">
        <v>2.9481867283950747</v>
      </c>
      <c r="AJ150">
        <v>-0.13329343597834586</v>
      </c>
      <c r="AK150">
        <v>3.5313688771532687</v>
      </c>
      <c r="AL150">
        <v>5.231316015414178E-2</v>
      </c>
      <c r="AM150">
        <v>0.81333031424623292</v>
      </c>
      <c r="AN150">
        <v>0.11005878836189953</v>
      </c>
      <c r="AO150">
        <v>4.6250000000004121E-2</v>
      </c>
      <c r="AP150">
        <v>-0.50310984138321091</v>
      </c>
      <c r="AQ150">
        <v>0.11081432573029271</v>
      </c>
      <c r="AR150">
        <v>5.9959910080240597E-2</v>
      </c>
      <c r="AS150">
        <v>0.33760210908011956</v>
      </c>
      <c r="AT150">
        <v>0.50399999999999423</v>
      </c>
      <c r="AU150">
        <v>6.376142182950062E-2</v>
      </c>
      <c r="AV150">
        <v>0.39970576030781957</v>
      </c>
      <c r="AW150">
        <v>4.47310388689246E-2</v>
      </c>
      <c r="AX150">
        <v>2.9786542135885208</v>
      </c>
      <c r="AY150">
        <v>4.6317292112334485E-2</v>
      </c>
      <c r="AZ150">
        <v>1.8186953209190779</v>
      </c>
      <c r="BA150">
        <v>1.0627500000000087</v>
      </c>
      <c r="BB150">
        <v>0.49437653070427467</v>
      </c>
      <c r="BC150">
        <v>0</v>
      </c>
      <c r="BD150">
        <v>0.49859655688622495</v>
      </c>
      <c r="BE150">
        <v>2.1459145953583523</v>
      </c>
      <c r="BF150">
        <v>2.3703546099290702</v>
      </c>
      <c r="BG150">
        <v>2.6969541778975734</v>
      </c>
    </row>
    <row r="151" spans="1:59" x14ac:dyDescent="0.25">
      <c r="A151" s="3">
        <v>43646</v>
      </c>
      <c r="B151">
        <v>11.971527605843018</v>
      </c>
      <c r="C151">
        <v>0.30850000000000244</v>
      </c>
      <c r="D151">
        <v>0.52286726518780857</v>
      </c>
      <c r="E151">
        <v>0.64194783032667502</v>
      </c>
      <c r="F151">
        <v>1.5162217860647695</v>
      </c>
      <c r="G151">
        <v>2.0617889332420192</v>
      </c>
      <c r="H151">
        <v>0.20319999999999605</v>
      </c>
      <c r="I151">
        <v>0.36970000000000258</v>
      </c>
      <c r="J151">
        <v>0.51262200406312775</v>
      </c>
      <c r="K151">
        <v>3.8549810844893013</v>
      </c>
      <c r="L151">
        <v>1.6386327873733255</v>
      </c>
      <c r="M151">
        <v>7.4579439252340896E-2</v>
      </c>
      <c r="N151">
        <v>0.19359861591695871</v>
      </c>
      <c r="O151">
        <v>0.70529475393114227</v>
      </c>
      <c r="P151">
        <v>0.44819722419515018</v>
      </c>
      <c r="Q151">
        <v>0.79800000000000493</v>
      </c>
      <c r="R151">
        <v>1.0836775158997227</v>
      </c>
      <c r="S151">
        <v>5.5129211364020048E-2</v>
      </c>
      <c r="T151">
        <v>7.3690295373485704E-2</v>
      </c>
      <c r="U151">
        <v>0.67413143274588516</v>
      </c>
      <c r="V151">
        <v>-0.37059329320722212</v>
      </c>
      <c r="W151">
        <v>1.2787605790314434</v>
      </c>
      <c r="X151">
        <v>1.4692175955375149</v>
      </c>
      <c r="Y151">
        <v>0.41410824933182377</v>
      </c>
      <c r="Z151">
        <v>0.83740000000000503</v>
      </c>
      <c r="AA151">
        <v>0.5318563373763916</v>
      </c>
      <c r="AB151">
        <v>0.88099552334256792</v>
      </c>
      <c r="AC151">
        <v>8.2329077675680207E-3</v>
      </c>
      <c r="AD151">
        <v>0.56021803969967876</v>
      </c>
      <c r="AE151">
        <v>2.0274230688716628</v>
      </c>
      <c r="AF151">
        <v>0.18487158988707741</v>
      </c>
      <c r="AG151">
        <v>-7.0978125467139774E-2</v>
      </c>
      <c r="AH151">
        <v>3.1935389133627305</v>
      </c>
      <c r="AI151">
        <v>3.3115740740740893</v>
      </c>
      <c r="AJ151">
        <v>-5.9040151247244599E-2</v>
      </c>
      <c r="AK151">
        <v>3.9493169522003777</v>
      </c>
      <c r="AL151">
        <v>6.2895593315094089E-2</v>
      </c>
      <c r="AM151">
        <v>0.8762242189287428</v>
      </c>
      <c r="AN151">
        <v>0.12169091271423094</v>
      </c>
      <c r="AO151">
        <v>4.1022727272731929E-2</v>
      </c>
      <c r="AP151">
        <v>-0.51528137368687443</v>
      </c>
      <c r="AQ151">
        <v>0.11515606242497056</v>
      </c>
      <c r="AR151">
        <v>6.5842892930587205E-2</v>
      </c>
      <c r="AS151">
        <v>0.36127766641083769</v>
      </c>
      <c r="AT151">
        <v>0.52499999999999458</v>
      </c>
      <c r="AU151">
        <v>4.5988553067576765E-2</v>
      </c>
      <c r="AV151">
        <v>0.42757554038251122</v>
      </c>
      <c r="AW151">
        <v>4.1178953336770352E-2</v>
      </c>
      <c r="AX151">
        <v>2.8830741542027649</v>
      </c>
      <c r="AY151">
        <v>5.4786389725439255E-2</v>
      </c>
      <c r="AZ151">
        <v>1.9860731145157411</v>
      </c>
      <c r="BA151">
        <v>0.92618750000000838</v>
      </c>
      <c r="BB151">
        <v>0.49542259427576751</v>
      </c>
      <c r="BC151">
        <v>0</v>
      </c>
      <c r="BD151">
        <v>0.51487649700598537</v>
      </c>
      <c r="BE151">
        <v>2.1886477844769194</v>
      </c>
      <c r="BF151">
        <v>2.7314326241134657</v>
      </c>
      <c r="BG151">
        <v>3.1466981132075453</v>
      </c>
    </row>
    <row r="152" spans="1:59" x14ac:dyDescent="0.25">
      <c r="A152" s="3">
        <v>43677</v>
      </c>
      <c r="B152">
        <v>10.219608814062877</v>
      </c>
      <c r="C152">
        <v>0.32140000000000191</v>
      </c>
      <c r="D152">
        <v>0.48745118563549128</v>
      </c>
      <c r="E152">
        <v>0.69219405168211123</v>
      </c>
      <c r="F152">
        <v>1.5413984298331709</v>
      </c>
      <c r="G152">
        <v>2.0893450336411972</v>
      </c>
      <c r="H152">
        <v>0.20629999999999615</v>
      </c>
      <c r="I152">
        <v>0.37910000000000355</v>
      </c>
      <c r="J152">
        <v>0.52455469228646234</v>
      </c>
      <c r="K152">
        <v>3.9672131147541165</v>
      </c>
      <c r="L152">
        <v>1.6704862729586374</v>
      </c>
      <c r="M152">
        <v>4.7850467289723975E-2</v>
      </c>
      <c r="N152">
        <v>0.13806228373702756</v>
      </c>
      <c r="O152">
        <v>0.71518546350394296</v>
      </c>
      <c r="P152">
        <v>0.45981151164039025</v>
      </c>
      <c r="Q152">
        <v>0.73500000000000432</v>
      </c>
      <c r="R152">
        <v>1.1865170220725618</v>
      </c>
      <c r="S152">
        <v>6.0139496490970945E-2</v>
      </c>
      <c r="T152">
        <v>8.0551490392172465E-2</v>
      </c>
      <c r="U152">
        <v>0.68752448420785228</v>
      </c>
      <c r="V152">
        <v>-0.37084941731764876</v>
      </c>
      <c r="W152">
        <v>1.2609709392890114</v>
      </c>
      <c r="X152">
        <v>1.4896804814796791</v>
      </c>
      <c r="Y152">
        <v>0.41416830999309173</v>
      </c>
      <c r="Z152">
        <v>0.84860000000000557</v>
      </c>
      <c r="AA152">
        <v>0.53970001427456382</v>
      </c>
      <c r="AB152">
        <v>1.1338200810061783</v>
      </c>
      <c r="AC152">
        <v>-8.5222527144733662E-2</v>
      </c>
      <c r="AD152">
        <v>0.58078782268846907</v>
      </c>
      <c r="AE152">
        <v>2.1140883399623029</v>
      </c>
      <c r="AF152">
        <v>0.18652543219746009</v>
      </c>
      <c r="AG152">
        <v>-6.3609547062635441E-2</v>
      </c>
      <c r="AH152">
        <v>3.3673519334312578</v>
      </c>
      <c r="AI152">
        <v>3.1756172839506327</v>
      </c>
      <c r="AJ152">
        <v>-4.8584097277004301E-2</v>
      </c>
      <c r="AK152">
        <v>4.0644556577199955</v>
      </c>
      <c r="AL152">
        <v>6.4972146237243011E-2</v>
      </c>
      <c r="AM152">
        <v>0.88300384541856802</v>
      </c>
      <c r="AN152">
        <v>0.12466121960940812</v>
      </c>
      <c r="AO152">
        <v>8.3977272727277619E-2</v>
      </c>
      <c r="AP152">
        <v>-0.47150552034044668</v>
      </c>
      <c r="AQ152">
        <v>0.11778711484593885</v>
      </c>
      <c r="AR152">
        <v>7.7432859144341837E-2</v>
      </c>
      <c r="AS152">
        <v>0.37666010404128025</v>
      </c>
      <c r="AT152">
        <v>0.52899999999999414</v>
      </c>
      <c r="AU152">
        <v>7.1894768551059363E-2</v>
      </c>
      <c r="AV152">
        <v>0.43123467501603185</v>
      </c>
      <c r="AW152">
        <v>3.1183635384737229E-2</v>
      </c>
      <c r="AX152">
        <v>2.4862558177641501</v>
      </c>
      <c r="AY152">
        <v>5.8631818095501442E-2</v>
      </c>
      <c r="AZ152">
        <v>2.0298488451487131</v>
      </c>
      <c r="BA152">
        <v>1.0954375000000085</v>
      </c>
      <c r="BB152">
        <v>0.507984144067684</v>
      </c>
      <c r="BC152">
        <v>0</v>
      </c>
      <c r="BD152">
        <v>0.52797529940119525</v>
      </c>
      <c r="BE152">
        <v>2.2111939283767583</v>
      </c>
      <c r="BF152">
        <v>2.6498439716311961</v>
      </c>
      <c r="BG152">
        <v>3.4067621293800512</v>
      </c>
    </row>
    <row r="153" spans="1:59" x14ac:dyDescent="0.25">
      <c r="A153" s="3">
        <v>43708</v>
      </c>
      <c r="B153">
        <v>8.9787076008913029</v>
      </c>
      <c r="C153">
        <v>0.33280000000000132</v>
      </c>
      <c r="D153">
        <v>0.45035226860984667</v>
      </c>
      <c r="E153">
        <v>0.71202827888835252</v>
      </c>
      <c r="F153">
        <v>1.3242836113837098</v>
      </c>
      <c r="G153">
        <v>2.1047917588094029</v>
      </c>
      <c r="H153">
        <v>0.2058999999999962</v>
      </c>
      <c r="I153">
        <v>0.3918000000000037</v>
      </c>
      <c r="J153">
        <v>0.558519797631438</v>
      </c>
      <c r="K153">
        <v>3.9356872635561331</v>
      </c>
      <c r="L153">
        <v>1.6958364701092874</v>
      </c>
      <c r="M153">
        <v>-2.6915887850463061E-2</v>
      </c>
      <c r="N153">
        <v>5.761245674740767E-2</v>
      </c>
      <c r="O153">
        <v>0.72153164971890771</v>
      </c>
      <c r="P153">
        <v>0.46834934279288443</v>
      </c>
      <c r="Q153">
        <v>0.64800000000000413</v>
      </c>
      <c r="R153">
        <v>1.2991732136176424</v>
      </c>
      <c r="S153">
        <v>7.4751459011794141E-2</v>
      </c>
      <c r="T153">
        <v>9.6030292144489326E-2</v>
      </c>
      <c r="U153">
        <v>0.75063789991722607</v>
      </c>
      <c r="V153">
        <v>-0.3669892610819413</v>
      </c>
      <c r="W153">
        <v>1.3099147724454072</v>
      </c>
      <c r="X153">
        <v>1.4788080442335074</v>
      </c>
      <c r="Y153">
        <v>0.42522948177659314</v>
      </c>
      <c r="Z153">
        <v>0.8564000000000056</v>
      </c>
      <c r="AA153">
        <v>0.54768129953937073</v>
      </c>
      <c r="AB153">
        <v>1.1969196333404359</v>
      </c>
      <c r="AC153">
        <v>4.7011096527859175E-2</v>
      </c>
      <c r="AD153">
        <v>0.49157667386608939</v>
      </c>
      <c r="AE153">
        <v>2.0236550136068505</v>
      </c>
      <c r="AF153">
        <v>0.20637553712401102</v>
      </c>
      <c r="AG153">
        <v>-9.0597438836016897E-2</v>
      </c>
      <c r="AH153">
        <v>3.1989231522271462</v>
      </c>
      <c r="AI153">
        <v>3.0677469135802609</v>
      </c>
      <c r="AJ153">
        <v>1.8317646418760658E-2</v>
      </c>
      <c r="AK153">
        <v>4.1249035270888159</v>
      </c>
      <c r="AL153">
        <v>7.4915640037534814E-2</v>
      </c>
      <c r="AM153">
        <v>0.94953867513265311</v>
      </c>
      <c r="AN153">
        <v>0.13346353128736754</v>
      </c>
      <c r="AO153">
        <v>0.14829545454545978</v>
      </c>
      <c r="AP153">
        <v>-0.49251554920691665</v>
      </c>
      <c r="AQ153">
        <v>0.12209883953581491</v>
      </c>
      <c r="AR153">
        <v>7.7934857680951541E-2</v>
      </c>
      <c r="AS153">
        <v>0.37721076808289666</v>
      </c>
      <c r="AT153">
        <v>0.51599999999999424</v>
      </c>
      <c r="AU153">
        <v>0.24871975097901444</v>
      </c>
      <c r="AV153">
        <v>0.43334716511373439</v>
      </c>
      <c r="AW153">
        <v>6.737818098674131E-2</v>
      </c>
      <c r="AX153">
        <v>2.1399123441472265</v>
      </c>
      <c r="AY153">
        <v>6.3358281886256362E-2</v>
      </c>
      <c r="AZ153">
        <v>2.0706943544614247</v>
      </c>
      <c r="BA153">
        <v>1.0344375000000081</v>
      </c>
      <c r="BB153">
        <v>0.51039691869819226</v>
      </c>
      <c r="BC153">
        <v>0</v>
      </c>
      <c r="BD153">
        <v>0.50711077844311125</v>
      </c>
      <c r="BE153">
        <v>2.2705159053637098</v>
      </c>
      <c r="BF153">
        <v>2.5604425531914785</v>
      </c>
      <c r="BG153">
        <v>3.3062735849056581</v>
      </c>
    </row>
    <row r="154" spans="1:59" x14ac:dyDescent="0.25">
      <c r="A154" s="3">
        <v>43738</v>
      </c>
      <c r="B154">
        <v>8.6994305521168567</v>
      </c>
      <c r="C154">
        <v>0.35080000000000178</v>
      </c>
      <c r="D154">
        <v>0.33061314867748215</v>
      </c>
      <c r="E154">
        <v>0.75583617747440845</v>
      </c>
      <c r="F154">
        <v>1.2492885181550548</v>
      </c>
      <c r="G154">
        <v>2.1141061340858309</v>
      </c>
      <c r="H154">
        <v>0.20899999999999608</v>
      </c>
      <c r="I154">
        <v>0.39030000000000364</v>
      </c>
      <c r="J154">
        <v>0.55522293119447452</v>
      </c>
      <c r="K154">
        <v>3.6078184110971145</v>
      </c>
      <c r="L154">
        <v>1.7093156524598334</v>
      </c>
      <c r="M154">
        <v>-1.4205607476631354E-2</v>
      </c>
      <c r="N154">
        <v>-1.8512110726640829E-2</v>
      </c>
      <c r="O154">
        <v>0.73237729911213667</v>
      </c>
      <c r="P154">
        <v>0.49011898980326452</v>
      </c>
      <c r="Q154">
        <v>0.66700000000000403</v>
      </c>
      <c r="R154">
        <v>1.2144818555929517</v>
      </c>
      <c r="S154">
        <v>7.9766508156147831E-2</v>
      </c>
      <c r="T154">
        <v>9.5102328653225099E-2</v>
      </c>
      <c r="U154">
        <v>0.73400683986801241</v>
      </c>
      <c r="V154">
        <v>-0.35743949067891145</v>
      </c>
      <c r="W154">
        <v>1.3339253291529856</v>
      </c>
      <c r="X154">
        <v>1.4281743895875221</v>
      </c>
      <c r="Y154">
        <v>0.42525951210722712</v>
      </c>
      <c r="Z154">
        <v>0.84170000000000589</v>
      </c>
      <c r="AA154">
        <v>0.55566258480417741</v>
      </c>
      <c r="AB154">
        <v>0.89048177360903491</v>
      </c>
      <c r="AC154">
        <v>-7.9405798830689656E-2</v>
      </c>
      <c r="AD154">
        <v>0.55147588192944452</v>
      </c>
      <c r="AE154">
        <v>2.0864559346870242</v>
      </c>
      <c r="AF154">
        <v>0.19826521434995303</v>
      </c>
      <c r="AG154">
        <v>-8.5662464497485158E-2</v>
      </c>
      <c r="AH154">
        <v>3.2449339207048755</v>
      </c>
      <c r="AI154">
        <v>2.9349151234568027</v>
      </c>
      <c r="AJ154">
        <v>-2.2656483773562441E-2</v>
      </c>
      <c r="AK154">
        <v>4.0872389354875409</v>
      </c>
      <c r="AL154">
        <v>7.5394844558030805E-2</v>
      </c>
      <c r="AM154">
        <v>0.93257903165654477</v>
      </c>
      <c r="AN154">
        <v>0.13345057791949166</v>
      </c>
      <c r="AO154">
        <v>0.13897727272727778</v>
      </c>
      <c r="AP154">
        <v>-0.51647174359432269</v>
      </c>
      <c r="AQ154">
        <v>0.1264005602240903</v>
      </c>
      <c r="AR154">
        <v>8.0258850906211876E-2</v>
      </c>
      <c r="AS154">
        <v>0.37418090439311436</v>
      </c>
      <c r="AT154">
        <v>0.52699999999999481</v>
      </c>
      <c r="AU154">
        <v>0.16718546038758908</v>
      </c>
      <c r="AV154">
        <v>0.44731977818853919</v>
      </c>
      <c r="AW154">
        <v>4.7631684638486549E-2</v>
      </c>
      <c r="AX154">
        <v>2.386916991998056</v>
      </c>
      <c r="AY154">
        <v>6.9969569678820953E-2</v>
      </c>
      <c r="AZ154">
        <v>2.0904067524340828</v>
      </c>
      <c r="BA154">
        <v>0.76175000000000725</v>
      </c>
      <c r="BB154">
        <v>0.51220939500063012</v>
      </c>
      <c r="BC154">
        <v>0</v>
      </c>
      <c r="BD154">
        <v>0.50916916167664406</v>
      </c>
      <c r="BE154">
        <v>2.2714421255143042</v>
      </c>
      <c r="BF154">
        <v>2.4134638297872244</v>
      </c>
      <c r="BG154">
        <v>3.4835377358490529</v>
      </c>
    </row>
    <row r="155" spans="1:59" x14ac:dyDescent="0.25">
      <c r="A155" s="3">
        <v>43769</v>
      </c>
      <c r="B155">
        <v>9.4382272839811741</v>
      </c>
      <c r="C155">
        <v>0.37480000000000047</v>
      </c>
      <c r="D155">
        <v>0.47100929989129958</v>
      </c>
      <c r="E155">
        <v>0.73166747927840681</v>
      </c>
      <c r="F155">
        <v>1.3195632973503453</v>
      </c>
      <c r="G155">
        <v>2.1172202402199165</v>
      </c>
      <c r="H155">
        <v>0.21929999999999561</v>
      </c>
      <c r="I155">
        <v>0.38950000000000418</v>
      </c>
      <c r="J155">
        <v>0.55677295048946385</v>
      </c>
      <c r="K155">
        <v>3.8184110970996397</v>
      </c>
      <c r="L155">
        <v>1.7824671750762486</v>
      </c>
      <c r="M155">
        <v>-1.308411214952776E-2</v>
      </c>
      <c r="N155">
        <v>-2.4740484429062404E-2</v>
      </c>
      <c r="O155">
        <v>0.73636176690009458</v>
      </c>
      <c r="P155">
        <v>0.5156950495946806</v>
      </c>
      <c r="Q155">
        <v>0.69900000000000406</v>
      </c>
      <c r="R155">
        <v>1.4698653198653036</v>
      </c>
      <c r="S155">
        <v>7.8094856025632042E-2</v>
      </c>
      <c r="T155">
        <v>9.6244164181280789E-2</v>
      </c>
      <c r="U155">
        <v>0.75360111715852107</v>
      </c>
      <c r="V155">
        <v>-0.31338614368562545</v>
      </c>
      <c r="W155">
        <v>1.3451281707329192</v>
      </c>
      <c r="X155">
        <v>1.4982335959289617</v>
      </c>
      <c r="Y155">
        <v>0.42887316189351132</v>
      </c>
      <c r="Z155">
        <v>0.89910000000000667</v>
      </c>
      <c r="AA155">
        <v>0.5641943035355228</v>
      </c>
      <c r="AB155">
        <v>0.7500532935408204</v>
      </c>
      <c r="AC155">
        <v>-0.23413077198425103</v>
      </c>
      <c r="AD155">
        <v>0.62141314409132797</v>
      </c>
      <c r="AE155">
        <v>2.140778731421376</v>
      </c>
      <c r="AF155">
        <v>0.21132107524732446</v>
      </c>
      <c r="AG155">
        <v>-5.9137973989737413E-2</v>
      </c>
      <c r="AH155">
        <v>3.4268232990700298</v>
      </c>
      <c r="AI155">
        <v>3.2449845679012457</v>
      </c>
      <c r="AJ155">
        <v>6.2464296401099073E-3</v>
      </c>
      <c r="AK155">
        <v>4.1257164460358977</v>
      </c>
      <c r="AL155">
        <v>7.8509673941255187E-2</v>
      </c>
      <c r="AM155">
        <v>0.94466530442114061</v>
      </c>
      <c r="AN155">
        <v>0.13699382223993828</v>
      </c>
      <c r="AO155">
        <v>7.6136363636407633E-3</v>
      </c>
      <c r="AP155">
        <v>-0.49406303008660024</v>
      </c>
      <c r="AQ155">
        <v>0.12941176470588323</v>
      </c>
      <c r="AR155">
        <v>9.0417821291503886E-2</v>
      </c>
      <c r="AS155">
        <v>0.38173889936727656</v>
      </c>
      <c r="AT155">
        <v>0.53599999999999426</v>
      </c>
      <c r="AU155">
        <v>0.1685912240184757</v>
      </c>
      <c r="AV155">
        <v>0.45402693424874507</v>
      </c>
      <c r="AW155">
        <v>4.6688816122311794E-2</v>
      </c>
      <c r="AX155">
        <v>2.4830340180095738</v>
      </c>
      <c r="AY155">
        <v>7.8764811316561323E-2</v>
      </c>
      <c r="AZ155">
        <v>2.1287660133538502</v>
      </c>
      <c r="BA155">
        <v>1.0200625000000092</v>
      </c>
      <c r="BB155">
        <v>0.50888253433162878</v>
      </c>
      <c r="BC155">
        <v>0</v>
      </c>
      <c r="BD155">
        <v>0.5226422155688597</v>
      </c>
      <c r="BE155">
        <v>2.292655257504566</v>
      </c>
      <c r="BF155">
        <v>2.6573673758865128</v>
      </c>
      <c r="BG155">
        <v>3.7981738544474375</v>
      </c>
    </row>
    <row r="156" spans="1:59" x14ac:dyDescent="0.25">
      <c r="A156" s="3">
        <v>43799</v>
      </c>
      <c r="B156">
        <v>10.283981183461236</v>
      </c>
      <c r="C156">
        <v>0.38389999999999969</v>
      </c>
      <c r="D156">
        <v>0.66748258786585613</v>
      </c>
      <c r="E156">
        <v>0.84056070209654532</v>
      </c>
      <c r="F156">
        <v>1.6447105004906799</v>
      </c>
      <c r="G156">
        <v>2.1265719009405761</v>
      </c>
      <c r="H156">
        <v>0.22359999999999558</v>
      </c>
      <c r="I156">
        <v>0.39410000000000345</v>
      </c>
      <c r="J156">
        <v>0.56751236989046472</v>
      </c>
      <c r="K156">
        <v>4.0126103404792071</v>
      </c>
      <c r="L156">
        <v>1.8381165185777735</v>
      </c>
      <c r="M156">
        <v>-7.0654205607471821E-2</v>
      </c>
      <c r="N156">
        <v>-5.5709342560550934E-2</v>
      </c>
      <c r="O156">
        <v>0.74295994161431489</v>
      </c>
      <c r="P156">
        <v>0.53845077817695941</v>
      </c>
      <c r="Q156">
        <v>0.81800000000000428</v>
      </c>
      <c r="R156">
        <v>1.450583613916931</v>
      </c>
      <c r="S156">
        <v>7.8869264922447613E-2</v>
      </c>
      <c r="T156">
        <v>9.4973429345561522E-2</v>
      </c>
      <c r="U156">
        <v>0.73466222509320889</v>
      </c>
      <c r="V156">
        <v>-0.31574614441740867</v>
      </c>
      <c r="W156">
        <v>1.3962519648548968</v>
      </c>
      <c r="X156">
        <v>1.5389244996819595</v>
      </c>
      <c r="Y156">
        <v>0.44694141082493211</v>
      </c>
      <c r="Z156">
        <v>0.94670000000000631</v>
      </c>
      <c r="AA156">
        <v>0.57217558880032993</v>
      </c>
      <c r="AB156">
        <v>0.8354295459390304</v>
      </c>
      <c r="AC156">
        <v>-0.35860875790478575</v>
      </c>
      <c r="AD156">
        <v>0.68723644965545483</v>
      </c>
      <c r="AE156">
        <v>2.266903914590729</v>
      </c>
      <c r="AF156">
        <v>0.20940441690816147</v>
      </c>
      <c r="AG156">
        <v>-7.8723404255320761E-2</v>
      </c>
      <c r="AH156">
        <v>3.6260401370533897</v>
      </c>
      <c r="AI156">
        <v>3.7317901234568032</v>
      </c>
      <c r="AJ156">
        <v>-2.5036723701747032E-2</v>
      </c>
      <c r="AK156">
        <v>4.3473220686926304</v>
      </c>
      <c r="AL156">
        <v>7.7850767725573089E-2</v>
      </c>
      <c r="AM156">
        <v>0.95913576803382794</v>
      </c>
      <c r="AN156">
        <v>0.13832303706656246</v>
      </c>
      <c r="AO156">
        <v>-4.1931818181814351E-2</v>
      </c>
      <c r="AP156">
        <v>-0.50066958307294085</v>
      </c>
      <c r="AQ156">
        <v>0.13250300120048109</v>
      </c>
      <c r="AR156">
        <v>9.4646808963459783E-2</v>
      </c>
      <c r="AS156">
        <v>0.37925176934841542</v>
      </c>
      <c r="AT156">
        <v>0.54199999999999382</v>
      </c>
      <c r="AU156">
        <v>9.8503865849984829E-2</v>
      </c>
      <c r="AV156">
        <v>0.46101324078614736</v>
      </c>
      <c r="AW156">
        <v>4.5537458424577348E-2</v>
      </c>
      <c r="AX156">
        <v>2.4540378202183901</v>
      </c>
      <c r="AY156">
        <v>8.7755148194494037E-2</v>
      </c>
      <c r="AZ156">
        <v>2.2072604269026317</v>
      </c>
      <c r="BA156">
        <v>0.85500000000000842</v>
      </c>
      <c r="BB156">
        <v>0.52487668919554387</v>
      </c>
      <c r="BC156">
        <v>0</v>
      </c>
      <c r="BD156">
        <v>0.52479416167664406</v>
      </c>
      <c r="BE156">
        <v>2.2954260856572803</v>
      </c>
      <c r="BF156">
        <v>3.0881730496453761</v>
      </c>
      <c r="BG156">
        <v>4.0021597035040415</v>
      </c>
    </row>
    <row r="157" spans="1:59" x14ac:dyDescent="0.25">
      <c r="A157" s="3">
        <v>43830</v>
      </c>
      <c r="B157">
        <v>9.7105719237434851</v>
      </c>
      <c r="C157">
        <v>0.41199999999999948</v>
      </c>
      <c r="D157">
        <v>0.78324409195217259</v>
      </c>
      <c r="E157">
        <v>0.92487079473428357</v>
      </c>
      <c r="F157">
        <v>1.6345632973503466</v>
      </c>
      <c r="G157">
        <v>2.1328250447424573</v>
      </c>
      <c r="H157">
        <v>0.22529999999999495</v>
      </c>
      <c r="I157">
        <v>0.40300000000000402</v>
      </c>
      <c r="J157">
        <v>0.57548389769327035</v>
      </c>
      <c r="K157">
        <v>4.1815889029003968</v>
      </c>
      <c r="L157">
        <v>1.9204218976165288</v>
      </c>
      <c r="M157">
        <v>-1.8878504672891872E-2</v>
      </c>
      <c r="N157">
        <v>-8.3044982698938785E-3</v>
      </c>
      <c r="O157">
        <v>0.75080326135157915</v>
      </c>
      <c r="P157">
        <v>0.561375943353011</v>
      </c>
      <c r="Q157">
        <v>0.8700000000000041</v>
      </c>
      <c r="R157">
        <v>1.2274971941638468</v>
      </c>
      <c r="S157">
        <v>8.3975770742314992E-2</v>
      </c>
      <c r="T157">
        <v>0.10768299067989462</v>
      </c>
      <c r="U157">
        <v>0.76918200337256382</v>
      </c>
      <c r="V157">
        <v>-0.31000164651213802</v>
      </c>
      <c r="W157">
        <v>1.458554515941124</v>
      </c>
      <c r="X157">
        <v>1.6079170132602738</v>
      </c>
      <c r="Y157">
        <v>0.45594049990490304</v>
      </c>
      <c r="Z157">
        <v>1.0023000000000071</v>
      </c>
      <c r="AA157">
        <v>0.58125774099821359</v>
      </c>
      <c r="AB157">
        <v>1.0141227883180535</v>
      </c>
      <c r="AC157">
        <v>-0.4136737859443993</v>
      </c>
      <c r="AD157">
        <v>0.74843155404710338</v>
      </c>
      <c r="AE157">
        <v>2.3525225036633692</v>
      </c>
      <c r="AF157">
        <v>0.22078345158388868</v>
      </c>
      <c r="AG157">
        <v>-4.0323882605014738E-2</v>
      </c>
      <c r="AH157">
        <v>3.7854625550661183</v>
      </c>
      <c r="AI157">
        <v>3.76809413580248</v>
      </c>
      <c r="AJ157">
        <v>1.2452055167162746E-2</v>
      </c>
      <c r="AK157">
        <v>4.4477009085103818</v>
      </c>
      <c r="AL157">
        <v>8.1604536469457978E-2</v>
      </c>
      <c r="AM157">
        <v>0.97229935345571095</v>
      </c>
      <c r="AN157">
        <v>0.14324830609804939</v>
      </c>
      <c r="AO157">
        <v>1.9659090909095012E-2</v>
      </c>
      <c r="AP157">
        <v>-0.49406303008660035</v>
      </c>
      <c r="AQ157">
        <v>0.13668467386954863</v>
      </c>
      <c r="AR157">
        <v>9.8703797136816318E-2</v>
      </c>
      <c r="AS157">
        <v>0.377044966517458</v>
      </c>
      <c r="AT157">
        <v>0.56299999999999395</v>
      </c>
      <c r="AU157">
        <v>9.3282458078119745E-2</v>
      </c>
      <c r="AV157">
        <v>0.47785280470783409</v>
      </c>
      <c r="AW157">
        <v>1.1766598517463533E-2</v>
      </c>
      <c r="AX157">
        <v>2.5815673938370254</v>
      </c>
      <c r="AY157">
        <v>9.3639825711836711E-2</v>
      </c>
      <c r="AZ157">
        <v>2.3195855775125951</v>
      </c>
      <c r="BA157">
        <v>1.0415625000000093</v>
      </c>
      <c r="BB157">
        <v>0.53921053007398201</v>
      </c>
      <c r="BC157">
        <v>0</v>
      </c>
      <c r="BD157">
        <v>0.5463136227544878</v>
      </c>
      <c r="BE157">
        <v>2.3098393356875548</v>
      </c>
      <c r="BF157">
        <v>3.0471347517730347</v>
      </c>
      <c r="BG157">
        <v>4.4015566037735798</v>
      </c>
    </row>
    <row r="158" spans="1:59" x14ac:dyDescent="0.25">
      <c r="A158" s="3">
        <v>43861</v>
      </c>
      <c r="B158">
        <v>8.8430304530824326</v>
      </c>
      <c r="C158">
        <v>0.43309999999999982</v>
      </c>
      <c r="D158">
        <v>0.67695961995249498</v>
      </c>
      <c r="E158">
        <v>0.91847147732813972</v>
      </c>
      <c r="F158">
        <v>1.7266830225711538</v>
      </c>
      <c r="G158">
        <v>2.1469227574437983</v>
      </c>
      <c r="H158">
        <v>0.23979999999999513</v>
      </c>
      <c r="I158">
        <v>0.41850000000000409</v>
      </c>
      <c r="J158">
        <v>0.60263383883646537</v>
      </c>
      <c r="K158">
        <v>4.5334174022698814</v>
      </c>
      <c r="L158">
        <v>1.9058197881284462</v>
      </c>
      <c r="M158">
        <v>-0.12233644859812609</v>
      </c>
      <c r="N158">
        <v>-0.11557093425605358</v>
      </c>
      <c r="O158">
        <v>0.75483010885268764</v>
      </c>
      <c r="P158">
        <v>0.58875275950150008</v>
      </c>
      <c r="Q158">
        <v>0.89000000000000457</v>
      </c>
      <c r="R158">
        <v>1.1431799476243785</v>
      </c>
      <c r="S158">
        <v>3.2333291165391742E-3</v>
      </c>
      <c r="T158">
        <v>-1.1602447832016471E-3</v>
      </c>
      <c r="U158">
        <v>0.75609005654760697</v>
      </c>
      <c r="V158">
        <v>-0.35379886939499805</v>
      </c>
      <c r="W158">
        <v>1.471338999424018</v>
      </c>
      <c r="X158">
        <v>1.6529627636150233</v>
      </c>
      <c r="Y158">
        <v>0.46968438122503642</v>
      </c>
      <c r="Z158">
        <v>1.0054000000000065</v>
      </c>
      <c r="AA158">
        <v>0.58896380952975136</v>
      </c>
      <c r="AB158">
        <v>1.1022703048390516</v>
      </c>
      <c r="AC158">
        <v>-0.37179334208328496</v>
      </c>
      <c r="AD158">
        <v>0.71449141211560097</v>
      </c>
      <c r="AE158">
        <v>2.3730374712162274</v>
      </c>
      <c r="AF158">
        <v>0.23934945538123054</v>
      </c>
      <c r="AG158">
        <v>-5.6837909213216298E-2</v>
      </c>
      <c r="AH158">
        <v>3.957415565345122</v>
      </c>
      <c r="AI158">
        <v>3.5029706790123569</v>
      </c>
      <c r="AJ158">
        <v>5.5806425287671102E-2</v>
      </c>
      <c r="AK158">
        <v>4.4534716536142591</v>
      </c>
      <c r="AL158">
        <v>8.9790947027931223E-2</v>
      </c>
      <c r="AM158">
        <v>1.0119092017387481</v>
      </c>
      <c r="AN158">
        <v>0.15004882423276444</v>
      </c>
      <c r="AO158">
        <v>-4.4659090909087151E-2</v>
      </c>
      <c r="AP158">
        <v>-0.5086748207005336</v>
      </c>
      <c r="AQ158">
        <v>0.13830532212885238</v>
      </c>
      <c r="AR158">
        <v>0.10752677141670919</v>
      </c>
      <c r="AS158">
        <v>0.37635644403419932</v>
      </c>
      <c r="AT158">
        <v>0.56999999999999407</v>
      </c>
      <c r="AU158">
        <v>0.18927603173009211</v>
      </c>
      <c r="AV158">
        <v>0.47735486061337573</v>
      </c>
      <c r="AW158">
        <v>2.2896031101155456E-2</v>
      </c>
      <c r="AX158">
        <v>2.7061436510139645</v>
      </c>
      <c r="AY158">
        <v>-1.1706066450075658E-3</v>
      </c>
      <c r="AZ158">
        <v>2.3427609643182876</v>
      </c>
      <c r="BA158">
        <v>0.82987500000000769</v>
      </c>
      <c r="BB158">
        <v>0.55568008274577352</v>
      </c>
      <c r="BC158">
        <v>0</v>
      </c>
      <c r="BD158">
        <v>0.57026571856287034</v>
      </c>
      <c r="BE158">
        <v>2.3607376952066019</v>
      </c>
      <c r="BF158">
        <v>2.8430638297872197</v>
      </c>
      <c r="BG158">
        <v>4.2548753369272196</v>
      </c>
    </row>
    <row r="159" spans="1:59" x14ac:dyDescent="0.25">
      <c r="A159" s="3">
        <v>43890</v>
      </c>
      <c r="B159">
        <v>8.3122059915820614</v>
      </c>
      <c r="C159">
        <v>0.43299999999999983</v>
      </c>
      <c r="D159">
        <v>0.62339466162083923</v>
      </c>
      <c r="E159">
        <v>0.69982691370063921</v>
      </c>
      <c r="F159">
        <v>1.781427870461243</v>
      </c>
      <c r="G159">
        <v>2.1607692175765507</v>
      </c>
      <c r="H159">
        <v>0.24359999999999493</v>
      </c>
      <c r="I159">
        <v>0.42620000000000369</v>
      </c>
      <c r="J159">
        <v>0.60983035699177557</v>
      </c>
      <c r="K159">
        <v>4.5258511979823632</v>
      </c>
      <c r="L159">
        <v>1.7518113393576384</v>
      </c>
      <c r="M159">
        <v>2.5981308411220594E-2</v>
      </c>
      <c r="N159">
        <v>-9.2733564013839143E-2</v>
      </c>
      <c r="O159">
        <v>0.75570752390711382</v>
      </c>
      <c r="P159">
        <v>0.55274157274592528</v>
      </c>
      <c r="Q159">
        <v>0.76100000000000434</v>
      </c>
      <c r="R159">
        <v>0.90356528245416001</v>
      </c>
      <c r="S159">
        <v>6.1961047618590559E-3</v>
      </c>
      <c r="T159">
        <v>3.3930634258587666E-3</v>
      </c>
      <c r="U159">
        <v>0.79261672972379715</v>
      </c>
      <c r="V159">
        <v>-0.3962788825670952</v>
      </c>
      <c r="W159">
        <v>1.4164752736368049</v>
      </c>
      <c r="X159">
        <v>1.4354748740030439</v>
      </c>
      <c r="Y159">
        <v>0.46865560215817892</v>
      </c>
      <c r="Z159">
        <v>0.86430000000000606</v>
      </c>
      <c r="AA159">
        <v>0.5965908358154941</v>
      </c>
      <c r="AB159">
        <v>0.7461095715199304</v>
      </c>
      <c r="AC159">
        <v>-0.1154695143777611</v>
      </c>
      <c r="AD159">
        <v>0.54787616990640675</v>
      </c>
      <c r="AE159">
        <v>2.0450073267741105</v>
      </c>
      <c r="AF159">
        <v>0.2344388927750547</v>
      </c>
      <c r="AG159">
        <v>-8.9278987493150441E-2</v>
      </c>
      <c r="AH159">
        <v>3.5911894273128127</v>
      </c>
      <c r="AI159">
        <v>3.505748456790136</v>
      </c>
      <c r="AJ159">
        <v>5.7421588096082443E-2</v>
      </c>
      <c r="AK159">
        <v>3.9775810666280131</v>
      </c>
      <c r="AL159">
        <v>9.5341732723676298E-2</v>
      </c>
      <c r="AM159">
        <v>1.0263412738458304</v>
      </c>
      <c r="AN159">
        <v>0.15489836588282424</v>
      </c>
      <c r="AO159">
        <v>-8.8863636363632814E-2</v>
      </c>
      <c r="AP159">
        <v>-0.5340594589768779</v>
      </c>
      <c r="AQ159">
        <v>0.14193677470988475</v>
      </c>
      <c r="AR159">
        <v>0.11130076041504466</v>
      </c>
      <c r="AS159">
        <v>0.39631361247269514</v>
      </c>
      <c r="AT159">
        <v>0.55899999999999439</v>
      </c>
      <c r="AU159">
        <v>0.30856511697961508</v>
      </c>
      <c r="AV159">
        <v>0.48488937040250413</v>
      </c>
      <c r="AW159">
        <v>9.9920102243072462E-2</v>
      </c>
      <c r="AX159">
        <v>2.5872055434075332</v>
      </c>
      <c r="AY159">
        <v>-4.246834475637451E-4</v>
      </c>
      <c r="AZ159">
        <v>2.0962671950746081</v>
      </c>
      <c r="BA159">
        <v>0.72581250000000708</v>
      </c>
      <c r="BB159">
        <v>0.56921449946566161</v>
      </c>
      <c r="BC159">
        <v>0</v>
      </c>
      <c r="BD159">
        <v>0.56212574850299002</v>
      </c>
      <c r="BE159">
        <v>2.4291094368269843</v>
      </c>
      <c r="BF159">
        <v>2.8985078014184276</v>
      </c>
      <c r="BG159">
        <v>4.0409669811320734</v>
      </c>
    </row>
    <row r="160" spans="1:59" x14ac:dyDescent="0.25">
      <c r="A160" s="3">
        <v>43921</v>
      </c>
      <c r="B160">
        <v>7.8923000742758003</v>
      </c>
      <c r="C160">
        <v>0.29629999999999956</v>
      </c>
      <c r="D160">
        <v>0.33701034663231244</v>
      </c>
      <c r="E160">
        <v>0.47439785470502627</v>
      </c>
      <c r="F160">
        <v>1.3160991167811624</v>
      </c>
      <c r="G160">
        <v>1.8911556033172712</v>
      </c>
      <c r="H160">
        <v>0.18189999999999529</v>
      </c>
      <c r="I160">
        <v>0.37720000000000309</v>
      </c>
      <c r="J160">
        <v>0.50030796188626092</v>
      </c>
      <c r="K160">
        <v>3.7137452711223364</v>
      </c>
      <c r="L160">
        <v>1.0721139385363019</v>
      </c>
      <c r="M160">
        <v>-1.5887850467234399E-3</v>
      </c>
      <c r="N160">
        <v>-0.14844290657439274</v>
      </c>
      <c r="O160">
        <v>0.74833355230670406</v>
      </c>
      <c r="P160">
        <v>0.30007910324697473</v>
      </c>
      <c r="Q160">
        <v>0.5180000000000029</v>
      </c>
      <c r="R160">
        <v>0.81023569023567887</v>
      </c>
      <c r="S160">
        <v>-8.3609430270672136E-2</v>
      </c>
      <c r="T160">
        <v>-9.818798853297861E-2</v>
      </c>
      <c r="U160">
        <v>0.79602270151027232</v>
      </c>
      <c r="V160">
        <v>-0.42251330930645248</v>
      </c>
      <c r="W160">
        <v>1.2270236121836793</v>
      </c>
      <c r="X160">
        <v>1.2509565983265745</v>
      </c>
      <c r="Y160">
        <v>0.48308980979247873</v>
      </c>
      <c r="Z160">
        <v>0.70240000000000613</v>
      </c>
      <c r="AA160">
        <v>0.60484764068956154</v>
      </c>
      <c r="AB160">
        <v>0.68098486463440455</v>
      </c>
      <c r="AC160">
        <v>0.79349123016346046</v>
      </c>
      <c r="AD160">
        <v>0.37200452535225659</v>
      </c>
      <c r="AE160">
        <v>1.7580071174377081</v>
      </c>
      <c r="AF160">
        <v>0.15500449685219997</v>
      </c>
      <c r="AG160">
        <v>-0.18755094922517523</v>
      </c>
      <c r="AH160">
        <v>3.39158100832113</v>
      </c>
      <c r="AI160">
        <v>3.2651234567901364</v>
      </c>
      <c r="AJ160">
        <v>7.1022959114280804E-2</v>
      </c>
      <c r="AK160">
        <v>3.6449875221838708</v>
      </c>
      <c r="AL160">
        <v>0.10021364534871857</v>
      </c>
      <c r="AM160">
        <v>0.92801827749067334</v>
      </c>
      <c r="AN160">
        <v>0.13073535273017378</v>
      </c>
      <c r="AO160">
        <v>-0.1277272727272698</v>
      </c>
      <c r="AP160">
        <v>-0.50861530220516082</v>
      </c>
      <c r="AQ160">
        <v>0.14928971588635553</v>
      </c>
      <c r="AR160">
        <v>0.11363449201191633</v>
      </c>
      <c r="AS160">
        <v>0.52379704529145221</v>
      </c>
      <c r="AT160">
        <v>0.43199999999999417</v>
      </c>
      <c r="AU160">
        <v>0.558489808213674</v>
      </c>
      <c r="AV160">
        <v>0.47898958741692965</v>
      </c>
      <c r="AW160">
        <v>0.75151277081186874</v>
      </c>
      <c r="AX160">
        <v>1.2877463090618653</v>
      </c>
      <c r="AY160">
        <v>-5.7748422491915141E-2</v>
      </c>
      <c r="AZ160">
        <v>1.8068856410525793</v>
      </c>
      <c r="BA160">
        <v>0.2515000000000045</v>
      </c>
      <c r="BB160">
        <v>0.61676169879947107</v>
      </c>
      <c r="BC160">
        <v>0</v>
      </c>
      <c r="BD160">
        <v>0.39212200598802038</v>
      </c>
      <c r="BE160">
        <v>2.4726135314626894</v>
      </c>
      <c r="BF160">
        <v>2.7156312056737471</v>
      </c>
      <c r="BG160">
        <v>3.4744946091644193</v>
      </c>
    </row>
    <row r="161" spans="1:59" x14ac:dyDescent="0.25">
      <c r="A161" s="3">
        <v>43951</v>
      </c>
      <c r="B161">
        <v>9.6432285219113503</v>
      </c>
      <c r="C161">
        <v>0.40009999999999946</v>
      </c>
      <c r="D161">
        <v>0.60820886509118699</v>
      </c>
      <c r="E161">
        <v>0.7284007801072705</v>
      </c>
      <c r="F161">
        <v>1.9124975466143326</v>
      </c>
      <c r="G161">
        <v>1.9342338218066981</v>
      </c>
      <c r="H161">
        <v>0.20279999999999521</v>
      </c>
      <c r="I161">
        <v>0.40630000000000277</v>
      </c>
      <c r="J161">
        <v>0.5625055615328387</v>
      </c>
      <c r="K161">
        <v>4.4060529634300307</v>
      </c>
      <c r="L161">
        <v>1.2579825588230085</v>
      </c>
      <c r="M161">
        <v>-2.2336448598125225E-2</v>
      </c>
      <c r="N161">
        <v>-3.9273356401382742E-2</v>
      </c>
      <c r="O161">
        <v>0.76511755440884843</v>
      </c>
      <c r="P161">
        <v>0.42806480752692422</v>
      </c>
      <c r="Q161">
        <v>0.76500000000000346</v>
      </c>
      <c r="R161">
        <v>1.1013430602319354</v>
      </c>
      <c r="S161">
        <v>-0.1240248057908494</v>
      </c>
      <c r="T161">
        <v>-0.17264667609341944</v>
      </c>
      <c r="U161">
        <v>0.80194957642525644</v>
      </c>
      <c r="V161">
        <v>-0.42728819450796707</v>
      </c>
      <c r="W161">
        <v>1.2604289663664341</v>
      </c>
      <c r="X161">
        <v>1.4613299407936688</v>
      </c>
      <c r="Y161">
        <v>0.5047811606548418</v>
      </c>
      <c r="Z161">
        <v>0.88550000000000839</v>
      </c>
      <c r="AA161">
        <v>0.61269160531992539</v>
      </c>
      <c r="AB161">
        <v>0.88557876785333445</v>
      </c>
      <c r="AC161">
        <v>0.46853000835222236</v>
      </c>
      <c r="AD161">
        <v>0.5710171757687954</v>
      </c>
      <c r="AE161">
        <v>2.0491940548461236</v>
      </c>
      <c r="AF161">
        <v>0.21680423703407281</v>
      </c>
      <c r="AG161">
        <v>-0.16460511236235209</v>
      </c>
      <c r="AH161">
        <v>3.9444933920705232</v>
      </c>
      <c r="AI161">
        <v>3.9088348765432244</v>
      </c>
      <c r="AJ161">
        <v>0.13282418867822132</v>
      </c>
      <c r="AK161">
        <v>4.3062314644685875</v>
      </c>
      <c r="AL161">
        <v>0.12038016891959158</v>
      </c>
      <c r="AM161">
        <v>1.0163688843898608</v>
      </c>
      <c r="AN161">
        <v>0.15537066560382851</v>
      </c>
      <c r="AO161">
        <v>-0.12499999999999711</v>
      </c>
      <c r="AP161">
        <v>-0.54882004582924193</v>
      </c>
      <c r="AQ161">
        <v>0.15367146858743586</v>
      </c>
      <c r="AR161">
        <v>0.1185429432048497</v>
      </c>
      <c r="AS161">
        <v>0.57271093044530796</v>
      </c>
      <c r="AT161">
        <v>0.47699999999999476</v>
      </c>
      <c r="AU161">
        <v>0.57656391203935886</v>
      </c>
      <c r="AV161">
        <v>0.47544001240712919</v>
      </c>
      <c r="AW161">
        <v>0.67409590634198402</v>
      </c>
      <c r="AX161">
        <v>1.6550314810835332</v>
      </c>
      <c r="AY161">
        <v>-0.10704430241736074</v>
      </c>
      <c r="AZ161">
        <v>2.0794850184222109</v>
      </c>
      <c r="BA161">
        <v>0.50700000000000545</v>
      </c>
      <c r="BB161">
        <v>0.6280790306910673</v>
      </c>
      <c r="BC161">
        <v>0</v>
      </c>
      <c r="BD161">
        <v>0.40634356287424844</v>
      </c>
      <c r="BE161">
        <v>2.5167157593464382</v>
      </c>
      <c r="BF161">
        <v>3.3051971631205523</v>
      </c>
      <c r="BG161">
        <v>4.1081974393530993</v>
      </c>
    </row>
    <row r="162" spans="1:59" x14ac:dyDescent="0.25">
      <c r="A162" s="3">
        <v>43982</v>
      </c>
      <c r="B162">
        <v>10.874226293637021</v>
      </c>
      <c r="C162">
        <v>0.43959999999999999</v>
      </c>
      <c r="D162">
        <v>0.75034421675590779</v>
      </c>
      <c r="E162">
        <v>0.66992930277913731</v>
      </c>
      <c r="F162">
        <v>2.3067615309126661</v>
      </c>
      <c r="G162">
        <v>1.9673906639931142</v>
      </c>
      <c r="H162">
        <v>0.23459999999999526</v>
      </c>
      <c r="I162">
        <v>0.42810000000000281</v>
      </c>
      <c r="J162">
        <v>0.60424536683363628</v>
      </c>
      <c r="K162">
        <v>5.0870113493064526</v>
      </c>
      <c r="L162">
        <v>1.3634303443200428</v>
      </c>
      <c r="M162">
        <v>-0.20289719626167779</v>
      </c>
      <c r="N162">
        <v>-0.12785467128027539</v>
      </c>
      <c r="O162">
        <v>0.77923849484411933</v>
      </c>
      <c r="P162">
        <v>0.47890169623762069</v>
      </c>
      <c r="Q162">
        <v>0.94900000000000317</v>
      </c>
      <c r="R162">
        <v>1.0481406659184307</v>
      </c>
      <c r="S162">
        <v>-0.10663681617380694</v>
      </c>
      <c r="T162">
        <v>-0.14838768871198615</v>
      </c>
      <c r="U162">
        <v>0.79366060837370012</v>
      </c>
      <c r="V162">
        <v>-0.46095022044968048</v>
      </c>
      <c r="W162">
        <v>1.3275637066675174</v>
      </c>
      <c r="X162">
        <v>1.5975240984489032</v>
      </c>
      <c r="Y162">
        <v>0.51275650080631263</v>
      </c>
      <c r="Z162">
        <v>1.0056000000000105</v>
      </c>
      <c r="AA162">
        <v>0.61930364090173717</v>
      </c>
      <c r="AB162">
        <v>0.66979322106160621</v>
      </c>
      <c r="AC162">
        <v>0.28472139362844273</v>
      </c>
      <c r="AD162">
        <v>0.68929342795433457</v>
      </c>
      <c r="AE162">
        <v>2.1559556206824224</v>
      </c>
      <c r="AF162">
        <v>0.23210252823023536</v>
      </c>
      <c r="AG162">
        <v>-0.11728835517464942</v>
      </c>
      <c r="AH162">
        <v>4.1865394028389993</v>
      </c>
      <c r="AI162">
        <v>4.333989197530884</v>
      </c>
      <c r="AJ162">
        <v>0.15382130518756498</v>
      </c>
      <c r="AK162">
        <v>4.5346146764190856</v>
      </c>
      <c r="AL162">
        <v>0.12016053351436473</v>
      </c>
      <c r="AM162">
        <v>1.0422596456699118</v>
      </c>
      <c r="AN162">
        <v>0.16866978876046423</v>
      </c>
      <c r="AO162">
        <v>-0.1022727272727243</v>
      </c>
      <c r="AP162">
        <v>-0.56170580007737447</v>
      </c>
      <c r="AQ162">
        <v>0.15390156062425064</v>
      </c>
      <c r="AR162">
        <v>0.12189857203446408</v>
      </c>
      <c r="AS162">
        <v>0.57569908121315416</v>
      </c>
      <c r="AT162">
        <v>0.51399999999999446</v>
      </c>
      <c r="AU162">
        <v>0.64564715332864497</v>
      </c>
      <c r="AV162">
        <v>0.48871897251879326</v>
      </c>
      <c r="AW162">
        <v>0.65986609113807715</v>
      </c>
      <c r="AX162">
        <v>1.6133474868305218</v>
      </c>
      <c r="AY162">
        <v>-7.7481073192142924E-2</v>
      </c>
      <c r="AZ162">
        <v>2.3732175071318999</v>
      </c>
      <c r="BA162">
        <v>0.36775000000000468</v>
      </c>
      <c r="BB162">
        <v>0.63426573100769335</v>
      </c>
      <c r="BC162">
        <v>0</v>
      </c>
      <c r="BD162">
        <v>0.48081961077843993</v>
      </c>
      <c r="BE162">
        <v>2.5299424200573952</v>
      </c>
      <c r="BF162">
        <v>3.6709531914893452</v>
      </c>
      <c r="BG162">
        <v>4.3870417789757399</v>
      </c>
    </row>
    <row r="163" spans="1:59" x14ac:dyDescent="0.25">
      <c r="A163" s="3">
        <v>44012</v>
      </c>
      <c r="B163">
        <v>10.115622678880891</v>
      </c>
      <c r="C163">
        <v>0.4619000000000002</v>
      </c>
      <c r="D163">
        <v>0.76426587221707742</v>
      </c>
      <c r="E163">
        <v>0.64179912237933223</v>
      </c>
      <c r="F163">
        <v>2.7536653581943171</v>
      </c>
      <c r="G163">
        <v>2.038608039928949</v>
      </c>
      <c r="H163">
        <v>0.2541999999999951</v>
      </c>
      <c r="I163">
        <v>0.44220000000000259</v>
      </c>
      <c r="J163">
        <v>0.62104954426979586</v>
      </c>
      <c r="K163">
        <v>5.6847414880201965</v>
      </c>
      <c r="L163">
        <v>1.4272429636166839</v>
      </c>
      <c r="M163">
        <v>-0.29953271028036965</v>
      </c>
      <c r="N163">
        <v>-0.17941176470588116</v>
      </c>
      <c r="O163">
        <v>0.78635544882349584</v>
      </c>
      <c r="P163">
        <v>0.50330450612680733</v>
      </c>
      <c r="Q163">
        <v>0.97300000000000364</v>
      </c>
      <c r="R163">
        <v>0.79976430976429858</v>
      </c>
      <c r="S163">
        <v>-7.5597646017554365E-2</v>
      </c>
      <c r="T163">
        <v>-0.13913103862202936</v>
      </c>
      <c r="U163">
        <v>0.80173208111138172</v>
      </c>
      <c r="V163">
        <v>-0.45776696364867075</v>
      </c>
      <c r="W163">
        <v>1.4888638715395763</v>
      </c>
      <c r="X163">
        <v>1.5872681900474737</v>
      </c>
      <c r="Y163">
        <v>0.51290777645639318</v>
      </c>
      <c r="Z163">
        <v>0.99890000000001034</v>
      </c>
      <c r="AA163">
        <v>0.62578085546534412</v>
      </c>
      <c r="AB163">
        <v>0.75175868684715264</v>
      </c>
      <c r="AC163">
        <v>0.31651950841188259</v>
      </c>
      <c r="AD163">
        <v>0.7787719839555689</v>
      </c>
      <c r="AE163">
        <v>2.2269206615030219</v>
      </c>
      <c r="AF163">
        <v>0.26026981113220415</v>
      </c>
      <c r="AG163">
        <v>-0.11475708804624207</v>
      </c>
      <c r="AH163">
        <v>4.553744493392113</v>
      </c>
      <c r="AI163">
        <v>4.4164351851852039</v>
      </c>
      <c r="AJ163">
        <v>0.18620956992465088</v>
      </c>
      <c r="AK163">
        <v>4.461512695247464</v>
      </c>
      <c r="AL163">
        <v>0.11936185931353838</v>
      </c>
      <c r="AM163">
        <v>1.0911900113137452</v>
      </c>
      <c r="AN163">
        <v>0.17983160621761951</v>
      </c>
      <c r="AO163">
        <v>-8.8863636363633591E-2</v>
      </c>
      <c r="AP163">
        <v>-0.57334166592268576</v>
      </c>
      <c r="AQ163">
        <v>0.1542717086834744</v>
      </c>
      <c r="AR163">
        <v>0.12459112860734667</v>
      </c>
      <c r="AS163">
        <v>0.57743235020248873</v>
      </c>
      <c r="AT163">
        <v>0.53999999999999404</v>
      </c>
      <c r="AU163">
        <v>0.63179034039562043</v>
      </c>
      <c r="AV163">
        <v>0.5080723191615375</v>
      </c>
      <c r="AW163">
        <v>0.72592876156537267</v>
      </c>
      <c r="AX163">
        <v>1.9261651810041349</v>
      </c>
      <c r="AY163">
        <v>-1.8969484530805159E-2</v>
      </c>
      <c r="AZ163">
        <v>2.3526171633046178</v>
      </c>
      <c r="BA163">
        <v>0.47337500000000543</v>
      </c>
      <c r="BB163">
        <v>0.62315272403684108</v>
      </c>
      <c r="BC163">
        <v>-7.1936441953202035E-3</v>
      </c>
      <c r="BD163">
        <v>0.55894461077843971</v>
      </c>
      <c r="BE163">
        <v>2.5332396840091924</v>
      </c>
      <c r="BF163">
        <v>3.7295914893616864</v>
      </c>
      <c r="BG163">
        <v>4.8366273584905626</v>
      </c>
    </row>
    <row r="164" spans="1:59" x14ac:dyDescent="0.25">
      <c r="A164" s="3">
        <v>44043</v>
      </c>
      <c r="B164">
        <v>9.1500371379054073</v>
      </c>
      <c r="C164">
        <v>0.45979999999999932</v>
      </c>
      <c r="D164">
        <v>0.68497121462216537</v>
      </c>
      <c r="E164">
        <v>0.6747001462701181</v>
      </c>
      <c r="F164">
        <v>3.2305691854759688</v>
      </c>
      <c r="G164">
        <v>2.0598782962084514</v>
      </c>
      <c r="H164">
        <v>0.27569999999999539</v>
      </c>
      <c r="I164">
        <v>0.46690000000000276</v>
      </c>
      <c r="J164">
        <v>0.6771946876216508</v>
      </c>
      <c r="K164">
        <v>6.491803278688546</v>
      </c>
      <c r="L164">
        <v>1.5289444437922231</v>
      </c>
      <c r="M164">
        <v>-0.26205607476635084</v>
      </c>
      <c r="N164">
        <v>-0.15328719723183282</v>
      </c>
      <c r="O164">
        <v>0.7942154127983192</v>
      </c>
      <c r="P164">
        <v>0.52256579646207246</v>
      </c>
      <c r="Q164">
        <v>1.0830000000000055</v>
      </c>
      <c r="R164">
        <v>0.83194163860829318</v>
      </c>
      <c r="S164">
        <v>-3.4761446413299812E-2</v>
      </c>
      <c r="T164">
        <v>-0.10170605063645088</v>
      </c>
      <c r="U164">
        <v>0.87217980548283669</v>
      </c>
      <c r="V164">
        <v>-0.61950933938274089</v>
      </c>
      <c r="W164">
        <v>1.590409517498391</v>
      </c>
      <c r="X164">
        <v>1.7898713118363863</v>
      </c>
      <c r="Y164">
        <v>0.51684133667517962</v>
      </c>
      <c r="Z164">
        <v>1.0612000000000106</v>
      </c>
      <c r="AA164">
        <v>0.63212140080165891</v>
      </c>
      <c r="AB164">
        <v>0.45288850991259788</v>
      </c>
      <c r="AC164">
        <v>0.10595394344350173</v>
      </c>
      <c r="AD164">
        <v>0.8744214748534398</v>
      </c>
      <c r="AE164">
        <v>2.4074733096085246</v>
      </c>
      <c r="AF164">
        <v>0.30422204456879864</v>
      </c>
      <c r="AG164">
        <v>-8.4936967462257429E-2</v>
      </c>
      <c r="AH164">
        <v>4.9621634850710166</v>
      </c>
      <c r="AI164">
        <v>4.3244984567901401</v>
      </c>
      <c r="AJ164">
        <v>0.31338238894480863</v>
      </c>
      <c r="AK164">
        <v>5.0448554963115075</v>
      </c>
      <c r="AL164">
        <v>0.12295589321725831</v>
      </c>
      <c r="AM164">
        <v>1.1593263152616453</v>
      </c>
      <c r="AN164">
        <v>0.18423475488242591</v>
      </c>
      <c r="AO164">
        <v>-1.3977272727270007E-2</v>
      </c>
      <c r="AP164">
        <v>-0.59107817754367198</v>
      </c>
      <c r="AQ164">
        <v>0.15543217286914857</v>
      </c>
      <c r="AR164">
        <v>0.12684031086456127</v>
      </c>
      <c r="AS164">
        <v>0.57175359374175971</v>
      </c>
      <c r="AT164">
        <v>0.56999999999999451</v>
      </c>
      <c r="AU164">
        <v>0.7133246309870438</v>
      </c>
      <c r="AV164">
        <v>0.57141135656632214</v>
      </c>
      <c r="AW164">
        <v>0.69865908713263969</v>
      </c>
      <c r="AX164">
        <v>2.248921200468891</v>
      </c>
      <c r="AY164">
        <v>-1.2390328400787576E-3</v>
      </c>
      <c r="AZ164">
        <v>2.5698087193457004</v>
      </c>
      <c r="BA164">
        <v>0.37093750000000458</v>
      </c>
      <c r="BB164">
        <v>0.63970888182201691</v>
      </c>
      <c r="BC164">
        <v>1.0025719386652199E-2</v>
      </c>
      <c r="BD164">
        <v>0.57757015940808731</v>
      </c>
      <c r="BE164">
        <v>2.5502521353901013</v>
      </c>
      <c r="BF164">
        <v>3.7853248226950234</v>
      </c>
      <c r="BG164">
        <v>5.3492452830188641</v>
      </c>
    </row>
    <row r="165" spans="1:59" x14ac:dyDescent="0.25">
      <c r="A165" s="3">
        <v>44074</v>
      </c>
      <c r="B165">
        <v>10.311710819509765</v>
      </c>
      <c r="C165">
        <v>0.51469999999999883</v>
      </c>
      <c r="D165">
        <v>0.74655179355046308</v>
      </c>
      <c r="E165">
        <v>0.65123842028279455</v>
      </c>
      <c r="F165">
        <v>4.0180421982335739</v>
      </c>
      <c r="G165">
        <v>2.111896227243995</v>
      </c>
      <c r="H165">
        <v>0.28419999999999601</v>
      </c>
      <c r="I165">
        <v>0.46340000000000248</v>
      </c>
      <c r="J165">
        <v>0.68124196022523575</v>
      </c>
      <c r="K165">
        <v>7.3656998738966202</v>
      </c>
      <c r="L165">
        <v>1.6139169771036421</v>
      </c>
      <c r="M165">
        <v>-0.28943925233644463</v>
      </c>
      <c r="N165">
        <v>-0.14031141868511954</v>
      </c>
      <c r="O165">
        <v>0.79744500054135625</v>
      </c>
      <c r="P165">
        <v>0.58929971823044802</v>
      </c>
      <c r="Q165">
        <v>1.216000000000006</v>
      </c>
      <c r="R165">
        <v>0.8510736999625752</v>
      </c>
      <c r="S165">
        <v>-2.7546328438921464E-2</v>
      </c>
      <c r="T165">
        <v>-6.6224072245597898E-2</v>
      </c>
      <c r="U165">
        <v>0.87236702346338491</v>
      </c>
      <c r="V165">
        <v>-0.57602312434825564</v>
      </c>
      <c r="W165">
        <v>1.7533462761490397</v>
      </c>
      <c r="X165">
        <v>1.9458335372119309</v>
      </c>
      <c r="Y165">
        <v>0.52959269671664599</v>
      </c>
      <c r="Z165">
        <v>1.1759000000000124</v>
      </c>
      <c r="AA165">
        <v>0.63858988092963576</v>
      </c>
      <c r="AB165">
        <v>0.450170539330633</v>
      </c>
      <c r="AC165">
        <v>4.1194368213815835E-2</v>
      </c>
      <c r="AD165">
        <v>0.98087010182042622</v>
      </c>
      <c r="AE165">
        <v>2.6735398785848661</v>
      </c>
      <c r="AF165">
        <v>0.2959658239232501</v>
      </c>
      <c r="AG165">
        <v>-9.1175444715733134E-2</v>
      </c>
      <c r="AH165">
        <v>5.614145863925649</v>
      </c>
      <c r="AI165">
        <v>4.373263888888907</v>
      </c>
      <c r="AJ165">
        <v>0.31023707189684946</v>
      </c>
      <c r="AK165">
        <v>5.2684552189396481</v>
      </c>
      <c r="AL165">
        <v>0.11992093125411674</v>
      </c>
      <c r="AM165">
        <v>1.110913843193424</v>
      </c>
      <c r="AN165">
        <v>0.18462933439617624</v>
      </c>
      <c r="AO165">
        <v>2.3750000000003713E-2</v>
      </c>
      <c r="AP165">
        <v>-0.57372853614260633</v>
      </c>
      <c r="AQ165">
        <v>0.15559223689475887</v>
      </c>
      <c r="AR165">
        <v>0.12883992007916056</v>
      </c>
      <c r="AS165">
        <v>0.57442557485112067</v>
      </c>
      <c r="AT165">
        <v>0.58799999999999586</v>
      </c>
      <c r="AU165">
        <v>0.58911537302941808</v>
      </c>
      <c r="AV165">
        <v>0.56481024594972107</v>
      </c>
      <c r="AW165">
        <v>0.64634038724895437</v>
      </c>
      <c r="AX165">
        <v>2.6102405374788167</v>
      </c>
      <c r="AY165">
        <v>5.6209843779504443E-3</v>
      </c>
      <c r="AZ165">
        <v>2.8003194632061463</v>
      </c>
      <c r="BA165">
        <v>0.41693750000000485</v>
      </c>
      <c r="BB165">
        <v>0.6354456387292795</v>
      </c>
      <c r="BC165">
        <v>5.1002048926962473E-2</v>
      </c>
      <c r="BD165">
        <v>0.58926973045086517</v>
      </c>
      <c r="BE165">
        <v>2.5533486605665177</v>
      </c>
      <c r="BF165">
        <v>3.6575999999999862</v>
      </c>
      <c r="BG165">
        <v>5.6987533692722341</v>
      </c>
    </row>
    <row r="166" spans="1:59" x14ac:dyDescent="0.25">
      <c r="A166" s="3">
        <v>44104</v>
      </c>
      <c r="B166">
        <v>10.33250804654616</v>
      </c>
      <c r="C166">
        <v>0.50519999999999921</v>
      </c>
      <c r="D166">
        <v>0.7347397238214084</v>
      </c>
      <c r="E166">
        <v>0.55704778156997081</v>
      </c>
      <c r="F166">
        <v>3.8427576054955956</v>
      </c>
      <c r="G166">
        <v>2.1710222555616308</v>
      </c>
      <c r="H166">
        <v>0.27629999999999555</v>
      </c>
      <c r="I166">
        <v>0.46260000000000168</v>
      </c>
      <c r="J166">
        <v>0.67724389458339673</v>
      </c>
      <c r="K166">
        <v>7.1513240857503391</v>
      </c>
      <c r="L166">
        <v>1.5537968866302583</v>
      </c>
      <c r="M166">
        <v>-0.36457943925233294</v>
      </c>
      <c r="N166">
        <v>-0.21384083044982605</v>
      </c>
      <c r="O166">
        <v>0.7990627010418434</v>
      </c>
      <c r="P166">
        <v>0.56857653573045952</v>
      </c>
      <c r="Q166">
        <v>1.144000000000005</v>
      </c>
      <c r="R166">
        <v>0.79147399925176365</v>
      </c>
      <c r="S166">
        <v>-3.6643382035776328E-2</v>
      </c>
      <c r="T166">
        <v>-6.5509187377023825E-2</v>
      </c>
      <c r="U166">
        <v>0.86787334260707283</v>
      </c>
      <c r="V166">
        <v>-0.56050932108816176</v>
      </c>
      <c r="W166">
        <v>1.7181034438143321</v>
      </c>
      <c r="X166">
        <v>1.863111024122925</v>
      </c>
      <c r="Y166">
        <v>0.54963036104363416</v>
      </c>
      <c r="Z166">
        <v>1.1277000000000124</v>
      </c>
      <c r="AA166">
        <v>0.64530809944144729</v>
      </c>
      <c r="AB166">
        <v>0.58271157535706619</v>
      </c>
      <c r="AC166">
        <v>-3.4423099868751805E-2</v>
      </c>
      <c r="AD166">
        <v>0.98446981384346466</v>
      </c>
      <c r="AE166">
        <v>2.5547414695415323</v>
      </c>
      <c r="AF166">
        <v>0.28774757669630957</v>
      </c>
      <c r="AG166">
        <v>-0.1097294334545843</v>
      </c>
      <c r="AH166">
        <v>5.3225648556045506</v>
      </c>
      <c r="AI166">
        <v>4.3682870370370539</v>
      </c>
      <c r="AJ166">
        <v>0.26229223905769938</v>
      </c>
      <c r="AK166">
        <v>5.1846129134623391</v>
      </c>
      <c r="AL166">
        <v>0.11926202503843419</v>
      </c>
      <c r="AM166">
        <v>1.1084567868346942</v>
      </c>
      <c r="AN166">
        <v>0.18414607413312289</v>
      </c>
      <c r="AO166">
        <v>1.3636363636404525E-3</v>
      </c>
      <c r="AP166">
        <v>-0.57349046216111665</v>
      </c>
      <c r="AQ166">
        <v>0.15825009903961673</v>
      </c>
      <c r="AR166">
        <v>0.13042029596727156</v>
      </c>
      <c r="AS166">
        <v>0.57411068973615054</v>
      </c>
      <c r="AT166">
        <v>0.58399999999999497</v>
      </c>
      <c r="AU166">
        <v>0.50075308765940152</v>
      </c>
      <c r="AV166">
        <v>0.55229176398212321</v>
      </c>
      <c r="AW166">
        <v>0.7265171641079784</v>
      </c>
      <c r="AX166">
        <v>2.6741417949921917</v>
      </c>
      <c r="AY166">
        <v>1.1722848371418904E-2</v>
      </c>
      <c r="AZ166">
        <v>2.7236897359520764</v>
      </c>
      <c r="BA166">
        <v>0.20756250000000409</v>
      </c>
      <c r="BB166">
        <v>0.65376262988304767</v>
      </c>
      <c r="BC166">
        <v>5.5746562263239374E-2</v>
      </c>
      <c r="BD166">
        <v>0.59937815983182463</v>
      </c>
      <c r="BE166">
        <v>2.548765069622271</v>
      </c>
      <c r="BF166">
        <v>3.7049163120567226</v>
      </c>
      <c r="BG166">
        <v>5.6540633423180546</v>
      </c>
    </row>
  </sheetData>
  <conditionalFormatting sqref="A2:A67">
    <cfRule type="notContainsBlanks" dxfId="1" priority="2" stopIfTrue="1">
      <formula>LEN(TRIM(A2))&gt;0</formula>
    </cfRule>
  </conditionalFormatting>
  <conditionalFormatting sqref="A68:A166">
    <cfRule type="notContainsBlanks" dxfId="0" priority="1" stopIfTrue="1">
      <formula>LEN(TRIM(A68))&gt;0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AC86-E3F0-43FD-92D5-D775E1515923}">
  <dimension ref="A1:HM4"/>
  <sheetViews>
    <sheetView workbookViewId="0"/>
  </sheetViews>
  <sheetFormatPr defaultRowHeight="15" x14ac:dyDescent="0.25"/>
  <cols>
    <col min="1" max="1" width="44.85546875" bestFit="1" customWidth="1"/>
    <col min="2" max="2" width="12.140625" style="17" customWidth="1"/>
    <col min="3" max="3" width="14.7109375" style="11" customWidth="1"/>
    <col min="4" max="5" width="12.140625" style="11" customWidth="1"/>
    <col min="6" max="6" width="15.7109375" style="13" customWidth="1"/>
    <col min="7" max="10" width="12.140625" style="11" customWidth="1"/>
    <col min="11" max="11" width="11.28515625" style="11" customWidth="1"/>
    <col min="12" max="17" width="12.140625" style="11" customWidth="1"/>
    <col min="18" max="19" width="12.140625" style="13" customWidth="1"/>
    <col min="20" max="31" width="12.140625" style="11" customWidth="1"/>
    <col min="32" max="33" width="12.140625" style="31" customWidth="1"/>
    <col min="34" max="35" width="12.140625" style="11" customWidth="1"/>
    <col min="36" max="37" width="14.5703125" style="11" customWidth="1"/>
    <col min="38" max="40" width="12.140625" style="13" customWidth="1"/>
    <col min="41" max="41" width="15.7109375" style="11" customWidth="1"/>
    <col min="42" max="42" width="16.7109375" style="11" customWidth="1"/>
    <col min="43" max="43" width="13.7109375" style="11" customWidth="1"/>
    <col min="44" max="47" width="12.140625" style="22" customWidth="1"/>
    <col min="48" max="50" width="12.140625" style="23" customWidth="1"/>
    <col min="51" max="52" width="12.140625" style="22" customWidth="1"/>
    <col min="53" max="53" width="12.140625" style="31" customWidth="1"/>
    <col min="54" max="63" width="12.140625" style="11" customWidth="1"/>
    <col min="64" max="64" width="13.28515625" style="11" customWidth="1"/>
    <col min="65" max="83" width="12.140625" style="11" customWidth="1"/>
    <col min="84" max="84" width="13.85546875" style="11" customWidth="1"/>
    <col min="85" max="97" width="12.140625" style="11" customWidth="1"/>
    <col min="98" max="98" width="13.85546875" style="11" customWidth="1"/>
    <col min="99" max="125" width="12.140625" style="11" customWidth="1"/>
    <col min="126" max="129" width="14.7109375" style="11" customWidth="1"/>
    <col min="130" max="131" width="12.140625" style="11" customWidth="1"/>
    <col min="132" max="135" width="15" style="11" customWidth="1"/>
    <col min="136" max="139" width="12.140625" style="11" customWidth="1"/>
    <col min="140" max="143" width="14.42578125" style="11" customWidth="1"/>
    <col min="144" max="145" width="14.140625" style="11" customWidth="1"/>
    <col min="146" max="147" width="14.85546875" style="11" customWidth="1"/>
    <col min="148" max="148" width="15.5703125" style="11" customWidth="1"/>
    <col min="149" max="149" width="15.85546875" style="11" customWidth="1"/>
    <col min="150" max="221" width="12.140625" style="11" customWidth="1"/>
  </cols>
  <sheetData>
    <row r="1" spans="1:221" s="53" customFormat="1" ht="22.9" customHeight="1" x14ac:dyDescent="0.25">
      <c r="A1" s="47" t="s">
        <v>19</v>
      </c>
      <c r="B1" s="48" t="s">
        <v>20</v>
      </c>
      <c r="C1" s="47" t="s">
        <v>21</v>
      </c>
      <c r="D1" s="47" t="s">
        <v>260</v>
      </c>
      <c r="E1" s="47" t="s">
        <v>261</v>
      </c>
      <c r="F1" s="49" t="s">
        <v>22</v>
      </c>
      <c r="G1" s="47" t="s">
        <v>23</v>
      </c>
      <c r="H1" s="47" t="s">
        <v>24</v>
      </c>
      <c r="I1" s="47" t="s">
        <v>25</v>
      </c>
      <c r="J1" s="47" t="s">
        <v>26</v>
      </c>
      <c r="K1" s="47" t="s">
        <v>27</v>
      </c>
      <c r="L1" s="47" t="s">
        <v>28</v>
      </c>
      <c r="M1" s="47" t="s">
        <v>29</v>
      </c>
      <c r="N1" s="47" t="s">
        <v>30</v>
      </c>
      <c r="O1" s="47" t="s">
        <v>31</v>
      </c>
      <c r="P1" s="47" t="s">
        <v>32</v>
      </c>
      <c r="Q1" s="47" t="s">
        <v>33</v>
      </c>
      <c r="R1" s="49" t="s">
        <v>34</v>
      </c>
      <c r="S1" s="49" t="s">
        <v>35</v>
      </c>
      <c r="T1" s="47" t="s">
        <v>36</v>
      </c>
      <c r="U1" s="47" t="s">
        <v>37</v>
      </c>
      <c r="V1" s="47" t="s">
        <v>206</v>
      </c>
      <c r="W1" s="47" t="s">
        <v>38</v>
      </c>
      <c r="X1" s="47" t="s">
        <v>39</v>
      </c>
      <c r="Y1" s="47" t="s">
        <v>40</v>
      </c>
      <c r="Z1" s="47" t="s">
        <v>41</v>
      </c>
      <c r="AA1" s="47" t="s">
        <v>42</v>
      </c>
      <c r="AB1" s="47" t="s">
        <v>43</v>
      </c>
      <c r="AC1" s="47" t="s">
        <v>44</v>
      </c>
      <c r="AD1" s="47" t="s">
        <v>45</v>
      </c>
      <c r="AE1" s="47" t="s">
        <v>46</v>
      </c>
      <c r="AF1" s="50" t="s">
        <v>159</v>
      </c>
      <c r="AG1" s="50" t="s">
        <v>160</v>
      </c>
      <c r="AH1" s="47" t="s">
        <v>161</v>
      </c>
      <c r="AI1" s="47" t="s">
        <v>162</v>
      </c>
      <c r="AJ1" s="47" t="s">
        <v>163</v>
      </c>
      <c r="AK1" s="47" t="s">
        <v>164</v>
      </c>
      <c r="AL1" s="49" t="s">
        <v>165</v>
      </c>
      <c r="AM1" s="49" t="s">
        <v>207</v>
      </c>
      <c r="AN1" s="49" t="s">
        <v>208</v>
      </c>
      <c r="AO1" s="47" t="s">
        <v>166</v>
      </c>
      <c r="AP1" s="47" t="s">
        <v>209</v>
      </c>
      <c r="AQ1" s="47" t="s">
        <v>210</v>
      </c>
      <c r="AR1" s="51" t="s">
        <v>167</v>
      </c>
      <c r="AS1" s="51" t="s">
        <v>168</v>
      </c>
      <c r="AT1" s="51" t="s">
        <v>169</v>
      </c>
      <c r="AU1" s="51" t="s">
        <v>170</v>
      </c>
      <c r="AV1" s="52" t="s">
        <v>47</v>
      </c>
      <c r="AW1" s="52" t="s">
        <v>211</v>
      </c>
      <c r="AX1" s="52" t="s">
        <v>212</v>
      </c>
      <c r="AY1" s="51" t="s">
        <v>48</v>
      </c>
      <c r="AZ1" s="51" t="s">
        <v>49</v>
      </c>
      <c r="BA1" s="50" t="s">
        <v>50</v>
      </c>
      <c r="BB1" s="47" t="s">
        <v>51</v>
      </c>
      <c r="BC1" s="47" t="s">
        <v>52</v>
      </c>
      <c r="BD1" s="47" t="s">
        <v>53</v>
      </c>
      <c r="BE1" s="47" t="s">
        <v>54</v>
      </c>
      <c r="BF1" s="47" t="s">
        <v>55</v>
      </c>
      <c r="BG1" s="47" t="s">
        <v>56</v>
      </c>
      <c r="BH1" s="47" t="s">
        <v>57</v>
      </c>
      <c r="BI1" s="47" t="s">
        <v>58</v>
      </c>
      <c r="BJ1" s="47" t="s">
        <v>59</v>
      </c>
      <c r="BK1" s="47" t="s">
        <v>60</v>
      </c>
      <c r="BL1" s="47" t="s">
        <v>61</v>
      </c>
      <c r="BM1" s="47" t="s">
        <v>62</v>
      </c>
      <c r="BN1" s="47" t="s">
        <v>63</v>
      </c>
      <c r="BO1" s="47" t="s">
        <v>64</v>
      </c>
      <c r="BP1" s="47" t="s">
        <v>65</v>
      </c>
      <c r="BQ1" s="47" t="s">
        <v>217</v>
      </c>
      <c r="BR1" s="47" t="s">
        <v>218</v>
      </c>
      <c r="BS1" s="47" t="s">
        <v>66</v>
      </c>
      <c r="BT1" s="47" t="s">
        <v>67</v>
      </c>
      <c r="BU1" s="47" t="s">
        <v>68</v>
      </c>
      <c r="BV1" s="47" t="s">
        <v>69</v>
      </c>
      <c r="BW1" s="47" t="s">
        <v>70</v>
      </c>
      <c r="BX1" s="47" t="s">
        <v>71</v>
      </c>
      <c r="BY1" s="47" t="s">
        <v>72</v>
      </c>
      <c r="BZ1" s="47" t="s">
        <v>73</v>
      </c>
      <c r="CA1" s="47" t="s">
        <v>74</v>
      </c>
      <c r="CB1" s="47" t="s">
        <v>75</v>
      </c>
      <c r="CC1" s="47" t="s">
        <v>76</v>
      </c>
      <c r="CD1" s="47" t="s">
        <v>77</v>
      </c>
      <c r="CE1" s="47" t="s">
        <v>78</v>
      </c>
      <c r="CF1" s="47" t="s">
        <v>171</v>
      </c>
      <c r="CG1" s="47" t="s">
        <v>79</v>
      </c>
      <c r="CH1" s="47" t="s">
        <v>80</v>
      </c>
      <c r="CI1" s="47" t="s">
        <v>81</v>
      </c>
      <c r="CJ1" s="47" t="s">
        <v>82</v>
      </c>
      <c r="CK1" s="47" t="s">
        <v>83</v>
      </c>
      <c r="CL1" s="47" t="s">
        <v>84</v>
      </c>
      <c r="CM1" s="47" t="s">
        <v>85</v>
      </c>
      <c r="CN1" s="47" t="s">
        <v>86</v>
      </c>
      <c r="CO1" s="47" t="s">
        <v>87</v>
      </c>
      <c r="CP1" s="47" t="s">
        <v>88</v>
      </c>
      <c r="CQ1" s="47" t="s">
        <v>89</v>
      </c>
      <c r="CR1" s="47" t="s">
        <v>90</v>
      </c>
      <c r="CS1" s="47" t="s">
        <v>91</v>
      </c>
      <c r="CT1" s="47" t="s">
        <v>92</v>
      </c>
      <c r="CU1" s="47" t="s">
        <v>93</v>
      </c>
      <c r="CV1" s="47" t="s">
        <v>94</v>
      </c>
      <c r="CW1" s="47" t="s">
        <v>95</v>
      </c>
      <c r="CX1" s="47" t="s">
        <v>96</v>
      </c>
      <c r="CY1" s="47" t="s">
        <v>97</v>
      </c>
      <c r="CZ1" s="47" t="s">
        <v>219</v>
      </c>
      <c r="DA1" s="47" t="s">
        <v>220</v>
      </c>
      <c r="DB1" s="47" t="s">
        <v>98</v>
      </c>
      <c r="DC1" s="47" t="s">
        <v>99</v>
      </c>
      <c r="DD1" s="47" t="s">
        <v>100</v>
      </c>
      <c r="DE1" s="47" t="s">
        <v>101</v>
      </c>
      <c r="DF1" s="47" t="s">
        <v>102</v>
      </c>
      <c r="DG1" s="47" t="s">
        <v>103</v>
      </c>
      <c r="DH1" s="47" t="s">
        <v>104</v>
      </c>
      <c r="DI1" s="47" t="s">
        <v>105</v>
      </c>
      <c r="DJ1" s="47" t="s">
        <v>106</v>
      </c>
      <c r="DK1" s="47" t="s">
        <v>107</v>
      </c>
      <c r="DL1" s="47" t="s">
        <v>108</v>
      </c>
      <c r="DM1" s="47" t="s">
        <v>172</v>
      </c>
      <c r="DN1" s="47" t="s">
        <v>173</v>
      </c>
      <c r="DO1" s="47" t="s">
        <v>174</v>
      </c>
      <c r="DP1" s="47" t="s">
        <v>175</v>
      </c>
      <c r="DQ1" s="47" t="s">
        <v>176</v>
      </c>
      <c r="DR1" s="47" t="s">
        <v>177</v>
      </c>
      <c r="DS1" s="47" t="s">
        <v>109</v>
      </c>
      <c r="DT1" s="47" t="s">
        <v>110</v>
      </c>
      <c r="DU1" s="47" t="s">
        <v>111</v>
      </c>
      <c r="DV1" s="47" t="s">
        <v>178</v>
      </c>
      <c r="DW1" s="47" t="s">
        <v>180</v>
      </c>
      <c r="DX1" s="47" t="s">
        <v>179</v>
      </c>
      <c r="DY1" s="47" t="s">
        <v>181</v>
      </c>
      <c r="DZ1" s="47" t="s">
        <v>112</v>
      </c>
      <c r="EA1" s="47" t="s">
        <v>113</v>
      </c>
      <c r="EB1" s="47" t="s">
        <v>182</v>
      </c>
      <c r="EC1" s="47" t="s">
        <v>183</v>
      </c>
      <c r="ED1" s="47" t="s">
        <v>184</v>
      </c>
      <c r="EE1" s="47" t="s">
        <v>185</v>
      </c>
      <c r="EF1" s="47" t="s">
        <v>114</v>
      </c>
      <c r="EG1" s="47" t="s">
        <v>115</v>
      </c>
      <c r="EH1" s="47" t="s">
        <v>116</v>
      </c>
      <c r="EI1" s="47" t="s">
        <v>117</v>
      </c>
      <c r="EJ1" s="47" t="s">
        <v>186</v>
      </c>
      <c r="EK1" s="47" t="s">
        <v>187</v>
      </c>
      <c r="EL1" s="47" t="s">
        <v>188</v>
      </c>
      <c r="EM1" s="47" t="s">
        <v>189</v>
      </c>
      <c r="EN1" s="47" t="s">
        <v>190</v>
      </c>
      <c r="EO1" s="47" t="s">
        <v>191</v>
      </c>
      <c r="EP1" s="47" t="s">
        <v>192</v>
      </c>
      <c r="EQ1" s="47" t="s">
        <v>193</v>
      </c>
      <c r="ER1" s="47" t="s">
        <v>194</v>
      </c>
      <c r="ES1" s="47" t="s">
        <v>195</v>
      </c>
      <c r="ET1" s="47" t="s">
        <v>196</v>
      </c>
      <c r="EU1" s="47" t="s">
        <v>197</v>
      </c>
      <c r="EV1" s="47" t="s">
        <v>118</v>
      </c>
      <c r="EW1" s="47" t="s">
        <v>119</v>
      </c>
      <c r="EX1" s="47" t="s">
        <v>120</v>
      </c>
      <c r="EY1" s="47" t="s">
        <v>121</v>
      </c>
      <c r="EZ1" s="47" t="s">
        <v>198</v>
      </c>
      <c r="FA1" s="47" t="s">
        <v>199</v>
      </c>
      <c r="FB1" s="47" t="s">
        <v>122</v>
      </c>
      <c r="FC1" s="47" t="s">
        <v>123</v>
      </c>
      <c r="FD1" s="47" t="s">
        <v>124</v>
      </c>
      <c r="FE1" s="47" t="s">
        <v>125</v>
      </c>
      <c r="FF1" s="47" t="s">
        <v>126</v>
      </c>
      <c r="FG1" s="47" t="s">
        <v>127</v>
      </c>
      <c r="FH1" s="47" t="s">
        <v>128</v>
      </c>
      <c r="FI1" s="47" t="s">
        <v>129</v>
      </c>
      <c r="FJ1" s="47" t="s">
        <v>130</v>
      </c>
      <c r="FK1" s="47" t="s">
        <v>131</v>
      </c>
      <c r="FL1" s="47" t="s">
        <v>132</v>
      </c>
      <c r="FM1" s="47" t="s">
        <v>133</v>
      </c>
      <c r="FN1" s="47" t="s">
        <v>134</v>
      </c>
      <c r="FO1" s="47" t="s">
        <v>135</v>
      </c>
      <c r="FP1" s="47" t="s">
        <v>136</v>
      </c>
      <c r="FQ1" s="47" t="s">
        <v>137</v>
      </c>
      <c r="FR1" s="47" t="s">
        <v>138</v>
      </c>
      <c r="FS1" s="47" t="s">
        <v>139</v>
      </c>
      <c r="FT1" s="47" t="s">
        <v>140</v>
      </c>
      <c r="FU1" s="47" t="s">
        <v>141</v>
      </c>
      <c r="FV1" s="47" t="s">
        <v>142</v>
      </c>
      <c r="FW1" s="47" t="s">
        <v>143</v>
      </c>
      <c r="FX1" s="47" t="s">
        <v>144</v>
      </c>
      <c r="FY1" s="47" t="s">
        <v>145</v>
      </c>
      <c r="FZ1" s="47" t="s">
        <v>146</v>
      </c>
      <c r="GA1" s="47" t="s">
        <v>147</v>
      </c>
      <c r="GB1" s="47" t="s">
        <v>148</v>
      </c>
      <c r="GC1" s="47" t="s">
        <v>149</v>
      </c>
      <c r="GD1" s="47" t="s">
        <v>150</v>
      </c>
      <c r="GE1" s="47" t="s">
        <v>151</v>
      </c>
      <c r="GF1" s="47" t="s">
        <v>152</v>
      </c>
      <c r="GG1" s="47" t="s">
        <v>223</v>
      </c>
      <c r="GH1" s="47" t="s">
        <v>221</v>
      </c>
      <c r="GI1" s="47" t="s">
        <v>222</v>
      </c>
      <c r="GJ1" s="47" t="s">
        <v>153</v>
      </c>
      <c r="GK1" s="47" t="s">
        <v>154</v>
      </c>
      <c r="GL1" s="47" t="s">
        <v>224</v>
      </c>
      <c r="GM1" s="47" t="s">
        <v>225</v>
      </c>
      <c r="GN1" s="47" t="s">
        <v>226</v>
      </c>
      <c r="GO1" s="47" t="s">
        <v>227</v>
      </c>
      <c r="GP1" s="47" t="s">
        <v>228</v>
      </c>
      <c r="GQ1" s="47" t="s">
        <v>229</v>
      </c>
      <c r="GR1" s="47" t="s">
        <v>230</v>
      </c>
      <c r="GS1" s="47" t="s">
        <v>231</v>
      </c>
      <c r="GT1" s="47" t="s">
        <v>232</v>
      </c>
      <c r="GU1" s="47" t="s">
        <v>155</v>
      </c>
      <c r="GV1" s="47" t="s">
        <v>246</v>
      </c>
      <c r="GW1" s="47" t="s">
        <v>247</v>
      </c>
      <c r="GX1" s="47" t="s">
        <v>248</v>
      </c>
      <c r="GY1" s="47" t="s">
        <v>233</v>
      </c>
      <c r="GZ1" s="47" t="s">
        <v>234</v>
      </c>
      <c r="HA1" s="47" t="s">
        <v>235</v>
      </c>
      <c r="HB1" s="47" t="s">
        <v>236</v>
      </c>
      <c r="HC1" s="47" t="s">
        <v>237</v>
      </c>
      <c r="HD1" s="47" t="s">
        <v>238</v>
      </c>
      <c r="HE1" s="47" t="s">
        <v>239</v>
      </c>
      <c r="HF1" s="47" t="s">
        <v>240</v>
      </c>
      <c r="HG1" s="47" t="s">
        <v>241</v>
      </c>
      <c r="HH1" s="47" t="s">
        <v>242</v>
      </c>
      <c r="HI1" s="47" t="s">
        <v>243</v>
      </c>
      <c r="HJ1" s="47" t="s">
        <v>244</v>
      </c>
      <c r="HK1" s="47" t="s">
        <v>245</v>
      </c>
      <c r="HL1" s="47" t="s">
        <v>156</v>
      </c>
      <c r="HM1" s="47" t="s">
        <v>157</v>
      </c>
    </row>
    <row r="2" spans="1:221" ht="14.45" customHeight="1" x14ac:dyDescent="0.25">
      <c r="A2" s="6" t="str">
        <f>'PBA Summary'!$C$2</f>
        <v>Investment Team\APG\Optimization Universe</v>
      </c>
      <c r="B2"/>
      <c r="C2" cm="1">
        <f t="array" ref="C2">_xll.ASPortfolioExpStatistic('PBA Summary'!$C$2,"Annualized Return","OR",,,,"M",'PBA Summary'!$F$2,'PBA Summary'!$G$2)</f>
        <v>6.7197642170014893E-2</v>
      </c>
      <c r="D2" cm="1">
        <f t="array" ref="D2">_xll.ASPortfolioExpStatistic('PBA Summary'!$C$2,"Annualized Volatility","OR",,,,"M",'PBA Summary'!$F$2,'PBA Summary'!$G$2)</f>
        <v>5.3944119173384535E-2</v>
      </c>
      <c r="E2" cm="1">
        <f t="array" ref="E2">_xll.ASPortfolioExpStatistic('PBA Summary'!$C$2,"Max Drawdown","OR",,,,"M",'PBA Summary'!$F$2,'PBA Summary'!$G$2)</f>
        <v>-3.1882132311787603E-2</v>
      </c>
      <c r="F2" cm="1">
        <f t="array" ref="F2">_xll.ASPortfolioStatistic('PBA Summary'!$C2,"Annualized Return since inception","OR",,,,"m",'PBA Summary'!$F$2,'PBA Summary'!$G$2)</f>
        <v>9.0952562723741304E-2</v>
      </c>
      <c r="G2" cm="1">
        <f t="array" ref="G2">_xll.ASPortfolioStatistic('PBA Summary'!$C2,"Annualized Return","OR",,,,"m",'PBA Summary'!$F$2,'PBA Summary'!$G$2)</f>
        <v>9.0952562723741304E-2</v>
      </c>
      <c r="H2" s="19" cm="1">
        <f t="array" ref="H2">_xll.ASPortfolioStatistic('PBA Summary'!$C2,"Equilibrium Annual Return","OR",,,,"m",'PBA Summary'!$F$2,'PBA Summary'!$G$2)</f>
        <v>4.6140712672579909E-2</v>
      </c>
      <c r="I2" cm="1">
        <f t="array" ref="I2">_xll.ASPortfolioStatistic('PBA Summary'!$C2,"Annualized Volatility (Inception)","OR",,,,"m",'PBA Summary'!$F$2,'PBA Summary'!$G$2)</f>
        <v>5.3622375679020257E-2</v>
      </c>
      <c r="J2" cm="1">
        <f t="array" ref="J2">_xll.ASPortfolioStatistic('PBA Summary'!$C2,"Annualized Volatility","OR",,,,"m",'PBA Summary'!$F$2,'PBA Summary'!$G$2)</f>
        <v>5.3622375679020257E-2</v>
      </c>
      <c r="K2" s="20" cm="1">
        <f t="array" ref="K2">_xll.ASPortfolioStatistic('PBA Summary'!$C2,"Skewness","OR",,,,"m",'PBA Summary'!$F$2,'PBA Summary'!$G$2)</f>
        <v>-0.45157455787944739</v>
      </c>
      <c r="L2" s="20" cm="1">
        <f t="array" ref="L2">_xll.ASPortfolioStatistic('PBA Summary'!$C2,"Excess kurtosis","OR",,,,"m",'PBA Summary'!$F$2,'PBA Summary'!$G$2)</f>
        <v>0.34044920163855663</v>
      </c>
      <c r="M2" s="19" cm="1">
        <f t="array" ref="M2">_xll.ASPortfolioStatistic('PBA Summary'!$C2,"Return Last 1 month","OR",,,,"m",'PBA Summary'!$F$2,'PBA Summary'!$G$2)</f>
        <v>2.2341490212190562E-2</v>
      </c>
      <c r="N2" s="19" cm="1">
        <f t="array" ref="N2">_xll.ASPortfolioStatistic('PBA Summary'!C2,"Return Last 3 months","OR",,,,"m",'PBA Summary'!$F$2,'PBA Summary'!$G$2)</f>
        <v>5.9644243061497404E-2</v>
      </c>
      <c r="O2" s="19" cm="1">
        <f t="array" ref="O2">_xll.ASPortfolioStatistic('PBA Summary'!C2,"Return Last 1 year","OR",,,,"m",'PBA Summary'!$F$2,'PBA Summary'!$G$2)</f>
        <v>0.10213777467535112</v>
      </c>
      <c r="P2" s="19" cm="1">
        <f t="array" ref="P2">_xll.ASPortfolioStatistic('PBA Summary'!C2,"Year-to-date Return","OR",,,,"m",'PBA Summary'!$F$2,'PBA Summary'!$G$2)</f>
        <v>2.2341490212190562E-2</v>
      </c>
      <c r="Q2" s="19" cm="1">
        <f t="array" ref="Q2">_xll.ASPortfolioStatistic('PBA Summary'!C2,"Annualized Return","or",,,,"m",EOMONTH('PBA Summary'!$G$2,-2),'PBA Summary'!$G$2)</f>
        <v>0.26078296422275282</v>
      </c>
      <c r="R2" s="19" t="str" cm="1">
        <f t="array" ref="R2">_xll.ASPortfolioStatistic('PBA Summary'!C2,"Annualized Return Last 3 years","OR",,,,"m",'PBA Summary'!$F$2,'PBA Summary'!$G$2)</f>
        <v/>
      </c>
      <c r="S2" s="19" t="str" cm="1">
        <f t="array" ref="S2">_xll.ASPortfolioStatistic('PBA Summary'!C2,"Annualized Return Last 5 years","OR",,,,"m",'PBA Summary'!$F$2,'PBA Summary'!$G$2)</f>
        <v/>
      </c>
      <c r="T2" s="19" cm="1">
        <f t="array" ref="T2">_xll.ASPortfolioStatistic('PBA Summary'!C2,"Annualized Volatility Last 1 year","OR",,,,"m",'PBA Summary'!$F$2,'PBA Summary'!$G$2)</f>
        <v>5.832080905699031E-2</v>
      </c>
      <c r="U2" s="19" t="str" cm="1">
        <f t="array" ref="U2">_xll.ASPortfolioStatistic('PBA Summary'!C2,"Annualized Volatility Last 3 years","OR",,,,"m",'PBA Summary'!$F$2,'PBA Summary'!$G$2)</f>
        <v/>
      </c>
      <c r="V2" s="19" t="str" cm="1">
        <f t="array" ref="V2">_xll.ASPortfolioStatistic('PBA Summary'!C2,"Annualized Volatility Last 5 years","OR",,,,"m",'PBA Summary'!$F$2,'PBA Summary'!$G$2)</f>
        <v/>
      </c>
      <c r="W2" s="19" cm="1">
        <f t="array" ref="W2">_xll.ASPortfolioStatistic('PBA Summary'!C2,"Normal monthly VaR 99%","OR",,,,"m",'PBA Summary'!$F$2,'PBA Summary'!$G$2)</f>
        <v>-2.8618459592789594E-2</v>
      </c>
      <c r="X2" s="19" cm="1">
        <f t="array" ref="X2">_xll.ASPortfolioStatistic('PBA Summary'!C2,"Modified monthly VaR 99%","OR",,,,"m",'PBA Summary'!$F$2,'PBA Summary'!$G$2)</f>
        <v>-3.3802527616749498E-2</v>
      </c>
      <c r="Y2" s="19" cm="1">
        <f t="array" ref="Y2">_xll.ASPortfolioStatistic('PBA Summary'!C2,"Conditional monthly VaR 99%","OR",,,,"m",'PBA Summary'!$F$2,'PBA Summary'!$G$2)</f>
        <v>-2.4102493664416635E-2</v>
      </c>
      <c r="Z2" s="19" cm="1">
        <f t="array" ref="Z2">_xll.ASPortfolioStatistic('PBA Summary'!C2,"Normal monthly VaR 97%","OR",,,,"m",'PBA Summary'!$F$2,'PBA Summary'!$G$2)</f>
        <v>-2.1721526163782312E-2</v>
      </c>
      <c r="AA2" s="19" cm="1">
        <f t="array" ref="AA2">_xll.ASPortfolioStatistic('PBA Summary'!C2,"Modified monthly VaR 97%","OR",,,,"m",'PBA Summary'!$F$2,'PBA Summary'!$G$2)</f>
        <v>-2.4557410328895309E-2</v>
      </c>
      <c r="AB2" s="19" cm="1">
        <f t="array" ref="AB2">_xll.ASPortfolioStatistic('PBA Summary'!C2,"Conditional monthly VaR 97%","OR",,,,"m",'PBA Summary'!$F$2,'PBA Summary'!$G$2)</f>
        <v>-2.4102493664416635E-2</v>
      </c>
      <c r="AC2" s="19" cm="1">
        <f t="array" ref="AC2">_xll.ASPortfolioStatistic('PBA Summary'!C2,"Normal monthly VaR 95%","OR",,,,"m",'PBA Summary'!$F$2,'PBA Summary'!$G$2)</f>
        <v>-1.8069305843711712E-2</v>
      </c>
      <c r="AD2" s="19" cm="1">
        <f t="array" ref="AD2">_xll.ASPortfolioStatistic('PBA Summary'!C2,"Modified monthly VaR 95%","OR",,,,"m",'PBA Summary'!$F$2,'PBA Summary'!$G$2)</f>
        <v>-1.9890658631288478E-2</v>
      </c>
      <c r="AE2" s="19" cm="1">
        <f t="array" ref="AE2">_xll.ASPortfolioStatistic('PBA Summary'!C2,"Conditional monthly VaR 95%","OR",,,,"m",'PBA Summary'!$F$2,'PBA Summary'!$G$2)</f>
        <v>-2.4102493664416635E-2</v>
      </c>
      <c r="AF2" s="38" cm="1">
        <f t="array" ref="AF2">IF('PBA Summary'!$D$2="","",_xll.ASPortfolioStatistic('PBA Summary'!C2,"Correlation to Benchmark 1","OR",'PBA Summary'!$D$2,,,"M",'PBA Summary'!$F$2,'PBA Summary'!$G$2))</f>
        <v>0.18762145090521479</v>
      </c>
      <c r="AG2" s="38" cm="1">
        <f t="array" ref="AG2">IF('PBA Summary'!$D$3="","",_xll.ASPortfolioStatistic('PBA Summary'!C2,"Correlation to Benchmark 1","OR",'PBA Summary'!$D$3,,,"M",'PBA Summary'!$F$2,'PBA Summary'!$G$2))</f>
        <v>0.18762145090521479</v>
      </c>
      <c r="AH2" s="21" cm="1">
        <f t="array" ref="AH2">IF('PBA Summary'!$D$2="","",_xll.ASPortfolioStatistic('PBA Summary'!C2,"Bull correlation to Benchmark 1","OR",'PBA Summary'!$D$2,,,"M",'PBA Summary'!$F$2,'PBA Summary'!$G$2))</f>
        <v>-6.2150755308529822E-2</v>
      </c>
      <c r="AI2" s="21" cm="1">
        <f t="array" ref="AI2">IF('PBA Summary'!$D$2="","",_xll.ASPortfolioStatistic('PBA Summary'!C2,"Bear correlation to Benchmark 1","OR",'PBA Summary'!$D$2,,,"M",'PBA Summary'!$F$2,'PBA Summary'!$G$2))</f>
        <v>0.96494082231332767</v>
      </c>
      <c r="AJ2" s="21" cm="1">
        <f t="array" ref="AJ2">IF('PBA Summary'!$D$3="","",_xll.ASPortfolioStatistic('PBA Summary'!C2,"Bull correlation to Benchmark 1","OR",'PBA Summary'!$D$3,,,"M",'PBA Summary'!$F$2,'PBA Summary'!$G$2))</f>
        <v>-6.2150755308529822E-2</v>
      </c>
      <c r="AK2" s="21" cm="1">
        <f t="array" ref="AK2">IF('PBA Summary'!$D$3="","",_xll.ASPortfolioStatistic('PBA Summary'!C2,"Bear correlation to Benchmark 1","OR",'PBA Summary'!$D$3,,,"M",'PBA Summary'!$F$2,'PBA Summary'!$G$2))</f>
        <v>0.96494082231332767</v>
      </c>
      <c r="AL2" s="24" cm="1">
        <f t="array" ref="AL2">IF('PBA Summary'!$D$2="","",_xll.ASPortfolioStatistic('PBA Summary'!C2,"Beta to Benchmark 1","OR",'PBA Summary'!$D$2,,,"M",'PBA Summary'!$F$2,'PBA Summary'!$G$2))</f>
        <v>6.5531826617599542E-2</v>
      </c>
      <c r="AM2" s="24" t="str" cm="1">
        <f t="array" ref="AM2">IF('PBA Summary'!$D$2="","",_xll.ASPortfolioStatistic('PBA Summary'!C2,"Beta to Benchmark 1 Last 3 years","OR",'PBA Summary'!$D$2,,,"M",'PBA Summary'!$F$2,'PBA Summary'!$G$2))</f>
        <v/>
      </c>
      <c r="AN2" s="24" t="str" cm="1">
        <f t="array" ref="AN2">IF('PBA Summary'!$D$2="","",_xll.ASPortfolioStatistic('PBA Summary'!C2,"Beta to Benchmark 1 Last 5 years","OR",'PBA Summary'!$D$2,,,"M",'PBA Summary'!$F$2,'PBA Summary'!$G$2))</f>
        <v/>
      </c>
      <c r="AO2" s="25" cm="1">
        <f t="array" ref="AO2">IF('PBA Summary'!$D$3="","",_xll.ASPortfolioStatistic('PBA Summary'!C2,"Beta to Benchmark 1","OR",'PBA Summary'!$D$3,,,"M",'PBA Summary'!$F$2,'PBA Summary'!$G$2))</f>
        <v>6.5531826617599542E-2</v>
      </c>
      <c r="AP2" s="25" t="str" cm="1">
        <f t="array" ref="AP2">IF('PBA Summary'!$D$3="","",_xll.ASPortfolioStatistic('PBA Summary'!C2,"Beta to Benchmark 1 Last 3 years","OR",'PBA Summary'!$D$3,,,"M",'PBA Summary'!$F$2,'PBA Summary'!$G$2))</f>
        <v/>
      </c>
      <c r="AQ2" s="25" t="str" cm="1">
        <f t="array" ref="AQ2">IF('PBA Summary'!$D$3="","",_xll.ASPortfolioStatistic('PBA Summary'!C2,"Beta to Benchmark 1 Last 5 years","OR",'PBA Summary'!$D$3,,,"M",'PBA Summary'!$F$2,'PBA Summary'!$G$2))</f>
        <v/>
      </c>
      <c r="AR2" s="25" cm="1">
        <f t="array" ref="AR2">IF('PBA Summary'!$D$2="","",_xll.ASPortfolioStatistic('PBA Summary'!C2,"Bull Beta to Benchmark 1","OR",'PBA Summary'!$D$2,,,"M",'PBA Summary'!$F$2,'PBA Summary'!$G$2))</f>
        <v>-4.8140058125500609E-2</v>
      </c>
      <c r="AS2" s="25" cm="1">
        <f t="array" ref="AS2">IF('PBA Summary'!$D$2="","",_xll.ASPortfolioStatistic('PBA Summary'!C2,"Bear Beta to Benchmark 1","OR",'PBA Summary'!$D$2,,,"M",'PBA Summary'!$F$2,'PBA Summary'!$G$2))</f>
        <v>0.30889470094299881</v>
      </c>
      <c r="AT2" s="25" cm="1">
        <f t="array" ref="AT2">IF('PBA Summary'!$D$3="","",_xll.ASPortfolioStatistic('PBA Summary'!C2,"Bull Beta to Benchmark 1","OR",'PBA Summary'!$D$3,,,"M",'PBA Summary'!$F$2,'PBA Summary'!$G$2))</f>
        <v>-4.8140058125500609E-2</v>
      </c>
      <c r="AU2" s="25" cm="1">
        <f t="array" ref="AU2">IF('PBA Summary'!$D$3="","",_xll.ASPortfolioStatistic('PBA Summary'!C2,"Bear Beta to Benchmark 1","OR",'PBA Summary'!$D$3,,,"M",'PBA Summary'!$F$2,'PBA Summary'!$G$2))</f>
        <v>0.30889470094299881</v>
      </c>
      <c r="AV2" s="25" cm="1">
        <f t="array" ref="AV2">_xll.ASPortfolioStatistic('PBA Summary'!C2,"Annual Sharpe Ratio (Rf)","OR",,,'PBA Summary'!$H$2,"M",'PBA Summary'!$F$2,'PBA Summary'!$G$2)</f>
        <v>1.6495457652456891</v>
      </c>
      <c r="AW2" s="25" t="str" cm="1">
        <f t="array" ref="AW2">_xll.ASPortfolioStatistic('PBA Summary'!C2,"Annual Sharpe Ratio (Rf) Last 3 years","OR",,,'PBA Summary'!$H$2,"M",'PBA Summary'!$F$2,'PBA Summary'!$G$2)</f>
        <v/>
      </c>
      <c r="AX2" s="25" t="str" cm="1">
        <f t="array" ref="AX2">_xll.ASPortfolioStatistic('PBA Summary'!C2,"Annual Sharpe Ratio (Rf) Last 5 years","OR",,,'PBA Summary'!$H$2,"M",'PBA Summary'!$F$2,'PBA Summary'!$G$2)</f>
        <v/>
      </c>
      <c r="AY2" s="18" cm="1">
        <f t="array" ref="AY2">_xll.ASPortfolioStatistic('PBA Summary'!C2,"Ann. Downside Deviation (vs 0%)","OR",,,'PBA Summary'!$H$2,"M",'PBA Summary'!$F$2,'PBA Summary'!$G$2)</f>
        <v>2.7471353651418829E-2</v>
      </c>
      <c r="AZ2" s="18" cm="1">
        <f t="array" ref="AZ2">_xll.ASPortfolioStatistic('PBA Summary'!C2,"Ann. Downside Deviation (vs Rf)","OR",,,'PBA Summary'!$H$2,"M",'PBA Summary'!$F$2,'PBA Summary'!$G$2)</f>
        <v>2.7783878492624869E-2</v>
      </c>
      <c r="BA2" s="39" cm="1">
        <f t="array" ref="BA2">_xll.ASPortfolioStatistic('PBA Summary'!C2,"Annual Treynor ratio","OR",,,'PBA Summary'!$H$2,"M",'PBA Summary'!$F$2,'PBA Summary'!$G$2)</f>
        <v>1.3497649506993301</v>
      </c>
      <c r="BB2" s="26" cm="1">
        <f t="array" ref="BB2">_xll.ASPortfolioStatistic('PBA Summary'!C2,"Annual Sortino Ratio (vs 0%)","OR",,,'PBA Summary'!$H$2,"M",'PBA Summary'!$F$2,'PBA Summary'!$G$2)</f>
        <v>3.3108147446183027</v>
      </c>
      <c r="BC2" s="26" cm="1">
        <f t="array" ref="BC2">_xll.ASPortfolioStatistic('PBA Summary'!C2,"Annual Sortino Ratio (vs Rf)","OR",,,'PBA Summary'!$H$2,"M",'PBA Summary'!$F$2,'PBA Summary'!$G$2)</f>
        <v>3.1835930590907497</v>
      </c>
      <c r="BD2" s="26" cm="1">
        <f t="array" ref="BD2">_xll.ASPortfolioStatistic('PBA Summary'!C2,"Sterling ratio","OR",,,'PBA Summary'!$H$2,"M",'PBA Summary'!$F$2,'PBA Summary'!$G$2)</f>
        <v>0.73288263626421979</v>
      </c>
      <c r="BE2" s="26" cm="1">
        <f t="array" ref="BE2">_xll.ASPortfolioStatistic('PBA Summary'!C2,"Calmar ratio","OR",,,'PBA Summary'!$H$2,"M",'PBA Summary'!$F$2,'PBA Summary'!$G$2)</f>
        <v>3.773574800603217</v>
      </c>
      <c r="BF2" s="26" cm="1">
        <f t="array" ref="BF2">_xll.ASPortfolioStatistic('PBA Summary'!C2,"Hurst index","OR",,,'PBA Summary'!$H$2,"M",'PBA Summary'!$F$2,'PBA Summary'!$G$2)</f>
        <v>0.48751168472811907</v>
      </c>
      <c r="BG2" s="26" cm="1">
        <f t="array" ref="BG2">_xll.ASPortfolioStatistic('PBA Summary'!C2,"Omega (Threshold 1)","OR",,,'PBA Summary'!$H$2,"M",'PBA Summary'!$F$2,'PBA Summary'!$G$2)</f>
        <v>3.1551765389554736</v>
      </c>
      <c r="BH2" s="26" cm="1">
        <f t="array" ref="BH2">_xll.ASPortfolioStatistic('PBA Summary'!C2,"Omega (Threshold 2)","OR",,,'PBA Summary'!$H$2,"M",'PBA Summary'!$F$2,'PBA Summary'!$G$2)</f>
        <v>1.4958299845597738</v>
      </c>
      <c r="BI2" s="26" cm="1">
        <f t="array" ref="BI2">_xll.ASPortfolioStatistic('PBA Summary'!C2,"Omega (Threshold 3)","OR",,,'PBA Summary'!$H$2,"M",'PBA Summary'!$F$2,'PBA Summary'!$G$2)</f>
        <v>0.6154163898514009</v>
      </c>
      <c r="BJ2" s="26" cm="1">
        <f t="array" ref="BJ2">_xll.ASPortfolioStatistic('PBA Summary'!C2,"Omega (Threshold 4)","OR",,,'PBA Summary'!$H$2,"M",'PBA Summary'!$F$2,'PBA Summary'!$G$2)</f>
        <v>0.24986548876048387</v>
      </c>
      <c r="BK2" s="26" cm="1">
        <f t="array" ref="BK2">_xll.ASPortfolioStatistic('PBA Summary'!C2,"Omega (Threshold 5)","OR",,,'PBA Summary'!$H$2,"M",'PBA Summary'!$F$2,'PBA Summary'!$G$2)</f>
        <v>0.1084810605249836</v>
      </c>
      <c r="BL2" s="26" t="str" cm="1">
        <f t="array" ref="BL2">_xll.ASPortfolioStatistic('PBA Summary'!C2,"Autocorrelated (illiquid)","OR",,,'PBA Summary'!$H$2,"M",'PBA Summary'!$F$2,'PBA Summary'!$G$2)</f>
        <v>No</v>
      </c>
      <c r="BM2" s="27" cm="1">
        <f t="array" ref="BM2">_xll.ASPortfolioStatistic('PBA Summary'!C2,"% months in Run Up","OR",,,'PBA Summary'!$H$2,"M",'PBA Summary'!$F$2,'PBA Summary'!$G$2)</f>
        <v>0.73333333333333339</v>
      </c>
      <c r="BN2" s="27" cm="1">
        <f t="array" ref="BN2">_xll.ASPortfolioStatistic('PBA Summary'!C2,"% months in Drawdown","OR",,,'PBA Summary'!$H$2,"M",'PBA Summary'!$F$2,'PBA Summary'!$G$2)</f>
        <v>0.26666666666666666</v>
      </c>
      <c r="BO2" s="18" cm="1">
        <f t="array" ref="BO2">IF('PBA Summary'!$D$2="","",_xll.ASPortfolioStatistic('PBA Summary'!C2,"Average return during bull Benchmark 1","OR",'PBA Summary'!$D$2,,,"M",'PBA Summary'!$F$2,'PBA Summary'!$G$2))</f>
        <v>7.882587639514417E-3</v>
      </c>
      <c r="BP2" s="18" cm="1">
        <f t="array" ref="BP2">IF('PBA Summary'!$D$2="","",_xll.ASPortfolioStatistic('PBA Summary'!C2,"Average return during bear Benchmark 1","OR",'PBA Summary'!$D$2,,,"M",'PBA Summary'!$F$2,'PBA Summary'!$G$2))</f>
        <v>6.0433261240130653E-3</v>
      </c>
      <c r="BQ2" s="18" cm="1">
        <f t="array" ref="BQ2">IF('PBA Summary'!$D$3="","",_xll.ASPortfolioStatistic('PBA Summary'!C2,"Average return during bull Benchmark 1","OR",'PBA Summary'!$D$3,,,"M",'PBA Summary'!$F$2,'PBA Summary'!$G$2))</f>
        <v>7.882587639514417E-3</v>
      </c>
      <c r="BR2" s="18" cm="1">
        <f t="array" ref="BR2">IF('PBA Summary'!$D$3="","",_xll.ASPortfolioStatistic('PBA Summary'!C2,"Average return during bear Benchmark 1","OR",'PBA Summary'!$D$3,,,"M",'PBA Summary'!$F$2,'PBA Summary'!$G$2))</f>
        <v>6.0433261240130653E-3</v>
      </c>
      <c r="BS2" s="27" cm="1">
        <f t="array" ref="BS2">_xll.ASPortfolioStatistic('PBA Summary'!C2,"Maximum consecutive gain","OR",,,'PBA Summary'!$H$2,"M",'PBA Summary'!$F$2,'PBA Summary'!$G$2)</f>
        <v>6.777696022898283E-2</v>
      </c>
      <c r="BT2" s="27" cm="1">
        <f t="array" ref="BT2">_xll.ASPortfolioStatistic('PBA Summary'!C2,"Maximum consecutive loss","OR",,,'PBA Summary'!$H$2,"M",'PBA Summary'!$F$2,'PBA Summary'!$G$2)</f>
        <v>-2.4102493664416635E-2</v>
      </c>
      <c r="BU2" s="27" cm="1">
        <f t="array" ref="BU2">_xll.ASPortfolioStatistic('PBA Summary'!C2,"Max monthly gain","OR",,,'PBA Summary'!$H$2,"M",'PBA Summary'!$F$2,'PBA Summary'!$G$2)</f>
        <v>3.4551861290019081E-2</v>
      </c>
      <c r="BV2" s="27" cm="1">
        <f t="array" ref="BV2">_xll.ASPortfolioStatistic('PBA Summary'!C2,"Max monthly loss","OR",,,'PBA Summary'!$H$2,"M",'PBA Summary'!$F$2,'PBA Summary'!$G$2)</f>
        <v>-2.4102493664416635E-2</v>
      </c>
      <c r="BW2" s="27" cm="1">
        <f t="array" ref="BW2">_xll.ASPortfolioStatistic('PBA Summary'!C2,"Max drawdown","OR",,,'PBA Summary'!$H$2,"M",'PBA Summary'!$F$2,'PBA Summary'!$G$2)</f>
        <v>-2.4102493664416635E-2</v>
      </c>
      <c r="BX2" s="28" cm="1">
        <f t="array" ref="BX2">_xll.ASPortfolioStatistic('PBA Summary'!C2,"Date Max drawdown","OR",,,'PBA Summary'!$H$2,"M",'PBA Summary'!$F$2,'PBA Summary'!$G$2)</f>
        <v>43738</v>
      </c>
      <c r="BY2" s="28" cm="1">
        <f t="array" ref="BY2">_xll.ASPortfolioStatistic('PBA Summary'!C2,"Start Date Max Drawdown","OR",,,'PBA Summary'!$H$2,"M",'PBA Summary'!$F$2,'PBA Summary'!$G$2)</f>
        <v>43738</v>
      </c>
      <c r="BZ2" s="28" cm="1">
        <f t="array" ref="BZ2">_xll.ASPortfolioStatistic('PBA Summary'!C2,"End Date Max Drawdown","OR",,,'PBA Summary'!$H$2,"M",'PBA Summary'!$F$2,'PBA Summary'!$G$2)</f>
        <v>43799</v>
      </c>
      <c r="CA2" s="29" cm="1">
        <f t="array" ref="CA2">_xll.ASPortfolioStatistic('PBA Summary'!C2,"Max Time-under-water (months)","OR",,,'PBA Summary'!$H$2,"M",'PBA Summary'!$F$2,'PBA Summary'!$G$2)</f>
        <v>4</v>
      </c>
      <c r="CB2" s="27" cm="1">
        <f t="array" ref="CB2">_xll.ASPortfolioStatistic('PBA Summary'!C2,"Max possible drawdown 99%","OR",,,'PBA Summary'!$H$2,"M",'PBA Summary'!$F$2,'PBA Summary'!$G$2)</f>
        <v>-4.3856229997105999E-2</v>
      </c>
      <c r="CC2" s="27" cm="1">
        <f t="array" ref="CC2">_xll.ASPortfolioStatistic('PBA Summary'!C2,"Max possible drawdown 99.9%","OR",,,'PBA Summary'!$H$2,"M",'PBA Summary'!$F$2,'PBA Summary'!$G$2)</f>
        <v>-7.7386327399215582E-2</v>
      </c>
      <c r="CD2" s="30" cm="1">
        <f t="array" ref="CD2">_xll.ASPortfolioStatistic('PBA Summary'!C2,"Max Possible Time-under-water 99% (months)","OR",,,'PBA Summary'!$H$2,"M",'PBA Summary'!$F$2,'PBA Summary'!$G$2)</f>
        <v>23.731347675046781</v>
      </c>
      <c r="CE2" s="30" cm="1">
        <f t="array" ref="CE2">_xll.ASPortfolioStatistic('PBA Summary'!C2,"Max Possible Time-under-water 99.9% (months)","OR",,,'PBA Summary'!$H$2,"M",'PBA Summary'!$F$2,'PBA Summary'!$G$2)</f>
        <v>41.875050384562691</v>
      </c>
      <c r="CF2" s="17" t="str" cm="1">
        <f t="array" ref="CF2">_xll.ASPortfolioReturnAttribution('PBA Summary'!$C$2,"OR",A2,"Last 1m",'PBA Summary'!$F$2,'PBA Summary'!$G$2)</f>
        <v/>
      </c>
      <c r="CG2" s="11" t="str" cm="1">
        <f t="array" ref="CG2">_xll.ASPortfolioInfo('PBA Summary'!C2,"Strategy")</f>
        <v>[Not Classified]</v>
      </c>
      <c r="CH2" s="14" cm="1">
        <f t="array" ref="CH2">_xll.ASPortfolioInfo('PBA Summary'!C2,"Start Date")</f>
        <v>43434</v>
      </c>
      <c r="CI2" s="14" t="str" cm="1">
        <f t="array" ref="CI2">_xll.ASAssetRatings('PBA Summary'!C2,"Quantitative",0,0,0,0,0,'PBA Summary'!$F$2,'PBA Summary'!$G$2)</f>
        <v/>
      </c>
      <c r="CJ2" s="14" t="str" cm="1">
        <f t="array" ref="CJ2">_xll.ASAssetRatings('PBA Summary'!C2,"Qualitative",0,0,0,0,0,'PBA Summary'!$F$2,'PBA Summary'!$G$2)</f>
        <v/>
      </c>
      <c r="CK2" s="14" t="str" cm="1">
        <f t="array" ref="CK2">_xll.ASAssetRatings('PBA Summary'!C2,"Final",0,0,0,0,0,'PBA Summary'!$F$2,'PBA Summary'!$G$2)</f>
        <v/>
      </c>
      <c r="CL2" s="14" cm="1">
        <f t="array" ref="CL2">_xll.ASPortfolioInfo('PBA Summary'!C2,"Last Return Date")</f>
        <v>43861</v>
      </c>
      <c r="CM2" s="14" t="str" cm="1">
        <f t="array" ref="CM2">_xll.ASPortfolioInfo('PBA Summary'!C2,"Company Name")</f>
        <v/>
      </c>
      <c r="CN2" s="14" t="str" cm="1">
        <f t="array" ref="CN2">_xll.ASPortfolioInfo('PBA Summary'!C2,"Manager Name")</f>
        <v/>
      </c>
      <c r="CO2" s="14" t="str" cm="1">
        <f t="array" ref="CO2">_xll.ASPortfolioInfo('PBA Summary'!C2,"Address")</f>
        <v/>
      </c>
      <c r="CP2" s="14" t="str" cm="1">
        <f t="array" ref="CP2">_xll.ASPortfolioInfo('PBA Summary'!C2,"Phone Number")</f>
        <v/>
      </c>
      <c r="CQ2" s="14" t="str" cm="1">
        <f t="array" ref="CQ2">_xll.ASPortfolioInfo('PBA Summary'!C2,"Email")</f>
        <v/>
      </c>
      <c r="CR2" s="14" t="str" cm="1">
        <f t="array" ref="CR2">_xll.ASPortfolioInfo('PBA Summary'!C2,"Asset Type")</f>
        <v>Portfolio</v>
      </c>
      <c r="CS2" s="14" t="str" cm="1">
        <f t="array" ref="CS2">_xll.ASPortfolioInfo('PBA Summary'!C2,"Proprietary ID")</f>
        <v/>
      </c>
      <c r="CT2" s="14" t="str" cm="1">
        <f t="array" ref="CT2">_xll.ASPortfolioInfo('PBA Summary'!C2,"Country")</f>
        <v>[Not Classified]</v>
      </c>
      <c r="CU2" s="14" t="str" cm="1">
        <f t="array" ref="CU2">_xll.ASPortfolioInfo('PBA Summary'!C2,"Currency")</f>
        <v>USD</v>
      </c>
      <c r="CV2" s="14" t="str" cm="1">
        <f t="array" ref="CV2">_xll.ASPortfolioInfo('PBA Summary'!C2,"Sub-Strategy")</f>
        <v/>
      </c>
      <c r="CW2" s="31" t="str" cm="1">
        <f t="array" ref="CW2">_xll.ASPortfolioInfo('PBA Summary'!C2,"Fund AUM (m)")</f>
        <v/>
      </c>
      <c r="CX2" s="31" t="str" cm="1">
        <f t="array" ref="CX2">_xll.ASPortfolioInfo('PBA Summary'!C2,"Status")</f>
        <v>Unknown</v>
      </c>
      <c r="CY2" s="31" t="str" cm="1">
        <f t="array" ref="CY2">_xll.ASPortfolioInfo('PBA Summary'!C2,"Redemption 1 Frequency")</f>
        <v>Unknown</v>
      </c>
      <c r="CZ2" s="31" t="str" cm="1">
        <f t="array" ref="CZ2">_xll.ASPortfolioInfo('PBA Summary'!C2,"Redemption 2 Frequency")</f>
        <v>Unknown</v>
      </c>
      <c r="DA2" s="31" t="str" cm="1">
        <f t="array" ref="DA2">_xll.ASPortfolioInfo('PBA Summary'!C2,"Redemption 3 Frequency")</f>
        <v>Unknown</v>
      </c>
      <c r="DB2" s="31" t="str" cm="1">
        <f t="array" ref="DB2">_xll.ASPortfolioInfo('PBA Summary'!C2,"Notice Period")</f>
        <v/>
      </c>
      <c r="DC2" s="15" cm="1">
        <f t="array" ref="DC2">_xll.ASPortfolioInfo('PBA Summary'!C2,"Performance Fee")</f>
        <v>5.0000000000000001E-3</v>
      </c>
      <c r="DD2" s="15" cm="1">
        <f t="array" ref="DD2">_xll.ASPortfolioInfo('PBA Summary'!C2,"Management Fee")</f>
        <v>5.0000000000000001E-3</v>
      </c>
      <c r="DE2" s="15" t="str" cm="1">
        <f t="array" ref="DE2">_xll.ASPortfolioInfo('PBA Summary'!C2,"ISIN")</f>
        <v/>
      </c>
      <c r="DF2" s="16" t="str" cm="1">
        <f t="array" ref="DF2">_xll.ASPortfolioStatistic('PBA Summary'!C2,"Return during " &amp;YEAR(EOMONTH('PBA Summary'!$G$2,-60)),"OR",,,,"M",DATE(YEAR(EOMONTH('PBA Summary'!$G$2,-60)),1,31),DATE(YEAR(EOMONTH('PBA Summary'!$G$2,-60)),12,31))</f>
        <v/>
      </c>
      <c r="DG2" s="16" t="str" cm="1">
        <f t="array" ref="DG2">_xll.ASPortfolioStatistic('PBA Summary'!C2,"Return during " &amp;YEAR(EOMONTH('PBA Summary'!$G$2,-48)),"OR",,,,"M",DATE(YEAR(EOMONTH('PBA Summary'!$G$2,-484)),1,31),DATE(YEAR(EOMONTH('PBA Summary'!$G$2,-48)),12,31))</f>
        <v/>
      </c>
      <c r="DH2" s="16" t="str" cm="1">
        <f t="array" ref="DH2">_xll.ASPortfolioStatistic('PBA Summary'!C2,"Return during " &amp;YEAR(EOMONTH('PBA Summary'!$G$2,-36)),"OR",,,,"M",DATE(YEAR(EOMONTH('PBA Summary'!$G$2,-36)),1,31),DATE(YEAR(EOMONTH('PBA Summary'!$G$2,-36)),12,31))</f>
        <v/>
      </c>
      <c r="DI2" s="16" cm="1">
        <f t="array" ref="DI2">_xll.ASPortfolioStatistic('PBA Summary'!C2,"Return during " &amp;YEAR(EOMONTH('PBA Summary'!$G$2,-24)),"OR",,,,"M",DATE(YEAR(EOMONTH('PBA Summary'!$G$2,-24)),1,31),DATE(YEAR(EOMONTH('PBA Summary'!$G$2,-24)),12,31))</f>
        <v>7.5167637134403442E-3</v>
      </c>
      <c r="DJ2" s="16" cm="1">
        <f t="array" ref="DJ2">_xll.ASPortfolioStatistic('PBA Summary'!C2,"Return during " &amp;YEAR(EOMONTH('PBA Summary'!$G$2,-12)),"OR",,,,"M",DATE(YEAR(EOMONTH('PBA Summary'!$G$2,-12)),1,31),DATE(YEAR(EOMONTH('PBA Summary'!$G$2,-12)),12,31))</f>
        <v>8.2453044400795816E-2</v>
      </c>
      <c r="DK2" s="11" t="str" cm="1">
        <f t="array" ref="DK2">_xll.ASPortfolioInfo('PBA Summary'!C2,"Prime Broker")</f>
        <v/>
      </c>
      <c r="DL2" s="16" cm="1">
        <f t="array" ref="DL2">_xll.ASPortfolioStatistic('PBA Summary'!C2,"Return","or",,,,"m",'PBA Summary'!$F$2,'PBA Summary'!$G$2)</f>
        <v>0.11495498477598831</v>
      </c>
      <c r="DM2" s="33" cm="1">
        <f t="array" ref="DM2">IF('PBA Summary'!$D$2="","",_xll.ASPortfolioStatistic('PBA Summary'!C2,"Ann. Information Ratio vs Benchmark 1","or",'PBA Summary'!$D$2,,,"m",'PBA Summary'!$F$2,'PBA Summary'!$G$2))</f>
        <v>-0.53236785070262893</v>
      </c>
      <c r="DN2" s="33" cm="1">
        <f t="array" ref="DN2">IF('PBA Summary'!$D$3="","",_xll.ASPortfolioStatistic('PBA Summary'!C2,"Ann. Information Ratio vs Benchmark 1","or",'PBA Summary'!$D$3,,,"m",'PBA Summary'!$F$2,'PBA Summary'!$G$2))</f>
        <v>-0.53236785070262893</v>
      </c>
      <c r="DO2" s="33" cm="1">
        <f t="array" ref="DO2">IF('PBA Summary'!$D$2="","",_xll.ASPortfolioStatistic('PBA Summary'!C2,"Ann. Tracking Error vs Benchmark 1","or",'PBA Summary'!$D$2,,,"m",'PBA Summary'!$F$2,'PBA Summary'!$G$2))</f>
        <v>0.15282622982500882</v>
      </c>
      <c r="DP2" s="33" cm="1">
        <f t="array" ref="DP2">IF('PBA Summary'!$D$3="","",_xll.ASPortfolioStatistic('PBA Summary'!C2,"Ann. Tracking Error vs Benchmark 1","OR",'PBA Summary'!$D$3,,,"m",'PBA Summary'!$F$2,'PBA Summary'!$G$2))</f>
        <v>0.15282622982500882</v>
      </c>
      <c r="DQ2" s="33" cm="1">
        <f t="array" ref="DQ2">IF('PBA Summary'!$D$2="","",_xll.ASPortfolioStatistic('PBA Summary'!C2,"R² vs Benchmark 1","OR",'PBA Summary'!$D$2,,,"m",'PBA Summary'!$F$2,'PBA Summary'!$G$2))</f>
        <v>3.5201808839777922E-2</v>
      </c>
      <c r="DR2" s="33" cm="1">
        <f t="array" ref="DR2">IF('PBA Summary'!$D$3="","",_xll.ASPortfolioStatistic('PBA Summary'!C2,"R² vs Benchmark 1","OR",'PBA Summary'!$D$3,,,"m",'PBA Summary'!$F$2,'PBA Summary'!$G$2))</f>
        <v>3.5201808839777922E-2</v>
      </c>
      <c r="DS2" s="11" t="str" cm="1">
        <f t="array" ref="DS2">_xll.ASPortfolioInfo('PBA Summary'!C2,"On-/Offshore")</f>
        <v>Unknown</v>
      </c>
      <c r="DT2" s="16" cm="1">
        <f t="array" ref="DT2">_xll.ASPortfolioStatistic('PBA Summary'!C2,"Quarter-to-date","OR",,,,"m",'PBA Summary'!$F$2,'PBA Summary'!$G$2)</f>
        <v>2.2341490212190562E-2</v>
      </c>
      <c r="DU2" s="16" cm="1">
        <f t="array" ref="DU2">_xll.ASPortfolioStatistic('PBA Summary'!C2,"Annualized Return Since inception","OR",,,,"m",'PBA Summary'!$F$2,'PBA Summary'!$G$2)</f>
        <v>9.0952562723741304E-2</v>
      </c>
      <c r="DV2" s="16" cm="1">
        <f t="array" ref="DV2">IF('PBA Summary'!$D$2="","",_xll.ASPortfolioStatistic('PBA Summary'!C2,"Ann. Bear Market Return vs Benchmark 1","OR",'PBA Summary'!$D$2,,,"m",'PBA Summary'!$F$2,'PBA Summary'!$G$2))</f>
        <v>7.4131065824753595E-2</v>
      </c>
      <c r="DW2" s="16" cm="1">
        <f t="array" ref="DW2">IF('PBA Summary'!$D$2="","",_xll.ASPortfolioStatistic('PBA Summary'!C2,"Ann. Bull Market Return vs Benchmark 1","OR",'PBA Summary'!$D$2,,,"m",'PBA Summary'!$F$2,'PBA Summary'!$G$2))</f>
        <v>9.7134569337204768E-2</v>
      </c>
      <c r="DX2" s="16" cm="1">
        <f t="array" ref="DX2">IF('PBA Summary'!$D$3="","",_xll.ASPortfolioStatistic('PBA Summary'!C2,"Ann. Bear Market Return vs Benchmark 1","OR",'PBA Summary'!$D$3,,,"m",'PBA Summary'!$F$2,'PBA Summary'!$G$2))</f>
        <v>7.4131065824753595E-2</v>
      </c>
      <c r="DY2" s="16" cm="1">
        <f t="array" ref="DY2">IF('PBA Summary'!$D$3="","",_xll.ASPortfolioStatistic('PBA Summary'!C2,"Ann. Bull Market Return vs Benchmark 1","OR",'PBA Summary'!$D$3,,,"m",'PBA Summary'!$F$2,'PBA Summary'!$G$2))</f>
        <v>9.7134569337204768E-2</v>
      </c>
      <c r="DZ2" s="17" cm="1">
        <f t="array" ref="DZ2">_xll.ASPortfolioStatistic('PBA Summary'!C2,"Average Positive Return","OR",,,,"m",'PBA Summary'!$F$2,'PBA Summary'!$G$2)</f>
        <v>1.4757346422874356E-2</v>
      </c>
      <c r="EA2" s="17" cm="1">
        <f t="array" ref="EA2">_xll.ASPortfolioStatistic('PBA Summary'!C2,"Average Negative Return","OR",,,,"m",'PBA Summary'!$F$2,'PBA Summary'!$G$2)</f>
        <v>-1.2862260530226766E-2</v>
      </c>
      <c r="EB2" s="16" cm="1">
        <f t="array" ref="EB2">IF('PBA Summary'!$D$2="","",_xll.ASPortfolioStatistic('PBA Summary'!C2,"Outperformance vs Benchmark 1","OR",'PBA Summary'!$D$2,,,"m",'PBA Summary'!$F$2,'PBA Summary'!$G$2))</f>
        <v>-0.10488866003273034</v>
      </c>
      <c r="EC2" s="16" cm="1">
        <f t="array" ref="EC2">IF('PBA Summary'!$D$3="","",_xll.ASPortfolioStatistic('PBA Summary'!C2,"Outperformance vs Benchmark 1","OR",'PBA Summary'!$D$3,,,"m",'PBA Summary'!$F$2,'PBA Summary'!$G$2))</f>
        <v>-0.10488866003273034</v>
      </c>
      <c r="ED2" s="16" cm="1">
        <f t="array" ref="ED2">IF('PBA Summary'!$D$2="","",_xll.ASPortfolioStatistic('PBA Summary'!C2,"Annual Outperformance vs Benchmark 1","OR",'PBA Summary'!$D$2,,,"m",'PBA Summary'!$F$2,'PBA Summary'!$G$2))</f>
        <v>-8.1359771502925948E-2</v>
      </c>
      <c r="EE2" s="16" cm="1">
        <f t="array" ref="EE2">IF('PBA Summary'!$D$3="","",_xll.ASPortfolioStatistic('PBA Summary'!C2,"Annual Outperformance vs Benchmark 1","OR",'PBA Summary'!$D$3,,,"m",'PBA Summary'!$F$2,'PBA Summary'!$G$2))</f>
        <v>-8.1359771502925948E-2</v>
      </c>
      <c r="EF2" s="32" cm="1">
        <f t="array" ref="EF2">_xll.ASPortfolioStatistic('PBA Summary'!C2,"Rachev Ratio 99%","OR",,,,"m",'PBA Summary'!$F$2,'PBA Summary'!$G$2)</f>
        <v>-1.433538859965731</v>
      </c>
      <c r="EG2" s="32" cm="1">
        <f t="array" ref="EG2">_xll.ASPortfolioStatistic('PBA Summary'!C2,"Rachev Ratio 97%","OR",,,,"m",'PBA Summary'!$F$2,'PBA Summary'!$G$2)</f>
        <v>-1.433538859965731</v>
      </c>
      <c r="EH2" s="32" cm="1">
        <f t="array" ref="EH2">_xll.ASPortfolioStatistic('PBA Summary'!C2,"Rachev Ratio 95%","OR",,,,"m",'PBA Summary'!$F$2,'PBA Summary'!$G$2)</f>
        <v>-1.433538859965731</v>
      </c>
      <c r="EI2" s="32" cm="1">
        <f t="array" ref="EI2">_xll.ASPortfolioStatistic('PBA Summary'!C2,"Rachev Ratio 90%","OR",,,,"m",'PBA Summary'!$F$2,'PBA Summary'!$G$2)</f>
        <v>-1.4513900544104825</v>
      </c>
      <c r="EJ2" s="34" cm="1">
        <f t="array" ref="EJ2">IF('PBA Summary'!$D$2="","",_xll.ASPortfolioStatistic('PBA Summary'!C2,"Annual Up Capture vs Benchmark 1","OR",'PBA Summary'!$D$2,,,"m",'PBA Summary'!$F$2,'PBA Summary'!$G$2))</f>
        <v>0.19188672429560669</v>
      </c>
      <c r="EK2" s="34" cm="1">
        <f t="array" ref="EK2">IF('PBA Summary'!$D$3="","",_xll.ASPortfolioStatistic('PBA Summary'!C2,"Annual Up Capture vs Benchmark 1","OR",'PBA Summary'!$D$3,,,"m",'PBA Summary'!$F$2,'PBA Summary'!$G$2))</f>
        <v>0.19188672429560669</v>
      </c>
      <c r="EL2" s="34" cm="1">
        <f t="array" ref="EL2">IF('PBA Summary'!$D$2="","",_xll.ASPortfolioStatistic('PBA Summary'!C2,"Annual Down Capture vs Benchmark 1","OR",'PBA Summary'!$D$2,,,"m",'PBA Summary'!$F$2,'PBA Summary'!$G$2))</f>
        <v>-0.18013803519007537</v>
      </c>
      <c r="EM2" s="34" cm="1">
        <f t="array" ref="EM2">IF('PBA Summary'!$D$3="","",_xll.ASPortfolioStatistic('PBA Summary'!C2,"Annual Down Capture vs Benchmark 1","OR",'PBA Summary'!$D$3,,,"m",'PBA Summary'!$F$2,'PBA Summary'!$G$2))</f>
        <v>-0.18013803519007537</v>
      </c>
      <c r="EN2" s="16" cm="1">
        <f t="array" ref="EN2">IF('PBA Summary'!$D$2="","",_xll.ASPortfolioStatistic('PBA Summary'!C2,"Ann. Tracking Error vs Benchmark 1","OR",'PBA Summary'!$D$2,,,"m",'PBA Summary'!$F$2,'PBA Summary'!$G$2))</f>
        <v>0.15282622982500882</v>
      </c>
      <c r="EO2" s="16" cm="1">
        <f t="array" ref="EO2">IF('PBA Summary'!$D$3="","",_xll.ASPortfolioStatistic('PBA Summary'!C2,"Ann. Tracking Error vs Benchmark 1","OR",'PBA Summary'!$D$3,,,"m",'PBA Summary'!$F$2,'PBA Summary'!$G$2))</f>
        <v>0.15282622982500882</v>
      </c>
      <c r="EP2" s="16" cm="1">
        <f t="array" ref="EP2">IF('PBA Summary'!$D$2="","",_xll.ASPortfolioStatistic('PBA Summary'!C2,"Annual Jensen Alpha vs Benchmark 1 (Rf)","OR",'PBA Summary'!$D$2,,,"m",'PBA Summary'!$F$2,'PBA Summary'!$G$2))</f>
        <v>7.7324450279669471E-2</v>
      </c>
      <c r="EQ2" s="16" cm="1">
        <f t="array" ref="EQ2">IF('PBA Summary'!$D$3="","",_xll.ASPortfolioStatistic('PBA Summary'!C2,"Annual Jensen Alpha vs Benchmark 1 (Rf)","OR",'PBA Summary'!$D$3,,,"m",'PBA Summary'!$F$2,'PBA Summary'!$G$2))</f>
        <v>7.7324450279669471E-2</v>
      </c>
      <c r="ER2" s="33" cm="1">
        <f t="array" ref="ER2">IF('PBA Summary'!$D$2="","",_xll.ASPortfolioStatistic('PBA Summary'!C2,"Ann. Information Ratio vs Benchmark 1","OR",'PBA Summary'!$D$2,,,"m",'PBA Summary'!$F$2,'PBA Summary'!$G$2))</f>
        <v>-0.53236785070262893</v>
      </c>
      <c r="ES2" s="33" cm="1">
        <f t="array" ref="ES2">IF('PBA Summary'!$D$3="","",_xll.ASPortfolioStatistic('PBA Summary'!C2,"Ann. Information Ratio vs Benchmark 1","OR",'PBA Summary'!$D$3,,,"m",'PBA Summary'!$F$2,'PBA Summary'!$G$2))</f>
        <v>-0.53236785070262893</v>
      </c>
      <c r="ET2" s="17" cm="1">
        <f t="array" ref="ET2">IF('PBA Summary'!$D$2="","",_xll.ASPortfolioStatistic('PBA Summary'!C2,"Alpha Monthly vs Benchmark 1","OR",'PBA Summary'!$D$2,,,"m",'PBA Summary'!$F$2,'PBA Summary'!$G$2))</f>
        <v>6.4571440789415449E-3</v>
      </c>
      <c r="EU2" s="17" cm="1">
        <f t="array" ref="EU2">IF('PBA Summary'!$D$3="","",_xll.ASPortfolioStatistic('PBA Summary'!C2,"Alpha Monthly vs Benchmark 1","OR",'PBA Summary'!$D$3,,,"m",'PBA Summary'!$F$2,'PBA Summary'!$G$2))</f>
        <v>6.4571440789415449E-3</v>
      </c>
      <c r="EV2" s="11" t="str" cm="1">
        <f t="array" ref="EV2">_xll.ASPortfolioInfo('PBA Summary'!C2,"Company AUM (m)")</f>
        <v/>
      </c>
      <c r="EW2" s="16" cm="1">
        <f t="array" ref="EW2">_xll.ASPortfolioStatistic('PBA Summary'!C2,"Exponential Annualized Volatility","OR",,,,"m",'PBA Summary'!$F$2,'PBA Summary'!$G$2)</f>
        <v>5.4629927120428481E-2</v>
      </c>
      <c r="EX2" s="16" cm="1">
        <f t="array" ref="EX2">_xll.ASPortfolioStatistic('PBA Summary'!C2,"Exponential Annualized Volatility Last 1 year","OR",,,,"m",'PBA Summary'!$F$2,'PBA Summary'!$G$2)</f>
        <v>5.6785427503371358E-2</v>
      </c>
      <c r="EY2" s="16" t="str" cm="1">
        <f t="array" ref="EY2">_xll.ASPortfolioStatistic('PBA Summary'!C2,"Exponential Annualized Volatility Last 3 years","OR",,,,"m",'PBA Summary'!$F$2,'PBA Summary'!$G$2)</f>
        <v/>
      </c>
      <c r="EZ2" s="34" cm="1">
        <f t="array" ref="EZ2">IF('PBA Summary'!$D$2="","",_xll.ASPortfolioStatistic('PBA Summary'!C2,"Exponential Correlation to Benchmark 1","OR",'PBA Summary'!$D$2,,,"m",'PBA Summary'!$F$2,'PBA Summary'!$G$2))</f>
        <v>0.11750455741709252</v>
      </c>
      <c r="FA2" s="34" cm="1">
        <f t="array" ref="FA2">IF('PBA Summary'!$D$3="","",_xll.ASPortfolioStatistic('PBA Summary'!C2,"Exponential Correlation to Benchmark 1","OR",'PBA Summary'!$D$3,,,"m",'PBA Summary'!$F$2,'PBA Summary'!$G$2))</f>
        <v>0.11750455741709252</v>
      </c>
      <c r="FB2" s="34" cm="1">
        <f t="array" ref="FB2">_xll.ASPortfolioStatistic('PBA Summary'!C2,"Exponential Annual Sharpe Ratio (Rf)","OR",,,,"m",'PBA Summary'!$F$2,'PBA Summary'!$G$2)</f>
        <v>2.0143108358944839</v>
      </c>
      <c r="FC2" s="34" cm="1">
        <f t="array" ref="FC2">_xll.ASPortfolioStatistic('PBA Summary'!C2,"Exponential Normal Monthly VaR 99%","OR",,,,"m",'PBA Summary'!$F$2,'PBA Summary'!$G$2)</f>
        <v>-2.7760333837107812E-2</v>
      </c>
      <c r="FD2" s="34" cm="1">
        <f t="array" ref="FD2">_xll.ASPortfolioStatistic('PBA Summary'!C2,"Exponential Normal Monthly VaR 97%","OR",,,,"m",'PBA Summary'!$F$2,'PBA Summary'!$G$2)</f>
        <v>-2.0733808700726556E-2</v>
      </c>
      <c r="FE2" s="34" cm="1">
        <f t="array" ref="FE2">_xll.ASPortfolioStatistic('PBA Summary'!C2,"Exponential Normal Monthly VaR 95%","OR",,,,"m",'PBA Summary'!$F$2,'PBA Summary'!$G$2)</f>
        <v>-1.701296404610848E-2</v>
      </c>
      <c r="FF2" s="34" cm="1">
        <f t="array" ref="FF2">_xll.ASPortfolioStatistic('PBA Summary'!C2,"Exponential Normal Monthly VaR 90%","OR",,,,"m",'PBA Summary'!$F$2,'PBA Summary'!$G$2)</f>
        <v>-1.1283580978755942E-2</v>
      </c>
      <c r="FG2" s="34" t="str" cm="1">
        <f t="array" ref="FG2">_xll.ASPortfolioStatistic('PBA Summary'!C2,"Exponential Normal weekly VaR 99%","OR",,,,"m",'PBA Summary'!$F$2,'PBA Summary'!$G$2)</f>
        <v/>
      </c>
      <c r="FH2" s="34" t="str" cm="1">
        <f t="array" ref="FH2">_xll.ASPortfolioStatistic('PBA Summary'!C2,"Exponential Normal weekly VaR 97%","OR",,,,"m",'PBA Summary'!$F$2,'PBA Summary'!$G$2)</f>
        <v/>
      </c>
      <c r="FI2" s="34" t="str" cm="1">
        <f t="array" ref="FI2">_xll.ASPortfolioStatistic('PBA Summary'!C2,"Exponential Normal weekly VaR 95%","OR",,,,"m",'PBA Summary'!$F$2,'PBA Summary'!$G$2)</f>
        <v/>
      </c>
      <c r="FJ2" s="34" t="str" cm="1">
        <f t="array" ref="FJ2">_xll.ASPortfolioStatistic('PBA Summary'!C2,"Exponential Normal weekly VaR 90%","OR",,,,"m",'PBA Summary'!$F$2,'PBA Summary'!$G$2)</f>
        <v/>
      </c>
      <c r="FK2" s="34" t="str" cm="1">
        <f t="array" ref="FK2">_xll.ASPortfolioStatistic('PBA Summary'!C2,"Exponential Normal daily VaR 99%","OR",,,,"m",'PBA Summary'!$F$2,'PBA Summary'!$G$2)</f>
        <v/>
      </c>
      <c r="FL2" s="34" t="str" cm="1">
        <f t="array" ref="FL2">_xll.ASPortfolioStatistic('PBA Summary'!C2,"Exponential Normal daily VaR 97%","OR",,,,"m",'PBA Summary'!$F$2,'PBA Summary'!$G$2)</f>
        <v/>
      </c>
      <c r="FM2" s="34" t="str" cm="1">
        <f t="array" ref="FM2">_xll.ASPortfolioStatistic('PBA Summary'!C2,"Exponential Normal daily VaR 95%","OR",,,,"m",'PBA Summary'!$F$2,'PBA Summary'!$G$2)</f>
        <v/>
      </c>
      <c r="FN2" s="34" t="str" cm="1">
        <f t="array" ref="FN2">_xll.ASPortfolioStatistic('PBA Summary'!C2,"Exponential Normal daily VaR 90%","OR",,,,"m",'PBA Summary'!$F$2,'PBA Summary'!$G$2)</f>
        <v/>
      </c>
      <c r="FO2" s="34" cm="1">
        <f t="array" ref="FO2">_xll.ASPortfolioStatistic('PBA Summary'!C2,"Bias Ratio","OR",,,,"m",'PBA Summary'!$F$2,'PBA Summary'!$G$2)</f>
        <v>2.6666666666666665</v>
      </c>
      <c r="FP2" s="11" t="str" cm="1">
        <f t="array" ref="FP2">_xll.ASPortfolioInfo('PBA Summary'!C2,"Manager's Biography")</f>
        <v/>
      </c>
      <c r="FQ2" s="11" cm="1">
        <f t="array" ref="FQ2">_xll.ASPortfolioInfo('PBA Summary'!C2,"Investment Min")</f>
        <v>0</v>
      </c>
      <c r="FR2" s="11" t="str" cm="1">
        <f t="array" ref="FR2">_xll.ASPortfolioInfo('PBA Summary'!C2,"Auditor")</f>
        <v/>
      </c>
      <c r="FS2" s="11" t="str" cm="1">
        <f t="array" ref="FS2">_xll.ASPortfolioInfo('PBA Summary'!C2,"Custodian")</f>
        <v/>
      </c>
      <c r="FT2" s="11" t="str" cm="1">
        <f t="array" ref="FT2">_xll.ASPortfolioInfo('PBA Summary'!C2,"Administrator")</f>
        <v/>
      </c>
      <c r="FU2" s="14" t="str" cm="1">
        <f t="array" ref="FU2">_xll.ASPortfolioInfo('PBA Summary'!C2,"Proxy 1 Start Date")</f>
        <v/>
      </c>
      <c r="FV2" s="14" t="str" cm="1">
        <f t="array" ref="FV2">_xll.ASPortfolioInfo('PBA Summary'!C2,"Proxy 1 End Date")</f>
        <v/>
      </c>
      <c r="FW2" s="14" t="str" cm="1">
        <f t="array" ref="FW2">_xll.ASPortfolioInfo('PBA Summary'!C2,"Proxy 2 Start Date")</f>
        <v/>
      </c>
      <c r="FX2" s="14" t="str" cm="1">
        <f t="array" ref="FX2">_xll.ASPortfolioInfo('PBA Summary'!C2,"Proxy 2 End Date")</f>
        <v/>
      </c>
      <c r="FY2" s="14" t="str" cm="1">
        <f t="array" ref="FY2">_xll.ASPortfolioInfo('PBA Summary'!C2,"Proxy 3 Start Date")</f>
        <v/>
      </c>
      <c r="FZ2" s="14" t="str" cm="1">
        <f t="array" ref="FZ2">_xll.ASPortfolioInfo('PBA Summary'!C2,"Proxy 3 End Date")</f>
        <v/>
      </c>
      <c r="GA2" s="14" t="str" cm="1">
        <f t="array" ref="GA2">_xll.ASPortfolioInfo('PBA Summary'!C2,"Fund Domicile")</f>
        <v/>
      </c>
      <c r="GB2" s="14" t="str" cm="1">
        <f t="array" ref="GB2">_xll.ASPortfolioInfo('PBA Summary'!C2,"Fund Contact")</f>
        <v/>
      </c>
      <c r="GC2" s="14" t="str" cm="1">
        <f t="array" ref="GC2">_xll.ASPortfolioInfo('PBA Summary'!C2,"Fund Contact Email")</f>
        <v/>
      </c>
      <c r="GD2" s="14" t="str" cm="1">
        <f t="array" ref="GD2">_xll.ASPortfolioInfo('PBA Summary'!C2,"Fund Contact Number")</f>
        <v/>
      </c>
      <c r="GE2" s="14" t="str" cm="1">
        <f t="array" ref="GE2">_xll.ASPortfolioInfo('PBA Summary'!C2,"City")</f>
        <v/>
      </c>
      <c r="GF2" s="14" t="str" cm="1">
        <f t="array" ref="GF2">_xll.ASPortfolioInfo('PBA Summary'!C2,"Leverage")</f>
        <v/>
      </c>
      <c r="GG2" s="14" t="str" cm="1">
        <f t="array" ref="GG2">_xll.ASPortfolioInfo('PBA Summary'!C2,"Lockup 1 Duration")</f>
        <v>0 Months</v>
      </c>
      <c r="GH2" s="14" t="str" cm="1">
        <f t="array" ref="GH2">_xll.ASPortfolioInfo('PBA Summary'!C2,"Lockup 2 Duration")</f>
        <v>0 Months</v>
      </c>
      <c r="GI2" s="14" t="str" cm="1">
        <f t="array" ref="GI2">_xll.ASPortfolioInfo('PBA Summary'!C2,"Lockup 3 Duration")</f>
        <v>0 Months</v>
      </c>
      <c r="GJ2" s="31" t="str" cm="1">
        <f t="array" ref="GJ2">_xll.ASPortfolioInfo('PBA Summary'!C2,"Fund Level Gate")</f>
        <v/>
      </c>
      <c r="GK2" s="31" t="str" cm="1">
        <f t="array" ref="GK2">_xll.ASPortfolioInfo('PBA Summary'!C2,"Fund Level Gate Frequency")</f>
        <v>Unknown</v>
      </c>
      <c r="GL2" s="35" cm="1">
        <f t="array" ref="GL2">_xll.ASPortfolioInfo('PBA Summary'!C2,"Payment 2 (%)")</f>
        <v>0</v>
      </c>
      <c r="GM2" s="35" t="str" cm="1">
        <f t="array" ref="GM2">_xll.ASPortfolioInfo('PBA Summary'!C2,"Payment 2 (days)")</f>
        <v/>
      </c>
      <c r="GN2" s="35" t="str" cm="1">
        <f t="array" ref="GN2">_xll.ASPortfolioInfo('PBA Summary'!C2,"Payment 2 (Paid After)")</f>
        <v>NAV Date</v>
      </c>
      <c r="GO2" s="35" cm="1">
        <f t="array" ref="GO2">_xll.ASPortfolioInfo('PBA Summary'!C2,"Payment 3 (%)")</f>
        <v>0</v>
      </c>
      <c r="GP2" s="36" t="str" cm="1">
        <f t="array" ref="GP2">_xll.ASPortfolioInfo('PBA Summary'!C2,"Payment 3 (Days)")</f>
        <v/>
      </c>
      <c r="GQ2" s="35" t="str" cm="1">
        <f t="array" ref="GQ2">_xll.ASPortfolioInfo('PBA Summary'!C2,"Payment 3 (Paid After)")</f>
        <v>NAV Date</v>
      </c>
      <c r="GR2" s="35" cm="1">
        <f t="array" ref="GR2">_xll.ASPortfolioInfo('PBA Summary'!C2,"Payment 4 (%)")</f>
        <v>0</v>
      </c>
      <c r="GS2" s="36" t="str" cm="1">
        <f t="array" ref="GS2">_xll.ASPortfolioInfo('PBA Summary'!C2,"Payment 4 (days)")</f>
        <v/>
      </c>
      <c r="GT2" s="35" t="str" cm="1">
        <f t="array" ref="GT2">_xll.ASPortfolioInfo('PBA Summary'!C2,"Payment 4 (Paid After)")</f>
        <v>NAV Date</v>
      </c>
      <c r="GU2" s="31" cm="1">
        <f t="array" ref="GU2">_xll.ASPortfolioInfo('PBA Summary'!C2,"Payment 1 (%)")</f>
        <v>1</v>
      </c>
      <c r="GV2" s="35" cm="1">
        <f t="array" ref="GV2">_xll.ASPortfolioInfo('PBA Summary'!C2,"Lockup 1 Fee")</f>
        <v>0</v>
      </c>
      <c r="GW2" s="35" cm="1">
        <f t="array" ref="GW2">_xll.ASPortfolioInfo('PBA Summary'!C2,"Lockup 2 Fee")</f>
        <v>0</v>
      </c>
      <c r="GX2" s="35" cm="1">
        <f t="array" ref="GX2">_xll.ASPortfolioInfo('PBA Summary'!C2,"Lockup 3 Fee")</f>
        <v>0</v>
      </c>
      <c r="GY2" s="35" t="str" cm="1">
        <f t="array" ref="GY2">_xll.ASPortfolioInfo('PBA Summary'!C2,"Lockup 1 type")</f>
        <v>None</v>
      </c>
      <c r="GZ2" s="35" t="str" cm="1">
        <f t="array" ref="GZ2">_xll.ASPortfolioInfo('PBA Summary'!C2,"Lockup 2 type")</f>
        <v>None</v>
      </c>
      <c r="HA2" s="35" t="str" cm="1">
        <f t="array" ref="HA2">_xll.ASPortfolioInfo('PBA Summary'!C2,"Lockup 3 type")</f>
        <v>None</v>
      </c>
      <c r="HB2" s="35" t="str" cm="1">
        <f t="array" ref="HB2">_xll.ASPortfolioInfo('PBA Summary'!C2,"Redemption 1 type")</f>
        <v>Calendar</v>
      </c>
      <c r="HC2" s="35" t="str" cm="1">
        <f t="array" ref="HC2">_xll.ASPortfolioInfo('PBA Summary'!C2,"Redemption 2 type")</f>
        <v>Calendar</v>
      </c>
      <c r="HD2" s="35" t="str" cm="1">
        <f t="array" ref="HD2">_xll.ASPortfolioInfo('PBA Summary'!C2,"Redemption 3 type")</f>
        <v>Calendar</v>
      </c>
      <c r="HE2" s="35" t="str" cm="1">
        <f t="array" ref="HE2">_xll.ASPortfolioInfo('PBA Summary'!C2,"Redemption 1 Fee")</f>
        <v/>
      </c>
      <c r="HF2" s="35" t="str" cm="1">
        <f t="array" ref="HF2">_xll.ASPortfolioInfo('PBA Summary'!C2,"Redemption 2 Fee")</f>
        <v/>
      </c>
      <c r="HG2" s="35" t="str" cm="1">
        <f t="array" ref="HG2">_xll.ASPortfolioInfo('PBA Summary'!C2,"Redemption 3 Fee")</f>
        <v/>
      </c>
      <c r="HH2" s="35" t="str" cm="1">
        <f t="array" ref="HH2">_xll.ASPortfolioInfo('PBA Summary'!C2,"Redemption 1 Frequency")</f>
        <v>Unknown</v>
      </c>
      <c r="HI2" s="35" t="str" cm="1">
        <f t="array" ref="HI2">_xll.ASPortfolioInfo('PBA Summary'!C2,"Redemption 2 Frequency")</f>
        <v>Unknown</v>
      </c>
      <c r="HJ2" s="35" t="str" cm="1">
        <f t="array" ref="HJ2">_xll.ASPortfolioInfo('PBA Summary'!C2,"Redemption 3 Frequency")</f>
        <v>Unknown</v>
      </c>
      <c r="HK2" s="35" t="str" cm="1">
        <f t="array" ref="HK2">_xll.ASPortfolioInfo('PBA Summary'!C2,"Asset Calendar")</f>
        <v>[Default]</v>
      </c>
      <c r="HL2" s="16" cm="1">
        <f t="array" ref="HL2">_xll.ASPortfolioStatistic('PBA Summary'!C2,"Max Second Drawdown","OR",,,,"m",'PBA Summary'!$F$2,'PBA Summary'!$G$2)</f>
        <v>-2.1314252308450299E-2</v>
      </c>
      <c r="HM2" s="37" cm="1">
        <f t="array" ref="HM2">_xll.ASPortfolioStatistic('PBA Summary'!C2,"Date Max Second Drawdown","OR",,,,"m",'PBA Summary'!$F$2,'PBA Summary'!$G$2)</f>
        <v>43616</v>
      </c>
    </row>
    <row r="3" spans="1:221" ht="14.45" customHeight="1" x14ac:dyDescent="0.25">
      <c r="A3" s="6" t="str">
        <f>'PBA Summary'!D2</f>
        <v>S&amp;P 500 Index</v>
      </c>
      <c r="B3"/>
      <c r="C3"/>
      <c r="D3"/>
      <c r="E3"/>
      <c r="F3" cm="1">
        <f t="array" ref="F3">_xll.ASAssetStatistic($A3,"Annualized Return since inception",,,,"m",_xll.ASAssetInfo($A3,"Start Date"),_xll.ASAssetInfo($A3,"Last Return Date"))</f>
        <v>7.7456770342863246E-2</v>
      </c>
      <c r="G3" cm="1">
        <f t="array" ref="G3">_xll.ASAssetStatistic($A3,"Annualized Return",,,,"m",'PBA Summary'!$F$2,'PBA Summary'!$G$2)</f>
        <v>0.17231233422666725</v>
      </c>
      <c r="H3" s="19" cm="1">
        <f t="array" ref="H3">_xll.ASAssetStatistic($A3,"Equilibrium Annual Return",,,,"m",'PBA Summary'!$F$2,'PBA Summary'!$G$2)</f>
        <v>1.245103848029403</v>
      </c>
      <c r="I3" cm="1">
        <f t="array" ref="I3">_xll.ASAssetStatistic($A3,"Annualized Volatility (Inception)",,,,"m",_xll.ASAssetInfo($A3,"Start Date"),_xll.ASAssetInfo($A3,"Last Return Date"))</f>
        <v>0.15239672176534869</v>
      </c>
      <c r="J3" cm="1">
        <f t="array" ref="J3">_xll.ASAssetStatistic($A3,"Annualized Volatility",,,,"m",'PBA Summary'!$F$2,'PBA Summary'!$G$2)</f>
        <v>0.15352399658550542</v>
      </c>
      <c r="K3" s="20" cm="1">
        <f t="array" ref="K3">_xll.ASAssetStatistic($A3,"Skewness",,,,"m",'PBA Summary'!$F$2,'PBA Summary'!$G$2)</f>
        <v>-1.0826795380164889</v>
      </c>
      <c r="L3" s="20" cm="1">
        <f t="array" ref="L3">_xll.ASAssetStatistic($A3,"Excess kurtosis",,,,"m",'PBA Summary'!$F$2,'PBA Summary'!$G$2)</f>
        <v>1.555306334337559</v>
      </c>
      <c r="M3" s="19" cm="1">
        <f t="array" ref="M3">_xll.ASAssetStatistic($A3,"Return Last 1 month",,,,"m",'PBA Summary'!$F$2,'PBA Summary'!$G$2)</f>
        <v>-4.3937345812949946E-4</v>
      </c>
      <c r="N3" s="19" cm="1">
        <f t="array" ref="N3">_xll.ASAssetStatistic($A3,"Return Last 3 months",,,,"m",'PBA Summary'!$F$2,'PBA Summary'!$G$2)</f>
        <v>6.7039088287374593E-2</v>
      </c>
      <c r="O3" s="19" cm="1">
        <f t="array" ref="O3">_xll.ASAssetStatistic($A3,"Return Last 1 year",,,,"m",'PBA Summary'!$F$2,'PBA Summary'!$G$2)</f>
        <v>0.21669950141416083</v>
      </c>
      <c r="P3" s="19" cm="1">
        <f t="array" ref="P3">_xll.ASAssetStatistic($A3,"Year-to-date Return",,,,"m",'PBA Summary'!$F$2,'PBA Summary'!$G$2)</f>
        <v>-4.3937345812949946E-4</v>
      </c>
      <c r="Q3" s="19" cm="1">
        <f t="array" ref="Q3">_xll.ASAssetStatistic($A3,"Annualized Return",,,,"m",EOMONTH('PBA Summary'!$G$2,-2),'PBA Summary'!$G$2)</f>
        <v>0.29634714632385362</v>
      </c>
      <c r="R3" s="19" t="str" cm="1">
        <f t="array" ref="R3">_xll.ASAssetStatistic($A3,"Annualized Return Last 3 years",,,,"m",'PBA Summary'!$F$2,'PBA Summary'!$G$2)</f>
        <v/>
      </c>
      <c r="S3" s="19" t="str" cm="1">
        <f t="array" ref="S3">_xll.ASAssetStatistic($A3,"Annualized Return Last 5 years",,,,"m",'PBA Summary'!$F$2,'PBA Summary'!$G$2)</f>
        <v/>
      </c>
      <c r="T3" s="19" cm="1">
        <f t="array" ref="T3">_xll.ASAssetStatistic($A3,"Annualized Volatility Last 1 year",,,,"m",'PBA Summary'!$F$2,'PBA Summary'!$G$2)</f>
        <v>0.11485541684490753</v>
      </c>
      <c r="U3" s="19" t="str" cm="1">
        <f t="array" ref="U3">_xll.ASAssetStatistic($A3,"Annualized Volatility Last 3 years",,,,"m",'PBA Summary'!$F$2,'PBA Summary'!$G$2)</f>
        <v/>
      </c>
      <c r="V3" s="19" t="str" cm="1">
        <f t="array" ref="V3">_xll.ASAssetStatistic($A3,"Annualized Volatility Last 5 years",,,,"m",'PBA Summary'!$F$2,'PBA Summary'!$G$2)</f>
        <v/>
      </c>
      <c r="W3" s="19" cm="1">
        <f t="array" ref="W3">_xll.ASAssetStatistic($A3,"Normal monthly VaR 99%",,,,"m",'PBA Summary'!$F$2,'PBA Summary'!$G$2)</f>
        <v>-8.8832911806043385E-2</v>
      </c>
      <c r="X3" s="19" cm="1">
        <f t="array" ref="X3">_xll.ASAssetStatistic($A3,"Modified monthly VaR 99%",,,,"m",'PBA Summary'!$F$2,'PBA Summary'!$G$2)</f>
        <v>-0.12067941481298407</v>
      </c>
      <c r="Y3" s="19" cm="1">
        <f t="array" ref="Y3">_xll.ASAssetStatistic($A3,"Conditional monthly VaR 99%",,,,"m",'PBA Summary'!$F$2,'PBA Summary'!$G$2)</f>
        <v>-9.0331686534528943E-2</v>
      </c>
      <c r="Z3" s="19" cm="1">
        <f t="array" ref="Z3">_xll.ASAssetStatistic($A3,"Normal monthly VaR 97%",,,,"m",'PBA Summary'!$F$2,'PBA Summary'!$G$2)</f>
        <v>-6.9086588171604998E-2</v>
      </c>
      <c r="AA3" s="19" cm="1">
        <f t="array" ref="AA3">_xll.ASAssetStatistic($A3,"Modified monthly VaR 97%",,,,"m",'PBA Summary'!$F$2,'PBA Summary'!$G$2)</f>
        <v>-8.6650078693021243E-2</v>
      </c>
      <c r="AB3" s="19" cm="1">
        <f t="array" ref="AB3">_xll.ASAssetStatistic($A3,"Conditional monthly VaR 97%",,,,"m",'PBA Summary'!$F$2,'PBA Summary'!$G$2)</f>
        <v>-9.0331686534528943E-2</v>
      </c>
      <c r="AC3" s="19" cm="1">
        <f t="array" ref="AC3">_xll.ASAssetStatistic($A3,"Normal monthly VaR 95%",,,,"m",'PBA Summary'!$F$2,'PBA Summary'!$G$2)</f>
        <v>-5.8630067869252789E-2</v>
      </c>
      <c r="AD3" s="19" cm="1">
        <f t="array" ref="AD3">_xll.ASAssetStatistic($A3,"Modified monthly VaR 95%",,,,"m",'PBA Summary'!$F$2,'PBA Summary'!$G$2)</f>
        <v>-6.9902726413712105E-2</v>
      </c>
      <c r="AE3" s="19" cm="1">
        <f t="array" ref="AE3">_xll.ASAssetStatistic($A3,"Conditional monthly VaR 95%",,,,"m",'PBA Summary'!$F$2,'PBA Summary'!$G$2)</f>
        <v>-9.0331686534528943E-2</v>
      </c>
      <c r="AF3" s="38" cm="1">
        <f t="array" ref="AF3">IF('PBA Summary'!$D$2="","",_xll.ASAssetStatistic($A3,"Correlation to Benchmark 1",'PBA Summary'!$D$2,,,"m",'PBA Summary'!$F$2,'PBA Summary'!$G$2))</f>
        <v>0.99999999999999978</v>
      </c>
      <c r="AG3" s="38" cm="1">
        <f t="array" ref="AG3">IF('PBA Summary'!$D$3="","",_xll.ASAssetStatistic($A3,"Correlation to Benchmark 1",'PBA Summary'!$D$3,,,"m",'PBA Summary'!$F$2,'PBA Summary'!$G$2))</f>
        <v>0.99999999999999978</v>
      </c>
      <c r="AH3" s="21" cm="1">
        <f t="array" ref="AH3">IF('PBA Summary'!$D$2="","",_xll.ASAssetStatistic($A3,"Bull correlation to Benchmark 1",'PBA Summary'!$D$2,,,"m",'PBA Summary'!$F$2,'PBA Summary'!$G$2))</f>
        <v>1.0000000000000007</v>
      </c>
      <c r="AI3" s="21" cm="1">
        <f t="array" ref="AI3">IF('PBA Summary'!$D$2="","",_xll.ASAssetStatistic($A3,"Bear correlation to Benchmark 1",'PBA Summary'!$D$2,,,"m",'PBA Summary'!$F$2,'PBA Summary'!$G$2))</f>
        <v>1.0000000000000002</v>
      </c>
      <c r="AJ3" s="21" cm="1">
        <f t="array" ref="AJ3">IF('PBA Summary'!$D$3="","",_xll.ASAssetStatistic($A3,"Bull correlation to Benchmark 1",'PBA Summary'!$D$3,,,"m",'PBA Summary'!$F$2,'PBA Summary'!$G$2))</f>
        <v>1.0000000000000007</v>
      </c>
      <c r="AK3" s="21" cm="1">
        <f t="array" ref="AK3">IF('PBA Summary'!$D$3="","",_xll.ASAssetStatistic($A3,"Bear correlation to Benchmark 1",'PBA Summary'!$D$3,,,"m",'PBA Summary'!$F$2,'PBA Summary'!$G$2))</f>
        <v>1.0000000000000002</v>
      </c>
      <c r="AL3" s="24" cm="1">
        <f t="array" ref="AL3">IF('PBA Summary'!$D$2="","",_xll.ASAssetStatistic($A3,"Beta to Benchmark 1",'PBA Summary'!$D$2,,,"m",'PBA Summary'!$F$2,'PBA Summary'!$G$2))</f>
        <v>1</v>
      </c>
      <c r="AM3" s="24" t="str" cm="1">
        <f t="array" ref="AM3">IF('PBA Summary'!$D$2="","",_xll.ASAssetStatistic($A3,"Beta to Benchmark 1 Last 3 years",'PBA Summary'!$D$2,,,"m",'PBA Summary'!$F$2,'PBA Summary'!$G$2))</f>
        <v/>
      </c>
      <c r="AN3" s="24" t="str" cm="1">
        <f t="array" ref="AN3">IF('PBA Summary'!$D$2="","",_xll.ASAssetStatistic($A3,"Beta to Benchmark 1 Last 5 years",'PBA Summary'!$D$2,,,"m",'PBA Summary'!$F$2,'PBA Summary'!$G$2))</f>
        <v/>
      </c>
      <c r="AO3" s="25" cm="1">
        <f t="array" ref="AO3">IF('PBA Summary'!$D$3="","",_xll.ASAssetStatistic($A3,"Beta to Benchmark 1",'PBA Summary'!$D$3,,,"m",'PBA Summary'!$F$2,'PBA Summary'!$G$2))</f>
        <v>1</v>
      </c>
      <c r="AP3" s="25" t="str" cm="1">
        <f t="array" ref="AP3">IF('PBA Summary'!$D$3="","",_xll.ASAssetStatistic($A3,"Beta to Benchmark 1 Last 3 years",'PBA Summary'!$D$3,,,"m",'PBA Summary'!$F$2,'PBA Summary'!$G$2))</f>
        <v/>
      </c>
      <c r="AQ3" s="25" t="str" cm="1">
        <f t="array" ref="AQ3">IF('PBA Summary'!$D$3="","",_xll.ASAssetStatistic($A3,"Beta to Benchmark 1 Last 5 years",'PBA Summary'!$D$3,,,"m",'PBA Summary'!$F$2,'PBA Summary'!$G$2))</f>
        <v/>
      </c>
      <c r="AR3" s="25" cm="1">
        <f t="array" ref="AR3">IF('PBA Summary'!$D$2="","",_xll.ASAssetStatistic($A3,"Bull Beta to Benchmark 1",'PBA Summary'!$D$2,,,"m",'PBA Summary'!$F$2,'PBA Summary'!$G$2))</f>
        <v>1.0000000000000007</v>
      </c>
      <c r="AS3" s="25" cm="1">
        <f t="array" ref="AS3">IF('PBA Summary'!$D$2="","",_xll.ASAssetStatistic($A3,"Bear Beta to Benchmark 1",'PBA Summary'!$D$2,,,"m",'PBA Summary'!$F$2,'PBA Summary'!$G$2))</f>
        <v>1</v>
      </c>
      <c r="AT3" s="25" cm="1">
        <f t="array" ref="AT3">IF('PBA Summary'!$D$3="","",_xll.ASAssetStatistic($A3,"Bull Beta to Benchmark 1",'PBA Summary'!$D$3,,,"m",'PBA Summary'!$F$2,'PBA Summary'!$G$2))</f>
        <v>1.0000000000000007</v>
      </c>
      <c r="AU3" s="25" cm="1">
        <f t="array" ref="AU3">IF('PBA Summary'!$D$3="","",_xll.ASAssetStatistic($A3,"Bear Beta to Benchmark 1",'PBA Summary'!$D$3,,,"m",'PBA Summary'!$F$2,'PBA Summary'!$G$2))</f>
        <v>1</v>
      </c>
      <c r="AV3" s="25" cm="1">
        <f t="array" ref="AV3">_xll.ASAssetStatistic($A3,"Annual Sharpe Ratio (Rf)",,,'PBA Summary'!$H$2,"m",'PBA Summary'!$F$2,'PBA Summary'!$G$2)</f>
        <v>1.1060963628059932</v>
      </c>
      <c r="AW3" s="25" t="str" cm="1">
        <f t="array" ref="AW3">_xll.ASAssetStatistic($A3,"Annual Sharpe Ratio (Rf) Last 3 years",,,'PBA Summary'!$H$2,"m",'PBA Summary'!$F$2,'PBA Summary'!$G$2)</f>
        <v/>
      </c>
      <c r="AX3" s="25" t="str" cm="1">
        <f t="array" ref="AX3">_xll.ASAssetStatistic($A3,"Annual Sharpe Ratio (Rf) Last 5 years",,,'PBA Summary'!$H$2,"m",'PBA Summary'!$F$2,'PBA Summary'!$G$2)</f>
        <v/>
      </c>
      <c r="AY3" s="18" cm="1">
        <f t="array" ref="AY3">_xll.ASAssetStatistic($A3,"Ann. Downside Deviation (vs 0%)",,,'PBA Summary'!$H$2,"m",'PBA Summary'!$F$2,'PBA Summary'!$G$2)</f>
        <v>9.97972960246893E-2</v>
      </c>
      <c r="AZ3" s="18" cm="1">
        <f t="array" ref="AZ3">_xll.ASAssetStatistic($A3,"Ann. Downside Deviation (vs Rf)",,,'PBA Summary'!$H$2,"m",'PBA Summary'!$F$2,'PBA Summary'!$G$2)</f>
        <v>0.1000814367451221</v>
      </c>
      <c r="BA3" s="39" cm="1">
        <f t="array" ref="BA3">_xll.ASAssetStatistic($A3,"Annual Treynor ratio",,,'PBA Summary'!$H$2,"m",'PBA Summary'!$F$2,'PBA Summary'!$G$2)</f>
        <v>6.1719540676545392E-2</v>
      </c>
      <c r="BB3" s="26" cm="1">
        <f t="array" ref="BB3">_xll.ASAssetStatistic($A3,"Annual Sortino Ratio (vs 0%)",,,'PBA Summary'!$H$2,"m",'PBA Summary'!$F$2,'PBA Summary'!$G$2)</f>
        <v>1.7266232762863447</v>
      </c>
      <c r="BC3" s="26" cm="1">
        <f t="array" ref="BC3">_xll.ASAssetStatistic($A3,"Annual Sortino Ratio (vs Rf)",,,'PBA Summary'!$H$2,"m",'PBA Summary'!$F$2,'PBA Summary'!$G$2)</f>
        <v>1.6967415711579878</v>
      </c>
      <c r="BD3" s="26" cm="1">
        <f t="array" ref="BD3">_xll.ASAssetStatistic($A3,"Sterling ratio",,,'PBA Summary'!$H$2,"m",'PBA Summary'!$F$2,'PBA Summary'!$G$2)</f>
        <v>1.0535830415431511</v>
      </c>
      <c r="BE3" s="26" cm="1">
        <f t="array" ref="BE3">_xll.ASAssetStatistic($A3,"Calmar ratio",,,'PBA Summary'!$H$2,"m",'PBA Summary'!$F$2,'PBA Summary'!$G$2)</f>
        <v>1.9075513901846781</v>
      </c>
      <c r="BF3" s="26" cm="1">
        <f t="array" ref="BF3">_xll.ASAssetStatistic($A3,"Hurst index",,,'PBA Summary'!$H$2,"m",'PBA Summary'!$F$2,'PBA Summary'!$G$2)</f>
        <v>0.35241056880794464</v>
      </c>
      <c r="BG3" s="26" cm="1">
        <f t="array" ref="BG3">_xll.ASAssetStatistic($A3,"Omega (Threshold 1)",,,'PBA Summary'!$H$2,"m",'PBA Summary'!$F$2,'PBA Summary'!$G$2)</f>
        <v>2.2577112068695557</v>
      </c>
      <c r="BH3" s="26" cm="1">
        <f t="array" ref="BH3">_xll.ASAssetStatistic($A3,"Omega (Threshold 2)",,,'PBA Summary'!$H$2,"m",'PBA Summary'!$F$2,'PBA Summary'!$G$2)</f>
        <v>1.7310272670867546</v>
      </c>
      <c r="BI3" s="26" cm="1">
        <f t="array" ref="BI3">_xll.ASAssetStatistic($A3,"Omega (Threshold 3)",,,'PBA Summary'!$H$2,"m",'PBA Summary'!$F$2,'PBA Summary'!$G$2)</f>
        <v>1.3045876955048485</v>
      </c>
      <c r="BJ3" s="26" cm="1">
        <f t="array" ref="BJ3">_xll.ASAssetStatistic($A3,"Omega (Threshold 4)",,,'PBA Summary'!$H$2,"m",'PBA Summary'!$F$2,'PBA Summary'!$G$2)</f>
        <v>0.95238972594378757</v>
      </c>
      <c r="BK3" s="26" cm="1">
        <f t="array" ref="BK3">_xll.ASAssetStatistic($A3,"Omega (Threshold 5)",,,'PBA Summary'!$H$2,"m",'PBA Summary'!$F$2,'PBA Summary'!$G$2)</f>
        <v>0.66625358248507516</v>
      </c>
      <c r="BL3" s="26" t="str" cm="1">
        <f t="array" ref="BL3">_xll.ASAssetStatistic($A3,"Autocorrelated (illiquid)",,,'PBA Summary'!$H$2,"m",'PBA Summary'!$F$2,'PBA Summary'!$G$2)</f>
        <v>No</v>
      </c>
      <c r="BM3" s="27" cm="1">
        <f t="array" ref="BM3">_xll.ASAssetStatistic($A3,"% months in Run Up",,,'PBA Summary'!$H$2,"m",'PBA Summary'!$F$2,'PBA Summary'!$G$2)</f>
        <v>0.73333333333333339</v>
      </c>
      <c r="BN3" s="27" cm="1">
        <f t="array" ref="BN3">_xll.ASAssetStatistic($A3,"% months in Drawdown",,,'PBA Summary'!$H$2,"m",'PBA Summary'!$F$2,'PBA Summary'!$G$2)</f>
        <v>0.26666666666666666</v>
      </c>
      <c r="BO3" s="18" cm="1">
        <f t="array" ref="BO3">IF('PBA Summary'!$D$2="","",_xll.ASAssetStatistic($A3,"Average return during bull Benchmark 1",'PBA Summary'!$D$2,,,"m",'PBA Summary'!$F$2,'PBA Summary'!$G$2))</f>
        <v>3.4924742301502179E-2</v>
      </c>
      <c r="BP3" s="18" cm="1">
        <f t="array" ref="BP3">IF('PBA Summary'!$D$2="","",_xll.ASAssetStatistic($A3,"Average return during bear Benchmark 1",'PBA Summary'!$D$2,,,"m",'PBA Summary'!$F$2,'PBA Summary'!$G$2))</f>
        <v>-4.2540002918398101E-2</v>
      </c>
      <c r="BQ3" s="18" cm="1">
        <f t="array" ref="BQ3">IF('PBA Summary'!$D$3="","",_xll.ASAssetStatistic($A3,"Average return during bull Benchmark 1",'PBA Summary'!$D$3,,,"m",'PBA Summary'!$F$2,'PBA Summary'!$G$2))</f>
        <v>3.4924742301502179E-2</v>
      </c>
      <c r="BR3" s="18" cm="1">
        <f t="array" ref="BR3">IF('PBA Summary'!$D$3="","",_xll.ASAssetStatistic($A3,"Average return during bear Benchmark 1",'PBA Summary'!$D$3,,,"m",'PBA Summary'!$F$2,'PBA Summary'!$G$2))</f>
        <v>-4.2540002918398101E-2</v>
      </c>
      <c r="BS3" s="27" cm="1">
        <f t="array" ref="BS3">_xll.ASAssetStatistic($A3,"Maximum consecutive gain",,,'PBA Summary'!$H$2,"m",'PBA Summary'!$F$2,'PBA Summary'!$G$2)</f>
        <v>0.18249389337403543</v>
      </c>
      <c r="BT3" s="27" cm="1">
        <f t="array" ref="BT3">_xll.ASAssetStatistic($A3,"Maximum consecutive loss",,,'PBA Summary'!$H$2,"m",'PBA Summary'!$F$2,'PBA Summary'!$G$2)</f>
        <v>-9.0331686534528943E-2</v>
      </c>
      <c r="BU3" s="27" cm="1">
        <f t="array" ref="BU3">_xll.ASAssetStatistic($A3,"Max monthly gain",,,'PBA Summary'!$H$2,"m",'PBA Summary'!$F$2,'PBA Summary'!$G$2)</f>
        <v>8.0134362974829454E-2</v>
      </c>
      <c r="BV3" s="27" cm="1">
        <f t="array" ref="BV3">_xll.ASAssetStatistic($A3,"Max monthly loss",,,'PBA Summary'!$H$2,"m",'PBA Summary'!$F$2,'PBA Summary'!$G$2)</f>
        <v>-9.0331686534528943E-2</v>
      </c>
      <c r="BW3" s="27" cm="1">
        <f t="array" ref="BW3">_xll.ASAssetStatistic($A3,"Max drawdown",,,'PBA Summary'!$H$2,"m",'PBA Summary'!$F$2,'PBA Summary'!$G$2)</f>
        <v>-9.0331686534528943E-2</v>
      </c>
      <c r="BX3" s="28" cm="1">
        <f t="array" ref="BX3">_xll.ASAssetStatistic($A3,"Date Max drawdown",,,'PBA Summary'!$H$2,"m",'PBA Summary'!$F$2,'PBA Summary'!$G$2)</f>
        <v>43465</v>
      </c>
      <c r="BY3" s="28" cm="1">
        <f t="array" ref="BY3">_xll.ASAssetStatistic($A3,"Start Date Max Drawdown",,,'PBA Summary'!$H$2,"m",'PBA Summary'!$F$2,'PBA Summary'!$G$2)</f>
        <v>43465</v>
      </c>
      <c r="BZ3" s="28" cm="1">
        <f t="array" ref="BZ3">_xll.ASAssetStatistic($A3,"End Date Max Drawdown",,,'PBA Summary'!$H$2,"m",'PBA Summary'!$F$2,'PBA Summary'!$G$2)</f>
        <v>43496</v>
      </c>
      <c r="CA3" s="29" cm="1">
        <f t="array" ref="CA3">_xll.ASAssetStatistic($A3,"Max Time-under-water (months)",,,'PBA Summary'!$H$2,"m",'PBA Summary'!$F$2,'PBA Summary'!$G$2)</f>
        <v>2</v>
      </c>
      <c r="CB3" s="27" cm="1">
        <f t="array" ref="CB3">_xll.ASAssetStatistic($A3,"Max possible drawdown 99%",,,'PBA Summary'!$H$2,"m",'PBA Summary'!$F$2,'PBA Summary'!$G$2)</f>
        <v>-0.1862573568667012</v>
      </c>
      <c r="CC3" s="27" cm="1">
        <f t="array" ref="CC3">_xll.ASAssetStatistic($A3,"Max possible drawdown 99.9%",,,'PBA Summary'!$H$2,"m",'PBA Summary'!$F$2,'PBA Summary'!$G$2)</f>
        <v>-0.32865964082982546</v>
      </c>
      <c r="CD3" s="30" cm="1">
        <f t="array" ref="CD3">_xll.ASAssetStatistic($A3,"Max Possible Time-under-water 99% (months)",,,'PBA Summary'!$H$2,"m",'PBA Summary'!$F$2,'PBA Summary'!$G$2)</f>
        <v>52.218723197598067</v>
      </c>
      <c r="CE3" s="30" cm="1">
        <f t="array" ref="CE3">_xll.ASAssetStatistic($A3,"Max Possible Time-under-water 99.9% (months)",,,'PBA Summary'!$H$2,"m",'PBA Summary'!$F$2,'PBA Summary'!$G$2)</f>
        <v>92.142329835578593</v>
      </c>
      <c r="CF3" s="17" t="str" cm="1">
        <f t="array" ref="CF3">_xll.ASPortfolioReturnAttribution('PBA Summary'!$C$2,"OR",A3,"Last 1m",'PBA Summary'!$F$2,'PBA Summary'!$G$2)</f>
        <v/>
      </c>
      <c r="CG3" s="11" t="str" cm="1">
        <f t="array" ref="CG3">_xll.ASAssetInfo($A3,"Strategy")</f>
        <v>[Not Classified]</v>
      </c>
      <c r="CH3" s="14" cm="1">
        <f t="array" ref="CH3">_xll.ASAssetInfo($A3,"Start Date")</f>
        <v>25570</v>
      </c>
      <c r="CI3" s="14" t="str" cm="1">
        <f t="array" ref="CI3">_xll.ASAssetRatings($A3,"Quantitative",0,0,0,0,0,'PBA Summary'!$F$2,'PBA Summary'!$G$2)</f>
        <v/>
      </c>
      <c r="CJ3" s="14" t="str" cm="1">
        <f t="array" ref="CJ3">_xll.ASAssetRatings($A3,"Qualitative",0,0,0,0,0,'PBA Summary'!$F$2,'PBA Summary'!$G$2)</f>
        <v/>
      </c>
      <c r="CK3" s="14" t="str" cm="1">
        <f t="array" ref="CK3">_xll.ASAssetRatings($A3,"Final",0,0,0,0,0,'PBA Summary'!$F$2,'PBA Summary'!$G$2)</f>
        <v/>
      </c>
      <c r="CL3" s="14" cm="1">
        <f t="array" ref="CL3">_xll.ASAssetInfo($A3,"Last Return Date")</f>
        <v>44134</v>
      </c>
      <c r="CM3" s="14" t="str" cm="1">
        <f t="array" ref="CM3">_xll.ASAssetInfo($A3,"Company Name")</f>
        <v/>
      </c>
      <c r="CN3" s="14" t="str" cm="1">
        <f t="array" ref="CN3">_xll.ASAssetInfo($A3,"Manager Name")</f>
        <v/>
      </c>
      <c r="CO3" s="14" t="str" cm="1">
        <f t="array" ref="CO3">_xll.ASAssetInfo($A3,"Address")</f>
        <v/>
      </c>
      <c r="CP3" s="14" t="str" cm="1">
        <f t="array" ref="CP3">_xll.ASAssetInfo($A3,"Phone Number")</f>
        <v/>
      </c>
      <c r="CQ3" s="14" t="str" cm="1">
        <f t="array" ref="CQ3">_xll.ASAssetInfo($A3,"Email")</f>
        <v/>
      </c>
      <c r="CR3" s="14" t="str" cm="1">
        <f t="array" ref="CR3">_xll.ASAssetInfo($A3,"Asset Type")</f>
        <v>Index</v>
      </c>
      <c r="CS3" s="14" t="str" cm="1">
        <f t="array" ref="CS3">_xll.ASAssetInfo($A3,"Proprietary ID")</f>
        <v/>
      </c>
      <c r="CT3" s="14" t="str" cm="1">
        <f t="array" ref="CT3">_xll.ASAssetInfo($A3,"Country")</f>
        <v>[Not Classified]</v>
      </c>
      <c r="CU3" s="14" t="str" cm="1">
        <f t="array" ref="CU3">_xll.ASAssetInfo($A3,"Currency")</f>
        <v>USD</v>
      </c>
      <c r="CV3" s="14" t="str" cm="1">
        <f t="array" ref="CV3">_xll.ASAssetInfo($A3,"Sub-Strategy")</f>
        <v/>
      </c>
      <c r="CW3" s="31" cm="1">
        <f t="array" ref="CW3">_xll.ASAssetInfo($A3,"Fund AUM (m)")</f>
        <v>657.50685699999997</v>
      </c>
      <c r="CX3" s="31" t="str" cm="1">
        <f t="array" ref="CX3">_xll.ASAssetInfo($A3,"Status")</f>
        <v>Unknown</v>
      </c>
      <c r="CY3" s="31" t="str" cm="1">
        <f t="array" ref="CY3">_xll.ASAssetInfo($A3,"Redemption 1 Frequency")</f>
        <v>Unknown</v>
      </c>
      <c r="CZ3" s="31" t="str" cm="1">
        <f t="array" ref="CZ3">_xll.ASAssetInfo($A3,"Redemption 2 Frequency")</f>
        <v>Unknown</v>
      </c>
      <c r="DA3" s="31" t="str" cm="1">
        <f t="array" ref="DA3">_xll.ASAssetInfo($A3,"Redemption 3 Frequency")</f>
        <v>Unknown</v>
      </c>
      <c r="DB3" s="31" t="str" cm="1">
        <f t="array" ref="DB3">_xll.ASAssetInfo($A3,"Notice Period")</f>
        <v/>
      </c>
      <c r="DC3" s="15" t="str" cm="1">
        <f t="array" ref="DC3">_xll.ASAssetInfo($A3,"Performance Fee")</f>
        <v/>
      </c>
      <c r="DD3" s="15" t="str" cm="1">
        <f t="array" ref="DD3">_xll.ASAssetInfo($A3,"Management Fee")</f>
        <v/>
      </c>
      <c r="DE3" s="15" t="str" cm="1">
        <f t="array" ref="DE3">_xll.ASAssetInfo($A3,"ISIN")</f>
        <v>US78378X1072</v>
      </c>
      <c r="DF3" s="16" cm="1">
        <f t="array" ref="DF3">_xll.ASAssetStatistic($A3,"Return during " &amp;YEAR(EOMONTH('PBA Summary'!$G$2,-60)),,,,"M",DATE(YEAR(EOMONTH('PBA Summary'!$G$2,-60)),1,31),DATE(YEAR(EOMONTH('PBA Summary'!$G$2,-60)),12,31))</f>
        <v>1.3748791890248135E-2</v>
      </c>
      <c r="DG3" s="16" cm="1">
        <f t="array" ref="DG3">_xll.ASAssetStatistic($A3,"Return during " &amp;YEAR(EOMONTH('PBA Summary'!$G$2,-48)),,,,"M",DATE(YEAR(EOMONTH('PBA Summary'!$G$2,-48)),1,31),DATE(YEAR(EOMONTH('PBA Summary'!$G$2,-48)),12,31))</f>
        <v>0.11952369481418379</v>
      </c>
      <c r="DH3" s="16" cm="1">
        <f t="array" ref="DH3">_xll.ASAssetStatistic($A3,"Return during " &amp;YEAR(EOMONTH('PBA Summary'!$G$2,-36)),,,,"M",DATE(YEAR(EOMONTH('PBA Summary'!$G$2,-36)),1,31),DATE(YEAR(EOMONTH('PBA Summary'!$G$2,-36)),12,31))</f>
        <v>0.21822770128307667</v>
      </c>
      <c r="DI3" s="16" cm="1">
        <f t="array" ref="DI3">_xll.ASAssetStatistic($A3,"Return during " &amp;YEAR(EOMONTH('PBA Summary'!$G$2,-24)),,,,"M",DATE(YEAR(EOMONTH('PBA Summary'!$G$2,-24)),1,31),DATE(YEAR(EOMONTH('PBA Summary'!$G$2,-24)),12,31))</f>
        <v>-4.3917620020327952E-2</v>
      </c>
      <c r="DJ3" s="16" cm="1">
        <f t="array" ref="DJ3">_xll.ASAssetStatistic($A3,"Return during " &amp;YEAR(EOMONTH('PBA Summary'!$G$2,-12)),,,,"M",DATE(YEAR(EOMONTH('PBA Summary'!$G$2,-12)),1,31),DATE(YEAR(EOMONTH('PBA Summary'!$G$2,-12)),12,31))</f>
        <v>0.31477661884146557</v>
      </c>
      <c r="DK3" s="11" t="str" cm="1">
        <f t="array" ref="DK3">_xll.ASAssetInfo($A3,"Prime Broker")</f>
        <v/>
      </c>
      <c r="DL3" s="16" cm="1">
        <f t="array" ref="DL3">_xll.ASAssetStatistic($A3,"Return",,,,"m",'PBA Summary'!$F$2,'PBA Summary'!$G$2)</f>
        <v>0.21984364480871865</v>
      </c>
      <c r="DM3" s="33" t="str" cm="1">
        <f t="array" ref="DM3">IF('PBA Summary'!$D$2="","",_xll.ASAssetStatistic($A3,"Ann. Information Ratio vs Benchmark 1",'PBA Summary'!$D$2,,,"m",'PBA Summary'!$F$2,'PBA Summary'!$G$2))</f>
        <v/>
      </c>
      <c r="DN3" s="33" t="str" cm="1">
        <f t="array" ref="DN3">IF('PBA Summary'!$D$3="","",_xll.ASAssetStatistic($A3,"Ann. Information Ratio vs Benchmark 1",'PBA Summary'!$D$3,,,"m",'PBA Summary'!$F$2,'PBA Summary'!$G$2))</f>
        <v/>
      </c>
      <c r="DO3" s="33" cm="1">
        <f t="array" ref="DO3">IF('PBA Summary'!$D$2="","",_xll.ASAssetStatistic($A3,"Ann. Tracking Error vs Benchmark 1",'PBA Summary'!$D$2,,,"m",'PBA Summary'!$F$2,'PBA Summary'!$G$2))</f>
        <v>0</v>
      </c>
      <c r="DP3" s="33" cm="1">
        <f t="array" ref="DP3">IF('PBA Summary'!$D$3="","",_xll.ASAssetStatistic($A3,"Ann. Tracking Error vs Benchmark 1",'PBA Summary'!$D$3,,,"m",'PBA Summary'!$F$2,'PBA Summary'!$G$2))</f>
        <v>0</v>
      </c>
      <c r="DQ3" s="33" cm="1">
        <f t="array" ref="DQ3">IF('PBA Summary'!$D$2="","",_xll.ASAssetStatistic($A3,"R² vs Benchmark 1",'PBA Summary'!$D$2,,,"m",'PBA Summary'!$F$2,'PBA Summary'!$G$2))</f>
        <v>0.99999999999999956</v>
      </c>
      <c r="DR3" s="33" cm="1">
        <f t="array" ref="DR3">IF('PBA Summary'!$D$3="","",_xll.ASAssetStatistic($A3,"R² vs Benchmark 1",'PBA Summary'!$D$3,,,"m",'PBA Summary'!$F$2,'PBA Summary'!$G$2))</f>
        <v>0.99999999999999956</v>
      </c>
      <c r="DS3" s="11" t="str" cm="1">
        <f t="array" ref="DS3">_xll.ASAssetInfo($A3,"On-/Offshore")</f>
        <v>Unknown</v>
      </c>
      <c r="DT3" s="16" cm="1">
        <f t="array" ref="DT3">_xll.ASAssetStatistic($A3,"Quarter-to-date",,,,"m",'PBA Summary'!$F$2,'PBA Summary'!$G$2)</f>
        <v>-4.3937345812949946E-4</v>
      </c>
      <c r="DU3" s="16" cm="1">
        <f t="array" ref="DU3">_xll.ASAssetStatistic($A3,"Annualized Return Since inception",,,,"m",'PBA Summary'!$F$2,'PBA Summary'!$G$2)</f>
        <v>7.7456770342863246E-2</v>
      </c>
      <c r="DV3" s="16" cm="1">
        <f t="array" ref="DV3">IF('PBA Summary'!$D$2="","",_xll.ASAssetStatistic($A3,"Ann. Bear Market Return vs Benchmark 1",'PBA Summary'!$D$2,,,"m",'PBA Summary'!$F$2,'PBA Summary'!$G$2))</f>
        <v>-0.41152367264655176</v>
      </c>
      <c r="DW3" s="16" cm="1">
        <f t="array" ref="DW3">IF('PBA Summary'!$D$2="","",_xll.ASAssetStatistic($A3,"Ann. Bull Market Return vs Benchmark 1",'PBA Summary'!$D$2,,,"m",'PBA Summary'!$F$2,'PBA Summary'!$G$2))</f>
        <v>0.50620786661387962</v>
      </c>
      <c r="DX3" s="16" cm="1">
        <f t="array" ref="DX3">IF('PBA Summary'!$D$3="","",_xll.ASAssetStatistic($A3,"Ann. Bear Market Return vs Benchmark 1",'PBA Summary'!$D$3,,,"m",'PBA Summary'!$F$2,'PBA Summary'!$G$2))</f>
        <v>-0.41152367264655176</v>
      </c>
      <c r="DY3" s="16" cm="1">
        <f t="array" ref="DY3">IF('PBA Summary'!$D$3="","",_xll.ASAssetStatistic($A3,"Ann. Bull Market Return vs Benchmark 1",'PBA Summary'!$D$3,,,"m",'PBA Summary'!$F$2,'PBA Summary'!$G$2))</f>
        <v>0.50620786661387962</v>
      </c>
      <c r="DZ3" s="17" cm="1">
        <f t="array" ref="DZ3">_xll.ASAssetStatistic($A3,"Average Positive Return",,,,"m",'PBA Summary'!$F$2,'PBA Summary'!$G$2)</f>
        <v>3.4924742301502179E-2</v>
      </c>
      <c r="EA3" s="17" cm="1">
        <f t="array" ref="EA3">_xll.ASAssetStatistic($A3,"Average Negative Return",,,,"m",'PBA Summary'!$F$2,'PBA Summary'!$G$2)</f>
        <v>-4.2540002918398101E-2</v>
      </c>
      <c r="EB3" s="16" cm="1">
        <f t="array" ref="EB3">IF('PBA Summary'!$D$2="","",_xll.ASAssetStatistic($A3,"Outperformance vs Benchmark 1",'PBA Summary'!$D$2,,,"m",'PBA Summary'!$F$2,'PBA Summary'!$G$2))</f>
        <v>0</v>
      </c>
      <c r="EC3" s="16" cm="1">
        <f t="array" ref="EC3">IF('PBA Summary'!$D$3="","",_xll.ASAssetStatistic($A3,"Outperformance vs Benchmark 1",'PBA Summary'!$D$3,,,"m",'PBA Summary'!$F$2,'PBA Summary'!$G$2))</f>
        <v>0</v>
      </c>
      <c r="ED3" s="16" cm="1">
        <f t="array" ref="ED3">IF('PBA Summary'!$D$2="","",_xll.ASAssetStatistic($A3,"Annual Outperformance vs Benchmark 1",'PBA Summary'!$D$2,,,"m",'PBA Summary'!$F$2,'PBA Summary'!$G$2))</f>
        <v>0</v>
      </c>
      <c r="EE3" s="16" cm="1">
        <f t="array" ref="EE3">IF('PBA Summary'!$D$3="","",_xll.ASAssetStatistic($A3,"Annual Outperformance vs Benchmark 1",'PBA Summary'!$D$3,,,"m",'PBA Summary'!$F$2,'PBA Summary'!$G$2))</f>
        <v>0</v>
      </c>
      <c r="EF3" s="32" cm="1">
        <f t="array" ref="EF3">_xll.ASAssetStatistic($A3,"Rachev Ratio 99%",,,,"m",'PBA Summary'!$F$2,'PBA Summary'!$G$2)</f>
        <v>-0.88711244137126122</v>
      </c>
      <c r="EG3" s="32" cm="1">
        <f t="array" ref="EG3">_xll.ASAssetStatistic($A3,"Rachev Ratio 97%",,,,"m",'PBA Summary'!$F$2,'PBA Summary'!$G$2)</f>
        <v>-0.88711244137126122</v>
      </c>
      <c r="EH3" s="32" cm="1">
        <f t="array" ref="EH3">_xll.ASAssetStatistic($A3,"Rachev Ratio 95%",,,,"m",'PBA Summary'!$F$2,'PBA Summary'!$G$2)</f>
        <v>-0.88711244137126122</v>
      </c>
      <c r="EI3" s="32" cm="1">
        <f t="array" ref="EI3">_xll.ASAssetStatistic($A3,"Rachev Ratio 90%",,,,"m",'PBA Summary'!$F$2,'PBA Summary'!$G$2)</f>
        <v>-0.97875598137618181</v>
      </c>
      <c r="EJ3" s="34" cm="1">
        <f t="array" ref="EJ3">IF('PBA Summary'!$D$2="","",_xll.ASAssetStatistic($A3,"Annual Up Capture vs Benchmark 1",'PBA Summary'!$D$2,,,"m",'PBA Summary'!$F$2,'PBA Summary'!$G$2))</f>
        <v>1</v>
      </c>
      <c r="EK3" s="34" cm="1">
        <f t="array" ref="EK3">IF('PBA Summary'!$D$3="","",_xll.ASAssetStatistic($A3,"Annual Up Capture vs Benchmark 1",'PBA Summary'!$D$3,,,"m",'PBA Summary'!$F$2,'PBA Summary'!$G$2))</f>
        <v>1</v>
      </c>
      <c r="EL3" s="34" cm="1">
        <f t="array" ref="EL3">IF('PBA Summary'!$D$2="","",_xll.ASAssetStatistic($A3,"Annual Down Capture vs Benchmark 1",'PBA Summary'!$D$2,,,"m",'PBA Summary'!$F$2,'PBA Summary'!$G$2))</f>
        <v>1</v>
      </c>
      <c r="EM3" s="34" cm="1">
        <f t="array" ref="EM3">IF('PBA Summary'!$D$3="","",_xll.ASAssetStatistic($A3,"Annual Down Capture vs Benchmark 1",'PBA Summary'!$D$3,,,"m",'PBA Summary'!$F$2,'PBA Summary'!$G$2))</f>
        <v>1</v>
      </c>
      <c r="EN3" s="16" cm="1">
        <f t="array" ref="EN3">IF('PBA Summary'!$D$2="","",_xll.ASAssetStatistic($A3,"Ann. Tracking Error vs Benchmark 1",'PBA Summary'!$D$2,,,"m",'PBA Summary'!$F$2,'PBA Summary'!$G$2))</f>
        <v>0</v>
      </c>
      <c r="EO3" s="16" cm="1">
        <f t="array" ref="EO3">IF('PBA Summary'!$D$3="","",_xll.ASAssetStatistic($A3,"Ann. Tracking Error vs Benchmark 1",'PBA Summary'!$D$3,,,"m",'PBA Summary'!$F$2,'PBA Summary'!$G$2))</f>
        <v>0</v>
      </c>
      <c r="EP3" s="16" cm="1">
        <f t="array" ref="EP3">IF('PBA Summary'!$D$2="","",_xll.ASAssetStatistic($A3,"Annual Jensen Alpha vs Benchmark 1 (Rf)",'PBA Summary'!$D$2,,,"m",'PBA Summary'!$F$2,'PBA Summary'!$G$2))</f>
        <v>0</v>
      </c>
      <c r="EQ3" s="16" cm="1">
        <f t="array" ref="EQ3">IF('PBA Summary'!$D$3="","",_xll.ASAssetStatistic($A3,"Annual Jensen Alpha vs Benchmark 1 (Rf)",'PBA Summary'!$D$3,,,"m",'PBA Summary'!$F$2,'PBA Summary'!$G$2))</f>
        <v>0</v>
      </c>
      <c r="ER3" s="33" t="str" cm="1">
        <f t="array" ref="ER3">IF('PBA Summary'!$D$2="","",_xll.ASAssetStatistic($A3,"Ann. Information Ratio vs Benchmark 1",'PBA Summary'!$D$2,,,"m",'PBA Summary'!$F$2,'PBA Summary'!$G$2))</f>
        <v/>
      </c>
      <c r="ES3" s="33" t="str" cm="1">
        <f t="array" ref="ES3">IF('PBA Summary'!$D$3="","",_xll.ASAssetStatistic($A3,"Ann. Information Ratio vs Benchmark 1",'PBA Summary'!$D$3,,,"m",'PBA Summary'!$F$2,'PBA Summary'!$G$2))</f>
        <v/>
      </c>
      <c r="ET3" s="17" cm="1">
        <f t="array" ref="ET3">IF('PBA Summary'!$D$2="","",_xll.ASAssetStatistic($A3,"Alpha Monthly vs Benchmark 1",'PBA Summary'!$D$2,,,"m",'PBA Summary'!$F$2,'PBA Summary'!$G$2))</f>
        <v>-3.4694469519536142E-18</v>
      </c>
      <c r="EU3" s="17" cm="1">
        <f t="array" ref="EU3">IF('PBA Summary'!$D$3="","",_xll.ASAssetStatistic($A3,"Alpha Monthly vs Benchmark 1",'PBA Summary'!$D$3,,,"m",'PBA Summary'!$F$2,'PBA Summary'!$G$2))</f>
        <v>-3.4694469519536142E-18</v>
      </c>
      <c r="EV3" s="11" t="str" cm="1">
        <f t="array" ref="EV3">_xll.ASAssetInfo($A3,"Company AUM (m)")</f>
        <v/>
      </c>
      <c r="EW3" s="16" cm="1">
        <f t="array" ref="EW3">_xll.ASAssetStatistic($A3,"Exponential Annualized Volatility",,,,"m",'PBA Summary'!$F$2,'PBA Summary'!$G$2)</f>
        <v>0.12759505095522872</v>
      </c>
      <c r="EX3" s="16" cm="1">
        <f t="array" ref="EX3">_xll.ASAssetStatistic($A3,"Exponential Annualized Volatility Last 1 year",,,,"m",'PBA Summary'!$F$2,'PBA Summary'!$G$2)</f>
        <v>0.10406818728936433</v>
      </c>
      <c r="EY3" s="16" t="str" cm="1">
        <f t="array" ref="EY3">_xll.ASAssetStatistic($A3,"Exponential Annualized Volatility Last 3 years",,,,"m",'PBA Summary'!$F$2,'PBA Summary'!$G$2)</f>
        <v/>
      </c>
      <c r="EZ3" s="34" cm="1">
        <f t="array" ref="EZ3">IF('PBA Summary'!$D$2="","",_xll.ASAssetStatistic($A3,"Exponential Correlation to Benchmark 1",'PBA Summary'!$D$2,,,"m",'PBA Summary'!$F$2,'PBA Summary'!$G$2))</f>
        <v>0.92007650728270729</v>
      </c>
      <c r="FA3" s="34" cm="1">
        <f t="array" ref="FA3">IF('PBA Summary'!$D$3="","",_xll.ASAssetStatistic($A3,"Exponential Correlation to Benchmark 1",'PBA Summary'!$D$3,,,"m",'PBA Summary'!$F$2,'PBA Summary'!$G$2))</f>
        <v>0.92007650728270729</v>
      </c>
      <c r="FB3" s="34" cm="1">
        <f t="array" ref="FB3">_xll.ASAssetStatistic($A3,"Exponential Annual Sharpe Ratio (Rf)",,,,"m",'PBA Summary'!$F$2,'PBA Summary'!$G$2)</f>
        <v>1.6049363978367155</v>
      </c>
      <c r="FC3" s="34" cm="1">
        <f t="array" ref="FC3">_xll.ASAssetStatistic($A3,"Exponential Normal Monthly VaR 99%",,,,"m",'PBA Summary'!$F$2,'PBA Summary'!$G$2)</f>
        <v>-6.9866097239488556E-2</v>
      </c>
      <c r="FD3" s="34" cm="1">
        <f t="array" ref="FD3">_xll.ASAssetStatistic($A3,"Exponential Normal Monthly VaR 97%",,,,"m",'PBA Summary'!$F$2,'PBA Summary'!$G$2)</f>
        <v>-5.3454765940466872E-2</v>
      </c>
      <c r="FE3" s="34" cm="1">
        <f t="array" ref="FE3">_xll.ASAssetStatistic($A3,"Exponential Normal Monthly VaR 95%",,,,"m",'PBA Summary'!$F$2,'PBA Summary'!$G$2)</f>
        <v>-4.4764266276136361E-2</v>
      </c>
      <c r="FF3" s="34" cm="1">
        <f t="array" ref="FF3">_xll.ASAssetStatistic($A3,"Exponential Normal Monthly VaR 90%",,,,"m",'PBA Summary'!$F$2,'PBA Summary'!$G$2)</f>
        <v>-3.1382573073263614E-2</v>
      </c>
      <c r="FG3" s="34" t="str" cm="1">
        <f t="array" ref="FG3">_xll.ASAssetStatistic($A3,"Exponential Normal weekly VaR 99%",,,,"m",'PBA Summary'!$F$2,'PBA Summary'!$G$2)</f>
        <v/>
      </c>
      <c r="FH3" s="34" t="str" cm="1">
        <f t="array" ref="FH3">_xll.ASAssetStatistic($A3,"Exponential Normal weekly VaR 97%",,,,"m",'PBA Summary'!$F$2,'PBA Summary'!$G$2)</f>
        <v/>
      </c>
      <c r="FI3" s="34" t="str" cm="1">
        <f t="array" ref="FI3">_xll.ASAssetStatistic($A3,"Exponential Normal weekly VaR 95%",,,,"m",'PBA Summary'!$F$2,'PBA Summary'!$G$2)</f>
        <v/>
      </c>
      <c r="FJ3" s="34" t="str" cm="1">
        <f t="array" ref="FJ3">_xll.ASAssetStatistic($A3,"Exponential Normal weekly VaR 90%",,,,"m",'PBA Summary'!$F$2,'PBA Summary'!$G$2)</f>
        <v/>
      </c>
      <c r="FK3" s="34" t="str" cm="1">
        <f t="array" ref="FK3">_xll.ASAssetStatistic($A3,"Exponential Normal daily VaR 99%",,,,"m",'PBA Summary'!$F$2,'PBA Summary'!$G$2)</f>
        <v/>
      </c>
      <c r="FL3" s="34" t="str" cm="1">
        <f t="array" ref="FL3">_xll.ASAssetStatistic($A3,"Exponential Normal daily VaR 97%",,,,"m",'PBA Summary'!$F$2,'PBA Summary'!$G$2)</f>
        <v/>
      </c>
      <c r="FM3" s="34" t="str" cm="1">
        <f t="array" ref="FM3">_xll.ASAssetStatistic($A3,"Exponential Normal daily VaR 95%",,,,"m",'PBA Summary'!$F$2,'PBA Summary'!$G$2)</f>
        <v/>
      </c>
      <c r="FN3" s="34" t="str" cm="1">
        <f t="array" ref="FN3">_xll.ASAssetStatistic($A3,"Exponential Normal daily VaR 90%",,,,"m",'PBA Summary'!$F$2,'PBA Summary'!$G$2)</f>
        <v/>
      </c>
      <c r="FO3" s="34" cm="1">
        <f t="array" ref="FO3">_xll.ASAssetStatistic($A3,"Bias Ratio",,,,"m",'PBA Summary'!$F$2,'PBA Summary'!$G$2)</f>
        <v>3</v>
      </c>
      <c r="FP3" s="11" t="str" cm="1">
        <f t="array" ref="FP3">_xll.ASAssetInfo($A3,"Manager's Biography")</f>
        <v/>
      </c>
      <c r="FQ3" s="11" cm="1">
        <f t="array" ref="FQ3">_xll.ASAssetInfo($A3,"Investment Min")</f>
        <v>0</v>
      </c>
      <c r="FR3" s="11" t="str" cm="1">
        <f t="array" ref="FR3">_xll.ASAssetInfo($A3,"Auditor")</f>
        <v/>
      </c>
      <c r="FS3" s="11" t="str" cm="1">
        <f t="array" ref="FS3">_xll.ASAssetInfo($A3,"Custodian")</f>
        <v/>
      </c>
      <c r="FT3" s="11" t="str" cm="1">
        <f t="array" ref="FT3">_xll.ASAssetInfo($A3,"Administrator")</f>
        <v/>
      </c>
      <c r="FU3" s="14" t="str" cm="1">
        <f t="array" ref="FU3">_xll.ASAssetInfo($A3,"Proxy 1 Start Date")</f>
        <v/>
      </c>
      <c r="FV3" s="14" t="str" cm="1">
        <f t="array" ref="FV3">_xll.ASAssetInfo($A3,"Proxy 1 End Date")</f>
        <v/>
      </c>
      <c r="FW3" s="14" t="str" cm="1">
        <f t="array" ref="FW3">_xll.ASAssetInfo($A3,"Proxy 2 Start Date")</f>
        <v/>
      </c>
      <c r="FX3" s="14" t="str" cm="1">
        <f t="array" ref="FX3">_xll.ASAssetInfo($A3,"Proxy 2 End Date")</f>
        <v/>
      </c>
      <c r="FY3" s="14" t="str" cm="1">
        <f t="array" ref="FY3">_xll.ASAssetInfo($A3,"Proxy 3 Start Date")</f>
        <v/>
      </c>
      <c r="FZ3" s="14" t="str" cm="1">
        <f t="array" ref="FZ3">_xll.ASAssetInfo($A3,"Proxy 3 End Date")</f>
        <v/>
      </c>
      <c r="GA3" s="14" t="str" cm="1">
        <f t="array" ref="GA3">_xll.ASAssetInfo($A3,"Fund Domicile")</f>
        <v/>
      </c>
      <c r="GB3" s="14" t="str" cm="1">
        <f t="array" ref="GB3">_xll.ASAssetInfo($A3,"Fund Contact")</f>
        <v/>
      </c>
      <c r="GC3" s="14" t="str" cm="1">
        <f t="array" ref="GC3">_xll.ASAssetInfo($A3,"Fund Contact Email")</f>
        <v/>
      </c>
      <c r="GD3" s="14" t="str" cm="1">
        <f t="array" ref="GD3">_xll.ASAssetInfo($A3,"Fund Contact Number")</f>
        <v/>
      </c>
      <c r="GE3" s="14" t="str" cm="1">
        <f t="array" ref="GE3">_xll.ASAssetInfo($A3,"City")</f>
        <v/>
      </c>
      <c r="GF3" s="14" t="str" cm="1">
        <f t="array" ref="GF3">_xll.ASAssetInfo($A3,"Leverage")</f>
        <v/>
      </c>
      <c r="GG3" s="14" t="str" cm="1">
        <f t="array" ref="GG3">_xll.ASAssetInfo($A3,"Lockup 1 Duration")</f>
        <v>0 Months</v>
      </c>
      <c r="GH3" s="14" t="str" cm="1">
        <f t="array" ref="GH3">_xll.ASAssetInfo($A3,"Lockup 2 Duration")</f>
        <v>0 Months</v>
      </c>
      <c r="GI3" s="14" t="str" cm="1">
        <f t="array" ref="GI3">_xll.ASAssetInfo($A3,"Lockup 3 Duration")</f>
        <v>0 Months</v>
      </c>
      <c r="GJ3" s="31" t="str" cm="1">
        <f t="array" ref="GJ3">_xll.ASAssetInfo($A3,"Fund Level Gate")</f>
        <v/>
      </c>
      <c r="GK3" s="31" t="str" cm="1">
        <f t="array" ref="GK3">_xll.ASAssetInfo($A3,"Fund Level Gate Frequency")</f>
        <v>Unknown</v>
      </c>
      <c r="GL3" s="35" cm="1">
        <f t="array" ref="GL3">_xll.ASAssetInfo($A3,"Payment 2 (%)")</f>
        <v>0</v>
      </c>
      <c r="GM3" s="35" t="str" cm="1">
        <f t="array" ref="GM3">_xll.ASAssetInfo($A3,"Payment 2 (days)")</f>
        <v/>
      </c>
      <c r="GN3" s="35" t="str" cm="1">
        <f t="array" ref="GN3">_xll.ASAssetInfo($A3,"Payment 2 (Paid After)")</f>
        <v>NAV Date</v>
      </c>
      <c r="GO3" s="35" cm="1">
        <f t="array" ref="GO3">_xll.ASAssetInfo($A3,"Payment 3 (%)")</f>
        <v>0</v>
      </c>
      <c r="GP3" s="36" t="str" cm="1">
        <f t="array" ref="GP3">_xll.ASAssetInfo($A3,"Payment 3 (Days)")</f>
        <v/>
      </c>
      <c r="GQ3" s="35" t="str" cm="1">
        <f t="array" ref="GQ3">_xll.ASAssetInfo($A3,"Payment 3 (Paid After)")</f>
        <v>NAV Date</v>
      </c>
      <c r="GR3" s="35" cm="1">
        <f t="array" ref="GR3">_xll.ASAssetInfo($A3,"Payment 4 (%)")</f>
        <v>0</v>
      </c>
      <c r="GS3" s="36" t="str" cm="1">
        <f t="array" ref="GS3">_xll.ASAssetInfo($A3,"Payment 4 (days)")</f>
        <v/>
      </c>
      <c r="GT3" s="35" t="str" cm="1">
        <f t="array" ref="GT3">_xll.ASAssetInfo($A3,"Payment 4 (Paid After)")</f>
        <v>NAV Date</v>
      </c>
      <c r="GU3" s="31" cm="1">
        <f t="array" ref="GU3">_xll.ASAssetInfo($A3,"Payment 1 (%)")</f>
        <v>1</v>
      </c>
      <c r="GV3" s="35" cm="1">
        <f t="array" ref="GV3">_xll.ASAssetInfo($A3,"Lockup 1 Fee")</f>
        <v>0</v>
      </c>
      <c r="GW3" s="35" cm="1">
        <f t="array" ref="GW3">_xll.ASAssetInfo($A3,"Lockup 2 Fee")</f>
        <v>0</v>
      </c>
      <c r="GX3" s="35" cm="1">
        <f t="array" ref="GX3">_xll.ASAssetInfo($A3,"Lockup 3 Fee")</f>
        <v>0</v>
      </c>
      <c r="GY3" s="35" t="str" cm="1">
        <f t="array" ref="GY3">_xll.ASAssetInfo($A3,"Lockup 1 type")</f>
        <v>None</v>
      </c>
      <c r="GZ3" s="35" t="str" cm="1">
        <f t="array" ref="GZ3">_xll.ASAssetInfo($A3,"Lockup 2 type")</f>
        <v>None</v>
      </c>
      <c r="HA3" s="35" t="str" cm="1">
        <f t="array" ref="HA3">_xll.ASAssetInfo($A3,"Lockup 3 type")</f>
        <v>None</v>
      </c>
      <c r="HB3" s="35" t="str" cm="1">
        <f t="array" ref="HB3">_xll.ASAssetInfo($A3,"Redemption 1 type")</f>
        <v>Calendar</v>
      </c>
      <c r="HC3" s="35" t="str" cm="1">
        <f t="array" ref="HC3">_xll.ASAssetInfo($A3,"Redemption 2 type")</f>
        <v>Calendar</v>
      </c>
      <c r="HD3" s="35" t="str" cm="1">
        <f t="array" ref="HD3">_xll.ASAssetInfo($A3,"Redemption 3 type")</f>
        <v>Calendar</v>
      </c>
      <c r="HE3" s="35" t="str" cm="1">
        <f t="array" ref="HE3">_xll.ASAssetInfo($A3,"Redemption 1 Fee")</f>
        <v/>
      </c>
      <c r="HF3" s="35" t="str" cm="1">
        <f t="array" ref="HF3">_xll.ASAssetInfo($A3,"Redemption 2 Fee")</f>
        <v/>
      </c>
      <c r="HG3" s="35" t="str" cm="1">
        <f t="array" ref="HG3">_xll.ASAssetInfo($A3,"Redemption 3 Fee")</f>
        <v/>
      </c>
      <c r="HH3" s="35" t="str" cm="1">
        <f t="array" ref="HH3">_xll.ASAssetInfo($A3,"Redemption 1 Frequency")</f>
        <v>Unknown</v>
      </c>
      <c r="HI3" s="35" t="str" cm="1">
        <f t="array" ref="HI3">_xll.ASAssetInfo($A3,"Redemption 2 Frequency")</f>
        <v>Unknown</v>
      </c>
      <c r="HJ3" s="35" t="str" cm="1">
        <f t="array" ref="HJ3">_xll.ASAssetInfo($A3,"Redemption 3 Frequency")</f>
        <v>Unknown</v>
      </c>
      <c r="HK3" s="35" t="str" cm="1">
        <f t="array" ref="HK3">_xll.ASAssetInfo($A3,"Asset Calendar")</f>
        <v>[Default]</v>
      </c>
      <c r="HL3" s="16" cm="1">
        <f t="array" ref="HL3">_xll.ASAssetStatistic($A3,"Max Second Drawdown",,,,"m",'PBA Summary'!$F$2,'PBA Summary'!$G$2)</f>
        <v>-6.3548887398839127E-2</v>
      </c>
      <c r="HM3" s="37" cm="1">
        <f t="array" ref="HM3">_xll.ASAssetStatistic($A3,"Date Max Second Drawdown",,,,"m",'PBA Summary'!$F$2,'PBA Summary'!$G$2)</f>
        <v>43616</v>
      </c>
    </row>
    <row r="4" spans="1:221" ht="13.15" customHeight="1" x14ac:dyDescent="0.25">
      <c r="A4" s="6" t="str">
        <f>'PBA Summary'!D3</f>
        <v>S&amp;P 500 Index</v>
      </c>
      <c r="B4"/>
      <c r="C4" t="str" cm="1">
        <f t="array" ref="C4">_xll.ASPortfolioAssetStatistic('PBA Summary'!$C$2,"OR",$A4,"Expected Annual Return",'PBA Summary'!$F$2,'PBA Summary'!$G$2)</f>
        <v/>
      </c>
      <c r="D4"/>
      <c r="E4"/>
      <c r="F4" cm="1">
        <f t="array" ref="F4">_xll.ASAssetStatistic($A4,"Annualized Return since inception",,,,"m",_xll.ASAssetInfo($A4,"Start Date"),_xll.ASAssetInfo($A4,"Last Return Date"))</f>
        <v>7.7456770342863246E-2</v>
      </c>
      <c r="G4" cm="1">
        <f t="array" ref="G4">_xll.ASAssetStatistic($A4,"Annualized Return",,,,"m",'PBA Summary'!$F$2,'PBA Summary'!$G$2)</f>
        <v>0.17231233422666725</v>
      </c>
      <c r="H4" s="19" cm="1">
        <f t="array" ref="H4">_xll.ASAssetStatistic($A4,"Equilibrium Annual Return",,,,"m",'PBA Summary'!$F$2,'PBA Summary'!$G$2)</f>
        <v>1.245103848029403</v>
      </c>
      <c r="I4" cm="1">
        <f t="array" ref="I4">_xll.ASAssetStatistic($A4,"Annualized Volatility (Inception)",,,,"m",_xll.ASAssetInfo($A4,"Start Date"),_xll.ASAssetInfo($A4,"Last Return Date"))</f>
        <v>0.15239672176534869</v>
      </c>
      <c r="J4" cm="1">
        <f t="array" ref="J4">_xll.ASAssetStatistic($A4,"Annualized Volatility",,,,"m",'PBA Summary'!$F$2,'PBA Summary'!$G$2)</f>
        <v>0.15352399658550542</v>
      </c>
      <c r="K4" s="20" cm="1">
        <f t="array" ref="K4">_xll.ASAssetStatistic($A4,"Skewness",,,,"m",'PBA Summary'!$F$2,'PBA Summary'!$G$2)</f>
        <v>-1.0826795380164889</v>
      </c>
      <c r="L4" s="20" cm="1">
        <f t="array" ref="L4">_xll.ASAssetStatistic($A4,"Excess kurtosis",,,,"m",'PBA Summary'!$F$2,'PBA Summary'!$G$2)</f>
        <v>1.555306334337559</v>
      </c>
      <c r="M4" s="19" cm="1">
        <f t="array" ref="M4">_xll.ASAssetStatistic($A4,"Return Last 1 month",,,,"m",'PBA Summary'!$F$2,'PBA Summary'!$G$2)</f>
        <v>-4.3937345812949946E-4</v>
      </c>
      <c r="N4" s="19" cm="1">
        <f t="array" ref="N4">_xll.ASAssetStatistic($A4,"Return Last 3 months",,,,"m",'PBA Summary'!$F$2,'PBA Summary'!$G$2)</f>
        <v>6.7039088287374593E-2</v>
      </c>
      <c r="O4" s="19" cm="1">
        <f t="array" ref="O4">_xll.ASAssetStatistic($A4,"Return Last 1 year",,,,"m",'PBA Summary'!$F$2,'PBA Summary'!$G$2)</f>
        <v>0.21669950141416083</v>
      </c>
      <c r="P4" s="19" cm="1">
        <f t="array" ref="P4">_xll.ASAssetStatistic($A4,"Year-to-date Return",,,,"m",'PBA Summary'!$F$2,'PBA Summary'!$G$2)</f>
        <v>-4.3937345812949946E-4</v>
      </c>
      <c r="Q4" s="19" cm="1">
        <f t="array" ref="Q4">_xll.ASAssetStatistic($A4,"Annualized Return",,,,"m",EOMONTH('PBA Summary'!$G$2,-2),'PBA Summary'!$G$2)</f>
        <v>0.29634714632385362</v>
      </c>
      <c r="R4" s="19" t="str" cm="1">
        <f t="array" ref="R4">_xll.ASAssetStatistic($A4,"Annualized Return Last 3 years",,,,"m",'PBA Summary'!$F$2,'PBA Summary'!$G$2)</f>
        <v/>
      </c>
      <c r="S4" s="19" t="str" cm="1">
        <f t="array" ref="S4">_xll.ASAssetStatistic($A4,"Annualized Return Last 5 years",,,,"m",'PBA Summary'!$F$2,'PBA Summary'!$G$2)</f>
        <v/>
      </c>
      <c r="T4" s="19" cm="1">
        <f t="array" ref="T4">_xll.ASAssetStatistic($A4,"Annualized Volatility Last 1 year",,,,"m",'PBA Summary'!$F$2,'PBA Summary'!$G$2)</f>
        <v>0.11485541684490753</v>
      </c>
      <c r="U4" s="19" t="str" cm="1">
        <f t="array" ref="U4">_xll.ASAssetStatistic($A4,"Annualized Volatility Last 3 years",,,,"m",'PBA Summary'!$F$2,'PBA Summary'!$G$2)</f>
        <v/>
      </c>
      <c r="V4" s="19" t="str" cm="1">
        <f t="array" ref="V4">_xll.ASAssetStatistic($A4,"Annualized Volatility Last 5 years",,,,"m",'PBA Summary'!$F$2,'PBA Summary'!$G$2)</f>
        <v/>
      </c>
      <c r="W4" s="19" cm="1">
        <f t="array" ref="W4">_xll.ASAssetStatistic($A4,"Normal monthly VaR 99%",,,,"m",'PBA Summary'!$F$2,'PBA Summary'!$G$2)</f>
        <v>-8.8832911806043385E-2</v>
      </c>
      <c r="X4" s="19" cm="1">
        <f t="array" ref="X4">_xll.ASAssetStatistic($A4,"Modified monthly VaR 99%",,,,"m",'PBA Summary'!$F$2,'PBA Summary'!$G$2)</f>
        <v>-0.12067941481298407</v>
      </c>
      <c r="Y4" s="19" cm="1">
        <f t="array" ref="Y4">_xll.ASAssetStatistic($A4,"Conditional monthly VaR 99%",,,,"m",'PBA Summary'!$F$2,'PBA Summary'!$G$2)</f>
        <v>-9.0331686534528943E-2</v>
      </c>
      <c r="Z4" s="19" cm="1">
        <f t="array" ref="Z4">_xll.ASAssetStatistic($A4,"Normal monthly VaR 97%",,,,"m",'PBA Summary'!$F$2,'PBA Summary'!$G$2)</f>
        <v>-6.9086588171604998E-2</v>
      </c>
      <c r="AA4" s="19" cm="1">
        <f t="array" ref="AA4">_xll.ASAssetStatistic($A4,"Modified monthly VaR 97%",,,,"m",'PBA Summary'!$F$2,'PBA Summary'!$G$2)</f>
        <v>-8.6650078693021243E-2</v>
      </c>
      <c r="AB4" s="19" cm="1">
        <f t="array" ref="AB4">_xll.ASAssetStatistic($A4,"Conditional monthly VaR 97%",,,,"m",'PBA Summary'!$F$2,'PBA Summary'!$G$2)</f>
        <v>-9.0331686534528943E-2</v>
      </c>
      <c r="AC4" s="19" cm="1">
        <f t="array" ref="AC4">_xll.ASAssetStatistic($A4,"Normal monthly VaR 95%",,,,"m",'PBA Summary'!$F$2,'PBA Summary'!$G$2)</f>
        <v>-5.8630067869252789E-2</v>
      </c>
      <c r="AD4" s="19" cm="1">
        <f t="array" ref="AD4">_xll.ASAssetStatistic($A4,"Modified monthly VaR 95%",,,,"m",'PBA Summary'!$F$2,'PBA Summary'!$G$2)</f>
        <v>-6.9902726413712105E-2</v>
      </c>
      <c r="AE4" s="19" cm="1">
        <f t="array" ref="AE4">_xll.ASAssetStatistic($A4,"Conditional monthly VaR 95%",,,,"m",'PBA Summary'!$F$2,'PBA Summary'!$G$2)</f>
        <v>-9.0331686534528943E-2</v>
      </c>
      <c r="AF4" s="38" cm="1">
        <f t="array" ref="AF4">IF('PBA Summary'!$D$2="","",_xll.ASAssetStatistic($A4,"Correlation to Benchmark 1",'PBA Summary'!$D$2,,,"m",'PBA Summary'!$F$2,'PBA Summary'!$G$2))</f>
        <v>0.99999999999999978</v>
      </c>
      <c r="AG4" s="38" cm="1">
        <f t="array" ref="AG4">IF('PBA Summary'!$D$3="","",_xll.ASAssetStatistic($A4,"Correlation to Benchmark 1",'PBA Summary'!$D$3,,,"m",'PBA Summary'!$F$2,'PBA Summary'!$G$2))</f>
        <v>0.99999999999999978</v>
      </c>
      <c r="AH4" s="21" cm="1">
        <f t="array" ref="AH4">IF('PBA Summary'!$D$2="","",_xll.ASAssetStatistic($A4,"Bull correlation to Benchmark 1",'PBA Summary'!$D$2,,,"m",'PBA Summary'!$F$2,'PBA Summary'!$G$2))</f>
        <v>1.0000000000000007</v>
      </c>
      <c r="AI4" s="21" cm="1">
        <f t="array" ref="AI4">IF('PBA Summary'!$D$2="","",_xll.ASAssetStatistic($A4,"Bear correlation to Benchmark 1",'PBA Summary'!$D$2,,,"m",'PBA Summary'!$F$2,'PBA Summary'!$G$2))</f>
        <v>1.0000000000000002</v>
      </c>
      <c r="AJ4" s="21" cm="1">
        <f t="array" ref="AJ4">IF('PBA Summary'!$D$3="","",_xll.ASAssetStatistic($A4,"Bull correlation to Benchmark 1",'PBA Summary'!$D$3,,,"m",'PBA Summary'!$F$2,'PBA Summary'!$G$2))</f>
        <v>1.0000000000000007</v>
      </c>
      <c r="AK4" s="21" cm="1">
        <f t="array" ref="AK4">IF('PBA Summary'!$D$3="","",_xll.ASAssetStatistic($A4,"Bear correlation to Benchmark 1",'PBA Summary'!$D$3,,,"m",'PBA Summary'!$F$2,'PBA Summary'!$G$2))</f>
        <v>1.0000000000000002</v>
      </c>
      <c r="AL4" s="24" cm="1">
        <f t="array" ref="AL4">IF('PBA Summary'!$D$2="","",_xll.ASAssetStatistic($A4,"Beta to Benchmark 1",'PBA Summary'!$D$2,,,"m",'PBA Summary'!$F$2,'PBA Summary'!$G$2))</f>
        <v>1</v>
      </c>
      <c r="AM4" s="24" t="str" cm="1">
        <f t="array" ref="AM4">IF('PBA Summary'!$D$2="","",_xll.ASAssetStatistic($A4,"Beta to Benchmark 1 Last 3 years",'PBA Summary'!$D$2,,,"m",'PBA Summary'!$F$2,'PBA Summary'!$G$2))</f>
        <v/>
      </c>
      <c r="AN4" s="24" t="str" cm="1">
        <f t="array" ref="AN4">IF('PBA Summary'!$D$2="","",_xll.ASAssetStatistic($A4,"Beta to Benchmark 1 Last 5 years",'PBA Summary'!$D$2,,,"m",'PBA Summary'!$F$2,'PBA Summary'!$G$2))</f>
        <v/>
      </c>
      <c r="AO4" s="25" cm="1">
        <f t="array" ref="AO4">IF('PBA Summary'!$D$3="","",_xll.ASAssetStatistic($A4,"Beta to Benchmark 1",'PBA Summary'!$D$3,,,"m",'PBA Summary'!$F$2,'PBA Summary'!$G$2))</f>
        <v>1</v>
      </c>
      <c r="AP4" s="25" t="str" cm="1">
        <f t="array" ref="AP4">IF('PBA Summary'!$D$3="","",_xll.ASAssetStatistic($A4,"Beta to Benchmark 1 Last 3 years",'PBA Summary'!$D$3,,,"m",'PBA Summary'!$F$2,'PBA Summary'!$G$2))</f>
        <v/>
      </c>
      <c r="AQ4" s="25" t="str" cm="1">
        <f t="array" ref="AQ4">IF('PBA Summary'!$D$3="","",_xll.ASAssetStatistic($A4,"Beta to Benchmark 1 Last 5 years",'PBA Summary'!$D$3,,,"m",'PBA Summary'!$F$2,'PBA Summary'!$G$2))</f>
        <v/>
      </c>
      <c r="AR4" s="25" cm="1">
        <f t="array" ref="AR4">IF('PBA Summary'!$D$2="","",_xll.ASAssetStatistic($A4,"Bull Beta to Benchmark 1",'PBA Summary'!$D$2,,,"m",'PBA Summary'!$F$2,'PBA Summary'!$G$2))</f>
        <v>1.0000000000000007</v>
      </c>
      <c r="AS4" s="25" cm="1">
        <f t="array" ref="AS4">IF('PBA Summary'!$D$2="","",_xll.ASAssetStatistic($A4,"Bear Beta to Benchmark 1",'PBA Summary'!$D$2,,,"m",'PBA Summary'!$F$2,'PBA Summary'!$G$2))</f>
        <v>1</v>
      </c>
      <c r="AT4" s="25" cm="1">
        <f t="array" ref="AT4">IF('PBA Summary'!$D$3="","",_xll.ASAssetStatistic($A4,"Bull Beta to Benchmark 1",'PBA Summary'!$D$3,,,"m",'PBA Summary'!$F$2,'PBA Summary'!$G$2))</f>
        <v>1.0000000000000007</v>
      </c>
      <c r="AU4" s="25" cm="1">
        <f t="array" ref="AU4">IF('PBA Summary'!$D$3="","",_xll.ASAssetStatistic($A4,"Bear Beta to Benchmark 1",'PBA Summary'!$D$3,,,"m",'PBA Summary'!$F$2,'PBA Summary'!$G$2))</f>
        <v>1</v>
      </c>
      <c r="AV4" s="25" cm="1">
        <f t="array" ref="AV4">_xll.ASAssetStatistic($A4,"Annual Sharpe Ratio (Rf)",,,'PBA Summary'!$H$2,"m",'PBA Summary'!$F$2,'PBA Summary'!$G$2)</f>
        <v>1.1060963628059932</v>
      </c>
      <c r="AW4" s="25" t="str" cm="1">
        <f t="array" ref="AW4">_xll.ASAssetStatistic($A4,"Annual Sharpe Ratio (Rf) Last 3 years",,,'PBA Summary'!$H$2,"m",'PBA Summary'!$F$2,'PBA Summary'!$G$2)</f>
        <v/>
      </c>
      <c r="AX4" s="25" t="str" cm="1">
        <f t="array" ref="AX4">_xll.ASAssetStatistic($A4,"Annual Sharpe Ratio (Rf) Last 5 years",,,'PBA Summary'!$H$2,"m",'PBA Summary'!$F$2,'PBA Summary'!$G$2)</f>
        <v/>
      </c>
      <c r="AY4" s="18" cm="1">
        <f t="array" ref="AY4">_xll.ASAssetStatistic($A4,"Ann. Downside Deviation (vs 0%)",,,'PBA Summary'!$H$2,"m",'PBA Summary'!$F$2,'PBA Summary'!$G$2)</f>
        <v>9.97972960246893E-2</v>
      </c>
      <c r="AZ4" s="18" cm="1">
        <f t="array" ref="AZ4">_xll.ASAssetStatistic($A4,"Ann. Downside Deviation (vs Rf)",,,'PBA Summary'!$H$2,"m",'PBA Summary'!$F$2,'PBA Summary'!$G$2)</f>
        <v>0.1000814367451221</v>
      </c>
      <c r="BA4" s="39" cm="1">
        <f t="array" ref="BA4">_xll.ASAssetStatistic($A4,"Annual Treynor ratio",,,'PBA Summary'!$H$2,"m",'PBA Summary'!$F$2,'PBA Summary'!$G$2)</f>
        <v>6.1719540676545392E-2</v>
      </c>
      <c r="BB4" s="26" cm="1">
        <f t="array" ref="BB4">_xll.ASAssetStatistic($A4,"Annual Sortino Ratio (vs 0%)",,,'PBA Summary'!$H$2,"m",'PBA Summary'!$F$2,'PBA Summary'!$G$2)</f>
        <v>1.7266232762863447</v>
      </c>
      <c r="BC4" s="26" cm="1">
        <f t="array" ref="BC4">_xll.ASAssetStatistic($A4,"Annual Sortino Ratio (vs Rf)",,,'PBA Summary'!$H$2,"m",'PBA Summary'!$F$2,'PBA Summary'!$G$2)</f>
        <v>1.6967415711579878</v>
      </c>
      <c r="BD4" s="26" cm="1">
        <f t="array" ref="BD4">_xll.ASAssetStatistic($A4,"Sterling ratio",,,'PBA Summary'!$H$2,"m",'PBA Summary'!$F$2,'PBA Summary'!$G$2)</f>
        <v>1.0535830415431511</v>
      </c>
      <c r="BE4" s="26" cm="1">
        <f t="array" ref="BE4">_xll.ASAssetStatistic($A4,"Calmar ratio",,,'PBA Summary'!$H$2,"m",'PBA Summary'!$F$2,'PBA Summary'!$G$2)</f>
        <v>1.9075513901846781</v>
      </c>
      <c r="BF4" s="26" cm="1">
        <f t="array" ref="BF4">_xll.ASAssetStatistic($A4,"Hurst index",,,'PBA Summary'!$H$2,"m",'PBA Summary'!$F$2,'PBA Summary'!$G$2)</f>
        <v>0.35241056880794464</v>
      </c>
      <c r="BG4" s="26" cm="1">
        <f t="array" ref="BG4">_xll.ASAssetStatistic($A4,"Omega (Threshold 1)",,,'PBA Summary'!$H$2,"m",'PBA Summary'!$F$2,'PBA Summary'!$G$2)</f>
        <v>2.2577112068695557</v>
      </c>
      <c r="BH4" s="26" cm="1">
        <f t="array" ref="BH4">_xll.ASAssetStatistic($A4,"Omega (Threshold 2)",,,'PBA Summary'!$H$2,"m",'PBA Summary'!$F$2,'PBA Summary'!$G$2)</f>
        <v>1.7310272670867546</v>
      </c>
      <c r="BI4" s="26" cm="1">
        <f t="array" ref="BI4">_xll.ASAssetStatistic($A4,"Omega (Threshold 3)",,,'PBA Summary'!$H$2,"m",'PBA Summary'!$F$2,'PBA Summary'!$G$2)</f>
        <v>1.3045876955048485</v>
      </c>
      <c r="BJ4" s="26" cm="1">
        <f t="array" ref="BJ4">_xll.ASAssetStatistic($A4,"Omega (Threshold 4)",,,'PBA Summary'!$H$2,"m",'PBA Summary'!$F$2,'PBA Summary'!$G$2)</f>
        <v>0.95238972594378757</v>
      </c>
      <c r="BK4" s="26" cm="1">
        <f t="array" ref="BK4">_xll.ASAssetStatistic($A4,"Omega (Threshold 5)",,,'PBA Summary'!$H$2,"m",'PBA Summary'!$F$2,'PBA Summary'!$G$2)</f>
        <v>0.66625358248507516</v>
      </c>
      <c r="BL4" s="26" t="str" cm="1">
        <f t="array" ref="BL4">_xll.ASAssetStatistic($A4,"Autocorrelated (illiquid)",,,'PBA Summary'!$H$2,"m",'PBA Summary'!$F$2,'PBA Summary'!$G$2)</f>
        <v>No</v>
      </c>
      <c r="BM4" s="27" cm="1">
        <f t="array" ref="BM4">_xll.ASAssetStatistic($A4,"% months in Run Up",,,'PBA Summary'!$H$2,"m",'PBA Summary'!$F$2,'PBA Summary'!$G$2)</f>
        <v>0.73333333333333339</v>
      </c>
      <c r="BN4" s="27" cm="1">
        <f t="array" ref="BN4">_xll.ASAssetStatistic($A4,"% months in Drawdown",,,'PBA Summary'!$H$2,"m",'PBA Summary'!$F$2,'PBA Summary'!$G$2)</f>
        <v>0.26666666666666666</v>
      </c>
      <c r="BO4" s="18" cm="1">
        <f t="array" ref="BO4">IF('PBA Summary'!$D$2="","",_xll.ASAssetStatistic($A4,"Average return during bull Benchmark 1",'PBA Summary'!$D$2,,,"m",'PBA Summary'!$F$2,'PBA Summary'!$G$2))</f>
        <v>3.4924742301502179E-2</v>
      </c>
      <c r="BP4" s="18" cm="1">
        <f t="array" ref="BP4">IF('PBA Summary'!$D$2="","",_xll.ASAssetStatistic($A4,"Average return during bear Benchmark 1",'PBA Summary'!$D$2,,,"m",'PBA Summary'!$F$2,'PBA Summary'!$G$2))</f>
        <v>-4.2540002918398101E-2</v>
      </c>
      <c r="BQ4" s="18" cm="1">
        <f t="array" ref="BQ4">IF('PBA Summary'!$D$3="","",_xll.ASAssetStatistic($A4,"Average return during bull Benchmark 1",'PBA Summary'!$D$3,,,"m",'PBA Summary'!$F$2,'PBA Summary'!$G$2))</f>
        <v>3.4924742301502179E-2</v>
      </c>
      <c r="BR4" s="18" cm="1">
        <f t="array" ref="BR4">IF('PBA Summary'!$D$3="","",_xll.ASAssetStatistic($A4,"Average return during bear Benchmark 1",'PBA Summary'!$D$3,,,"m",'PBA Summary'!$F$2,'PBA Summary'!$G$2))</f>
        <v>-4.2540002918398101E-2</v>
      </c>
      <c r="BS4" s="27" cm="1">
        <f t="array" ref="BS4">_xll.ASAssetStatistic($A4,"Maximum consecutive gain",,,'PBA Summary'!$H$2,"m",'PBA Summary'!$F$2,'PBA Summary'!$G$2)</f>
        <v>0.18249389337403543</v>
      </c>
      <c r="BT4" s="27" cm="1">
        <f t="array" ref="BT4">_xll.ASAssetStatistic($A4,"Maximum consecutive loss",,,'PBA Summary'!$H$2,"m",'PBA Summary'!$F$2,'PBA Summary'!$G$2)</f>
        <v>-9.0331686534528943E-2</v>
      </c>
      <c r="BU4" s="27" cm="1">
        <f t="array" ref="BU4">_xll.ASAssetStatistic($A4,"Max monthly gain",,,'PBA Summary'!$H$2,"m",'PBA Summary'!$F$2,'PBA Summary'!$G$2)</f>
        <v>8.0134362974829454E-2</v>
      </c>
      <c r="BV4" s="27" cm="1">
        <f t="array" ref="BV4">_xll.ASAssetStatistic($A4,"Max monthly loss",,,'PBA Summary'!$H$2,"m",'PBA Summary'!$F$2,'PBA Summary'!$G$2)</f>
        <v>-9.0331686534528943E-2</v>
      </c>
      <c r="BW4" s="27" cm="1">
        <f t="array" ref="BW4">_xll.ASAssetStatistic($A4,"Max drawdown",,,'PBA Summary'!$H$2,"m",'PBA Summary'!$F$2,'PBA Summary'!$G$2)</f>
        <v>-9.0331686534528943E-2</v>
      </c>
      <c r="BX4" s="28" cm="1">
        <f t="array" ref="BX4">_xll.ASAssetStatistic($A4,"Date Max drawdown",,,'PBA Summary'!$H$2,"m",'PBA Summary'!$F$2,'PBA Summary'!$G$2)</f>
        <v>43465</v>
      </c>
      <c r="BY4" s="28" cm="1">
        <f t="array" ref="BY4">_xll.ASAssetStatistic($A4,"Start Date Max Drawdown",,,'PBA Summary'!$H$2,"m",'PBA Summary'!$F$2,'PBA Summary'!$G$2)</f>
        <v>43465</v>
      </c>
      <c r="BZ4" s="28" cm="1">
        <f t="array" ref="BZ4">_xll.ASAssetStatistic($A4,"End Date Max Drawdown",,,'PBA Summary'!$H$2,"m",'PBA Summary'!$F$2,'PBA Summary'!$G$2)</f>
        <v>43496</v>
      </c>
      <c r="CA4" s="29" cm="1">
        <f t="array" ref="CA4">_xll.ASAssetStatistic($A4,"Max Time-under-water (months)",,,'PBA Summary'!$H$2,"m",'PBA Summary'!$F$2,'PBA Summary'!$G$2)</f>
        <v>2</v>
      </c>
      <c r="CB4" s="27" cm="1">
        <f t="array" ref="CB4">_xll.ASAssetStatistic($A4,"Max possible drawdown 99%",,,'PBA Summary'!$H$2,"m",'PBA Summary'!$F$2,'PBA Summary'!$G$2)</f>
        <v>-0.1862573568667012</v>
      </c>
      <c r="CC4" s="27" cm="1">
        <f t="array" ref="CC4">_xll.ASAssetStatistic($A4,"Max possible drawdown 99.9%",,,'PBA Summary'!$H$2,"m",'PBA Summary'!$F$2,'PBA Summary'!$G$2)</f>
        <v>-0.32865964082982546</v>
      </c>
      <c r="CD4" s="30" cm="1">
        <f t="array" ref="CD4">_xll.ASAssetStatistic($A4,"Max Possible Time-under-water 99% (months)",,,'PBA Summary'!$H$2,"m",'PBA Summary'!$F$2,'PBA Summary'!$G$2)</f>
        <v>52.218723197598067</v>
      </c>
      <c r="CE4" s="30" cm="1">
        <f t="array" ref="CE4">_xll.ASAssetStatistic($A4,"Max Possible Time-under-water 99.9% (months)",,,'PBA Summary'!$H$2,"m",'PBA Summary'!$F$2,'PBA Summary'!$G$2)</f>
        <v>92.142329835578593</v>
      </c>
      <c r="CF4" s="17" t="str" cm="1">
        <f t="array" ref="CF4">_xll.ASPortfolioReturnAttribution('PBA Summary'!$C$2,"OR",A4,"Last 1m",'PBA Summary'!$F$2,'PBA Summary'!$G$2)</f>
        <v/>
      </c>
      <c r="CG4" s="11" t="str" cm="1">
        <f t="array" ref="CG4">_xll.ASAssetInfo($A4,"Strategy")</f>
        <v>[Not Classified]</v>
      </c>
      <c r="CH4" s="14" cm="1">
        <f t="array" ref="CH4">_xll.ASAssetInfo($A4,"Start Date")</f>
        <v>25570</v>
      </c>
      <c r="CI4" s="14" t="str" cm="1">
        <f t="array" ref="CI4">_xll.ASAssetRatings($A4,"Quantitative",0,0,0,0,0,'PBA Summary'!$F$2,'PBA Summary'!$G$2)</f>
        <v/>
      </c>
      <c r="CJ4" s="14" t="str" cm="1">
        <f t="array" ref="CJ4">_xll.ASAssetRatings($A4,"Qualitative",0,0,0,0,0,'PBA Summary'!$F$2,'PBA Summary'!$G$2)</f>
        <v/>
      </c>
      <c r="CK4" s="14" t="str" cm="1">
        <f t="array" ref="CK4">_xll.ASAssetRatings($A4,"Final",0,0,0,0,0,'PBA Summary'!$F$2,'PBA Summary'!$G$2)</f>
        <v/>
      </c>
      <c r="CL4" s="14" cm="1">
        <f t="array" ref="CL4">_xll.ASAssetInfo($A4,"Last Return Date")</f>
        <v>44134</v>
      </c>
      <c r="CM4" s="14" t="str" cm="1">
        <f t="array" ref="CM4">_xll.ASAssetInfo($A4,"Company Name")</f>
        <v/>
      </c>
      <c r="CN4" s="14" t="str" cm="1">
        <f t="array" ref="CN4">_xll.ASAssetInfo($A4,"Manager Name")</f>
        <v/>
      </c>
      <c r="CO4" s="14" t="str" cm="1">
        <f t="array" ref="CO4">_xll.ASAssetInfo($A4,"Address")</f>
        <v/>
      </c>
      <c r="CP4" s="14" t="str" cm="1">
        <f t="array" ref="CP4">_xll.ASAssetInfo($A4,"Phone Number")</f>
        <v/>
      </c>
      <c r="CQ4" s="14" t="str" cm="1">
        <f t="array" ref="CQ4">_xll.ASAssetInfo($A4,"Email")</f>
        <v/>
      </c>
      <c r="CR4" s="14" t="str" cm="1">
        <f t="array" ref="CR4">_xll.ASAssetInfo($A4,"Asset Type")</f>
        <v>Index</v>
      </c>
      <c r="CS4" s="14" t="str" cm="1">
        <f t="array" ref="CS4">_xll.ASAssetInfo($A4,"Proprietary ID")</f>
        <v/>
      </c>
      <c r="CT4" s="14" t="str" cm="1">
        <f t="array" ref="CT4">_xll.ASAssetInfo($A4,"Country")</f>
        <v>[Not Classified]</v>
      </c>
      <c r="CU4" s="14" t="str" cm="1">
        <f t="array" ref="CU4">_xll.ASAssetInfo($A4,"Currency")</f>
        <v>USD</v>
      </c>
      <c r="CV4" s="14" t="str" cm="1">
        <f t="array" ref="CV4">_xll.ASAssetInfo($A4,"Sub-Strategy")</f>
        <v/>
      </c>
      <c r="CW4" s="31" cm="1">
        <f t="array" ref="CW4">_xll.ASAssetInfo($A4,"Fund AUM (m)")</f>
        <v>657.50685699999997</v>
      </c>
      <c r="CX4" s="31" t="str" cm="1">
        <f t="array" ref="CX4">_xll.ASAssetInfo($A4,"Status")</f>
        <v>Unknown</v>
      </c>
      <c r="CY4" s="31" t="str" cm="1">
        <f t="array" ref="CY4">_xll.ASAssetInfo($A4,"Redemption 1 Frequency")</f>
        <v>Unknown</v>
      </c>
      <c r="CZ4" s="31" t="str" cm="1">
        <f t="array" ref="CZ4">_xll.ASAssetInfo($A4,"Redemption 2 Frequency")</f>
        <v>Unknown</v>
      </c>
      <c r="DA4" s="31" t="str" cm="1">
        <f t="array" ref="DA4">_xll.ASAssetInfo($A4,"Redemption 3 Frequency")</f>
        <v>Unknown</v>
      </c>
      <c r="DB4" s="31" t="str" cm="1">
        <f t="array" ref="DB4">_xll.ASAssetInfo($A4,"Notice Period")</f>
        <v/>
      </c>
      <c r="DC4" s="15" t="str" cm="1">
        <f t="array" ref="DC4">_xll.ASAssetInfo($A4,"Performance Fee")</f>
        <v/>
      </c>
      <c r="DD4" s="15" t="str" cm="1">
        <f t="array" ref="DD4">_xll.ASAssetInfo($A4,"Management Fee")</f>
        <v/>
      </c>
      <c r="DE4" s="15" t="str" cm="1">
        <f t="array" ref="DE4">_xll.ASAssetInfo($A4,"ISIN")</f>
        <v>US78378X1072</v>
      </c>
      <c r="DF4" s="16" cm="1">
        <f t="array" ref="DF4">_xll.ASAssetStatistic($A4,"Return during " &amp;YEAR(EOMONTH('PBA Summary'!$G$2,-60)),,,,"M",DATE(YEAR(EOMONTH('PBA Summary'!$G$2,-60)),1,31),DATE(YEAR(EOMONTH('PBA Summary'!$G$2,-60)),12,31))</f>
        <v>1.3748791890248135E-2</v>
      </c>
      <c r="DG4" s="16" cm="1">
        <f t="array" ref="DG4">_xll.ASAssetStatistic($A4,"Return during " &amp;YEAR(EOMONTH('PBA Summary'!$G$2,-48)),,,,"M",DATE(YEAR(EOMONTH('PBA Summary'!$G$2,-48)),1,31),DATE(YEAR(EOMONTH('PBA Summary'!$G$2,-48)),12,31))</f>
        <v>0.11952369481418379</v>
      </c>
      <c r="DH4" s="16" cm="1">
        <f t="array" ref="DH4">_xll.ASAssetStatistic($A4,"Return during " &amp;YEAR(EOMONTH('PBA Summary'!$G$2,-36)),,,,"M",DATE(YEAR(EOMONTH('PBA Summary'!$G$2,-36)),1,31),DATE(YEAR(EOMONTH('PBA Summary'!$G$2,-36)),12,31))</f>
        <v>0.21822770128307667</v>
      </c>
      <c r="DI4" s="16" cm="1">
        <f t="array" ref="DI4">_xll.ASAssetStatistic($A4,"Return during " &amp;YEAR(EOMONTH('PBA Summary'!$G$2,-24)),,,,"M",DATE(YEAR(EOMONTH('PBA Summary'!$G$2,-24)),1,31),DATE(YEAR(EOMONTH('PBA Summary'!$G$2,-24)),12,31))</f>
        <v>-4.3917620020327952E-2</v>
      </c>
      <c r="DJ4" s="16" cm="1">
        <f t="array" ref="DJ4">_xll.ASAssetStatistic($A4,"Return during " &amp;YEAR(EOMONTH('PBA Summary'!$G$2,-12)),,,,"M",DATE(YEAR(EOMONTH('PBA Summary'!$G$2,-12)),1,31),DATE(YEAR(EOMONTH('PBA Summary'!$G$2,-12)),12,31))</f>
        <v>0.31477661884146557</v>
      </c>
      <c r="DK4" s="11" t="str" cm="1">
        <f t="array" ref="DK4">_xll.ASAssetInfo($A4,"Prime Broker")</f>
        <v/>
      </c>
      <c r="DL4" s="16" cm="1">
        <f t="array" ref="DL4">_xll.ASAssetStatistic($A4,"Return",,,,"m",'PBA Summary'!$F$2,'PBA Summary'!$G$2)</f>
        <v>0.21984364480871865</v>
      </c>
      <c r="DM4" s="33" t="str" cm="1">
        <f t="array" ref="DM4">IF('PBA Summary'!$D$2="","",_xll.ASAssetStatistic($A4,"Ann. Information Ratio vs Benchmark 1",'PBA Summary'!$D$2,,,"m",'PBA Summary'!$F$2,'PBA Summary'!$G$2))</f>
        <v/>
      </c>
      <c r="DN4" s="33" t="str" cm="1">
        <f t="array" ref="DN4">IF('PBA Summary'!$D$3="","",_xll.ASAssetStatistic($A4,"Ann. Information Ratio vs Benchmark 1",'PBA Summary'!$D$3,,,"m",'PBA Summary'!$F$2,'PBA Summary'!$G$2))</f>
        <v/>
      </c>
      <c r="DO4" s="33" cm="1">
        <f t="array" ref="DO4">IF('PBA Summary'!$D$2="","",_xll.ASAssetStatistic($A4,"Ann. Tracking Error vs Benchmark 1",'PBA Summary'!$D$2,,,"m",'PBA Summary'!$F$2,'PBA Summary'!$G$2))</f>
        <v>0</v>
      </c>
      <c r="DP4" s="33" cm="1">
        <f t="array" ref="DP4">IF('PBA Summary'!$D$3="","",_xll.ASAssetStatistic($A4,"Ann. Tracking Error vs Benchmark 1",'PBA Summary'!$D$3,,,"m",'PBA Summary'!$F$2,'PBA Summary'!$G$2))</f>
        <v>0</v>
      </c>
      <c r="DQ4" s="33" cm="1">
        <f t="array" ref="DQ4">IF('PBA Summary'!$D$2="","",_xll.ASAssetStatistic($A4,"R² vs Benchmark 1",'PBA Summary'!$D$2,,,"m",'PBA Summary'!$F$2,'PBA Summary'!$G$2))</f>
        <v>0.99999999999999956</v>
      </c>
      <c r="DR4" s="33" cm="1">
        <f t="array" ref="DR4">IF('PBA Summary'!$D$3="","",_xll.ASAssetStatistic($A4,"R² vs Benchmark 1",'PBA Summary'!$D$3,,,"m",'PBA Summary'!$F$2,'PBA Summary'!$G$2))</f>
        <v>0.99999999999999956</v>
      </c>
      <c r="DS4" s="11" t="str" cm="1">
        <f t="array" ref="DS4">_xll.ASAssetInfo($A4,"On-/Offshore")</f>
        <v>Unknown</v>
      </c>
      <c r="DT4" s="16" cm="1">
        <f t="array" ref="DT4">_xll.ASAssetStatistic($A4,"Quarter-to-date",,,,"m",'PBA Summary'!$F$2,'PBA Summary'!$G$2)</f>
        <v>-4.3937345812949946E-4</v>
      </c>
      <c r="DU4" s="16" cm="1">
        <f t="array" ref="DU4">_xll.ASAssetStatistic($A4,"Annualized Return Since inception",,,,"m",'PBA Summary'!$F$2,'PBA Summary'!$G$2)</f>
        <v>7.7456770342863246E-2</v>
      </c>
      <c r="DV4" s="16" cm="1">
        <f t="array" ref="DV4">IF('PBA Summary'!$D$2="","",_xll.ASAssetStatistic($A4,"Ann. Bear Market Return vs Benchmark 1",'PBA Summary'!$D$2,,,"m",'PBA Summary'!$F$2,'PBA Summary'!$G$2))</f>
        <v>-0.41152367264655176</v>
      </c>
      <c r="DW4" s="16" cm="1">
        <f t="array" ref="DW4">IF('PBA Summary'!$D$2="","",_xll.ASAssetStatistic($A4,"Ann. Bull Market Return vs Benchmark 1",'PBA Summary'!$D$2,,,"m",'PBA Summary'!$F$2,'PBA Summary'!$G$2))</f>
        <v>0.50620786661387962</v>
      </c>
      <c r="DX4" s="16" cm="1">
        <f t="array" ref="DX4">IF('PBA Summary'!$D$3="","",_xll.ASAssetStatistic($A4,"Ann. Bear Market Return vs Benchmark 1",'PBA Summary'!$D$3,,,"m",'PBA Summary'!$F$2,'PBA Summary'!$G$2))</f>
        <v>-0.41152367264655176</v>
      </c>
      <c r="DY4" s="16" cm="1">
        <f t="array" ref="DY4">IF('PBA Summary'!$D$3="","",_xll.ASAssetStatistic($A4,"Ann. Bull Market Return vs Benchmark 1",'PBA Summary'!$D$3,,,"m",'PBA Summary'!$F$2,'PBA Summary'!$G$2))</f>
        <v>0.50620786661387962</v>
      </c>
      <c r="DZ4" s="17" cm="1">
        <f t="array" ref="DZ4">_xll.ASAssetStatistic($A4,"Average Positive Return",,,,"m",'PBA Summary'!$F$2,'PBA Summary'!$G$2)</f>
        <v>3.4924742301502179E-2</v>
      </c>
      <c r="EA4" s="17" cm="1">
        <f t="array" ref="EA4">_xll.ASAssetStatistic($A4,"Average Negative Return",,,,"m",'PBA Summary'!$F$2,'PBA Summary'!$G$2)</f>
        <v>-4.2540002918398101E-2</v>
      </c>
      <c r="EB4" s="16" cm="1">
        <f t="array" ref="EB4">IF('PBA Summary'!$D$2="","",_xll.ASAssetStatistic($A4,"Outperformance vs Benchmark 1",'PBA Summary'!$D$2,,,"m",'PBA Summary'!$F$2,'PBA Summary'!$G$2))</f>
        <v>0</v>
      </c>
      <c r="EC4" s="16" cm="1">
        <f t="array" ref="EC4">IF('PBA Summary'!$D$3="","",_xll.ASAssetStatistic($A4,"Outperformance vs Benchmark 1",'PBA Summary'!$D$3,,,"m",'PBA Summary'!$F$2,'PBA Summary'!$G$2))</f>
        <v>0</v>
      </c>
      <c r="ED4" s="16" cm="1">
        <f t="array" ref="ED4">IF('PBA Summary'!$D$2="","",_xll.ASAssetStatistic($A4,"Annual Outperformance vs Benchmark 1",'PBA Summary'!$D$2,,,"m",'PBA Summary'!$F$2,'PBA Summary'!$G$2))</f>
        <v>0</v>
      </c>
      <c r="EE4" s="16" cm="1">
        <f t="array" ref="EE4">IF('PBA Summary'!$D$3="","",_xll.ASAssetStatistic($A4,"Annual Outperformance vs Benchmark 1",'PBA Summary'!$D$3,,,"m",'PBA Summary'!$F$2,'PBA Summary'!$G$2))</f>
        <v>0</v>
      </c>
      <c r="EF4" s="32" cm="1">
        <f t="array" ref="EF4">_xll.ASAssetStatistic($A4,"Rachev Ratio 99%",,,,"m",'PBA Summary'!$F$2,'PBA Summary'!$G$2)</f>
        <v>-0.88711244137126122</v>
      </c>
      <c r="EG4" s="32" cm="1">
        <f t="array" ref="EG4">_xll.ASAssetStatistic($A4,"Rachev Ratio 97%",,,,"m",'PBA Summary'!$F$2,'PBA Summary'!$G$2)</f>
        <v>-0.88711244137126122</v>
      </c>
      <c r="EH4" s="32" cm="1">
        <f t="array" ref="EH4">_xll.ASAssetStatistic($A4,"Rachev Ratio 95%",,,,"m",'PBA Summary'!$F$2,'PBA Summary'!$G$2)</f>
        <v>-0.88711244137126122</v>
      </c>
      <c r="EI4" s="32" cm="1">
        <f t="array" ref="EI4">_xll.ASAssetStatistic($A4,"Rachev Ratio 90%",,,,"m",'PBA Summary'!$F$2,'PBA Summary'!$G$2)</f>
        <v>-0.97875598137618181</v>
      </c>
      <c r="EJ4" s="34" cm="1">
        <f t="array" ref="EJ4">IF('PBA Summary'!$D$2="","",_xll.ASAssetStatistic($A4,"Annual Up Capture vs Benchmark 1",'PBA Summary'!$D$2,,,"m",'PBA Summary'!$F$2,'PBA Summary'!$G$2))</f>
        <v>1</v>
      </c>
      <c r="EK4" s="34" cm="1">
        <f t="array" ref="EK4">IF('PBA Summary'!$D$3="","",_xll.ASAssetStatistic($A4,"Annual Up Capture vs Benchmark 1",'PBA Summary'!$D$3,,,"m",'PBA Summary'!$F$2,'PBA Summary'!$G$2))</f>
        <v>1</v>
      </c>
      <c r="EL4" s="34" cm="1">
        <f t="array" ref="EL4">IF('PBA Summary'!$D$2="","",_xll.ASAssetStatistic($A4,"Annual Down Capture vs Benchmark 1",'PBA Summary'!$D$2,,,"m",'PBA Summary'!$F$2,'PBA Summary'!$G$2))</f>
        <v>1</v>
      </c>
      <c r="EM4" s="34" cm="1">
        <f t="array" ref="EM4">IF('PBA Summary'!$D$3="","",_xll.ASAssetStatistic($A4,"Annual Down Capture vs Benchmark 1",'PBA Summary'!$D$3,,,"m",'PBA Summary'!$F$2,'PBA Summary'!$G$2))</f>
        <v>1</v>
      </c>
      <c r="EN4" s="16" cm="1">
        <f t="array" ref="EN4">IF('PBA Summary'!$D$2="","",_xll.ASAssetStatistic($A4,"Ann. Tracking Error vs Benchmark 1",'PBA Summary'!$D$2,,,"m",'PBA Summary'!$F$2,'PBA Summary'!$G$2))</f>
        <v>0</v>
      </c>
      <c r="EO4" s="16" cm="1">
        <f t="array" ref="EO4">IF('PBA Summary'!$D$3="","",_xll.ASAssetStatistic($A4,"Ann. Tracking Error vs Benchmark 1",'PBA Summary'!$D$3,,,"m",'PBA Summary'!$F$2,'PBA Summary'!$G$2))</f>
        <v>0</v>
      </c>
      <c r="EP4" s="16" cm="1">
        <f t="array" ref="EP4">IF('PBA Summary'!$D$2="","",_xll.ASAssetStatistic($A4,"Annual Jensen Alpha vs Benchmark 1 (Rf)",'PBA Summary'!$D$2,,,"m",'PBA Summary'!$F$2,'PBA Summary'!$G$2))</f>
        <v>0</v>
      </c>
      <c r="EQ4" s="16" cm="1">
        <f t="array" ref="EQ4">IF('PBA Summary'!$D$3="","",_xll.ASAssetStatistic($A4,"Annual Jensen Alpha vs Benchmark 1 (Rf)",'PBA Summary'!$D$3,,,"m",'PBA Summary'!$F$2,'PBA Summary'!$G$2))</f>
        <v>0</v>
      </c>
      <c r="ER4" s="33" t="str" cm="1">
        <f t="array" ref="ER4">IF('PBA Summary'!$D$2="","",_xll.ASAssetStatistic($A4,"Ann. Information Ratio vs Benchmark 1",'PBA Summary'!$D$2,,,"m",'PBA Summary'!$F$2,'PBA Summary'!$G$2))</f>
        <v/>
      </c>
      <c r="ES4" s="33" t="str" cm="1">
        <f t="array" ref="ES4">IF('PBA Summary'!$D$3="","",_xll.ASAssetStatistic($A4,"Ann. Information Ratio vs Benchmark 1",'PBA Summary'!$D$3,,,"m",'PBA Summary'!$F$2,'PBA Summary'!$G$2))</f>
        <v/>
      </c>
      <c r="ET4" s="17" cm="1">
        <f t="array" ref="ET4">IF('PBA Summary'!$D$2="","",_xll.ASAssetStatistic($A4,"Alpha Monthly vs Benchmark 1",'PBA Summary'!$D$2,,,"m",'PBA Summary'!$F$2,'PBA Summary'!$G$2))</f>
        <v>-3.4694469519536142E-18</v>
      </c>
      <c r="EU4" s="17" cm="1">
        <f t="array" ref="EU4">IF('PBA Summary'!$D$3="","",_xll.ASAssetStatistic($A4,"Alpha Monthly vs Benchmark 1",'PBA Summary'!$D$3,,,"m",'PBA Summary'!$F$2,'PBA Summary'!$G$2))</f>
        <v>-3.4694469519536142E-18</v>
      </c>
      <c r="EV4" s="11" t="str" cm="1">
        <f t="array" ref="EV4">_xll.ASAssetInfo($A4,"Company AUM (m)")</f>
        <v/>
      </c>
      <c r="EW4" s="16" cm="1">
        <f t="array" ref="EW4">_xll.ASAssetStatistic($A4,"Exponential Annualized Volatility",,,,"m",'PBA Summary'!$F$2,'PBA Summary'!$G$2)</f>
        <v>0.12759505095522872</v>
      </c>
      <c r="EX4" s="16" cm="1">
        <f t="array" ref="EX4">_xll.ASAssetStatistic($A4,"Exponential Annualized Volatility Last 1 year",,,,"m",'PBA Summary'!$F$2,'PBA Summary'!$G$2)</f>
        <v>0.10406818728936433</v>
      </c>
      <c r="EY4" s="16" t="str" cm="1">
        <f t="array" ref="EY4">_xll.ASAssetStatistic($A4,"Exponential Annualized Volatility Last 3 years",,,,"m",'PBA Summary'!$F$2,'PBA Summary'!$G$2)</f>
        <v/>
      </c>
      <c r="EZ4" s="34" cm="1">
        <f t="array" ref="EZ4">IF('PBA Summary'!$D$2="","",_xll.ASAssetStatistic($A4,"Exponential Correlation to Benchmark 1",'PBA Summary'!$D$2,,,"m",'PBA Summary'!$F$2,'PBA Summary'!$G$2))</f>
        <v>0.92007650728270729</v>
      </c>
      <c r="FA4" s="34" cm="1">
        <f t="array" ref="FA4">IF('PBA Summary'!$D$3="","",_xll.ASAssetStatistic($A4,"Exponential Correlation to Benchmark 1",'PBA Summary'!$D$3,,,"m",'PBA Summary'!$F$2,'PBA Summary'!$G$2))</f>
        <v>0.92007650728270729</v>
      </c>
      <c r="FB4" s="34" cm="1">
        <f t="array" ref="FB4">_xll.ASAssetStatistic($A4,"Exponential Annual Sharpe Ratio (Rf)",,,,"m",'PBA Summary'!$F$2,'PBA Summary'!$G$2)</f>
        <v>1.6049363978367155</v>
      </c>
      <c r="FC4" s="34" cm="1">
        <f t="array" ref="FC4">_xll.ASAssetStatistic($A4,"Exponential Normal Monthly VaR 99%",,,,"m",'PBA Summary'!$F$2,'PBA Summary'!$G$2)</f>
        <v>-6.9866097239488556E-2</v>
      </c>
      <c r="FD4" s="34" cm="1">
        <f t="array" ref="FD4">_xll.ASAssetStatistic($A4,"Exponential Normal Monthly VaR 97%",,,,"m",'PBA Summary'!$F$2,'PBA Summary'!$G$2)</f>
        <v>-5.3454765940466872E-2</v>
      </c>
      <c r="FE4" s="34" cm="1">
        <f t="array" ref="FE4">_xll.ASAssetStatistic($A4,"Exponential Normal Monthly VaR 95%",,,,"m",'PBA Summary'!$F$2,'PBA Summary'!$G$2)</f>
        <v>-4.4764266276136361E-2</v>
      </c>
      <c r="FF4" s="34" cm="1">
        <f t="array" ref="FF4">_xll.ASAssetStatistic($A4,"Exponential Normal Monthly VaR 90%",,,,"m",'PBA Summary'!$F$2,'PBA Summary'!$G$2)</f>
        <v>-3.1382573073263614E-2</v>
      </c>
      <c r="FG4" s="34" t="str" cm="1">
        <f t="array" ref="FG4">_xll.ASAssetStatistic($A4,"Exponential Normal weekly VaR 99%",,,,"m",'PBA Summary'!$F$2,'PBA Summary'!$G$2)</f>
        <v/>
      </c>
      <c r="FH4" s="34" t="str" cm="1">
        <f t="array" ref="FH4">_xll.ASAssetStatistic($A4,"Exponential Normal weekly VaR 97%",,,,"m",'PBA Summary'!$F$2,'PBA Summary'!$G$2)</f>
        <v/>
      </c>
      <c r="FI4" s="34" t="str" cm="1">
        <f t="array" ref="FI4">_xll.ASAssetStatistic($A4,"Exponential Normal weekly VaR 95%",,,,"m",'PBA Summary'!$F$2,'PBA Summary'!$G$2)</f>
        <v/>
      </c>
      <c r="FJ4" s="34" t="str" cm="1">
        <f t="array" ref="FJ4">_xll.ASAssetStatistic($A4,"Exponential Normal weekly VaR 90%",,,,"m",'PBA Summary'!$F$2,'PBA Summary'!$G$2)</f>
        <v/>
      </c>
      <c r="FK4" s="34" t="str" cm="1">
        <f t="array" ref="FK4">_xll.ASAssetStatistic($A4,"Exponential Normal daily VaR 99%",,,,"m",'PBA Summary'!$F$2,'PBA Summary'!$G$2)</f>
        <v/>
      </c>
      <c r="FL4" s="34" t="str" cm="1">
        <f t="array" ref="FL4">_xll.ASAssetStatistic($A4,"Exponential Normal daily VaR 97%",,,,"m",'PBA Summary'!$F$2,'PBA Summary'!$G$2)</f>
        <v/>
      </c>
      <c r="FM4" s="34" t="str" cm="1">
        <f t="array" ref="FM4">_xll.ASAssetStatistic($A4,"Exponential Normal daily VaR 95%",,,,"m",'PBA Summary'!$F$2,'PBA Summary'!$G$2)</f>
        <v/>
      </c>
      <c r="FN4" s="34" t="str" cm="1">
        <f t="array" ref="FN4">_xll.ASAssetStatistic($A4,"Exponential Normal daily VaR 90%",,,,"m",'PBA Summary'!$F$2,'PBA Summary'!$G$2)</f>
        <v/>
      </c>
      <c r="FO4" s="34" cm="1">
        <f t="array" ref="FO4">_xll.ASAssetStatistic($A4,"Bias Ratio",,,,"m",'PBA Summary'!$F$2,'PBA Summary'!$G$2)</f>
        <v>3</v>
      </c>
      <c r="FP4" s="11" t="str" cm="1">
        <f t="array" ref="FP4">_xll.ASAssetInfo($A4,"Manager's Biography")</f>
        <v/>
      </c>
      <c r="FQ4" s="11" cm="1">
        <f t="array" ref="FQ4">_xll.ASAssetInfo($A4,"Investment Min")</f>
        <v>0</v>
      </c>
      <c r="FR4" s="11" t="str" cm="1">
        <f t="array" ref="FR4">_xll.ASAssetInfo($A4,"Auditor")</f>
        <v/>
      </c>
      <c r="FS4" s="11" t="str" cm="1">
        <f t="array" ref="FS4">_xll.ASAssetInfo($A4,"Custodian")</f>
        <v/>
      </c>
      <c r="FT4" s="11" t="str" cm="1">
        <f t="array" ref="FT4">_xll.ASAssetInfo($A4,"Administrator")</f>
        <v/>
      </c>
      <c r="FU4" s="14" t="str" cm="1">
        <f t="array" ref="FU4">_xll.ASAssetInfo($A4,"Proxy 1 Start Date")</f>
        <v/>
      </c>
      <c r="FV4" s="14" t="str" cm="1">
        <f t="array" ref="FV4">_xll.ASAssetInfo($A4,"Proxy 1 End Date")</f>
        <v/>
      </c>
      <c r="FW4" s="14" t="str" cm="1">
        <f t="array" ref="FW4">_xll.ASAssetInfo($A4,"Proxy 2 Start Date")</f>
        <v/>
      </c>
      <c r="FX4" s="14" t="str" cm="1">
        <f t="array" ref="FX4">_xll.ASAssetInfo($A4,"Proxy 2 End Date")</f>
        <v/>
      </c>
      <c r="FY4" s="14" t="str" cm="1">
        <f t="array" ref="FY4">_xll.ASAssetInfo($A4,"Proxy 3 Start Date")</f>
        <v/>
      </c>
      <c r="FZ4" s="14" t="str" cm="1">
        <f t="array" ref="FZ4">_xll.ASAssetInfo($A4,"Proxy 3 End Date")</f>
        <v/>
      </c>
      <c r="GA4" s="14" t="str" cm="1">
        <f t="array" ref="GA4">_xll.ASAssetInfo($A4,"Fund Domicile")</f>
        <v/>
      </c>
      <c r="GB4" s="14" t="str" cm="1">
        <f t="array" ref="GB4">_xll.ASAssetInfo($A4,"Fund Contact")</f>
        <v/>
      </c>
      <c r="GC4" s="14" t="str" cm="1">
        <f t="array" ref="GC4">_xll.ASAssetInfo($A4,"Fund Contact Email")</f>
        <v/>
      </c>
      <c r="GD4" s="14" t="str" cm="1">
        <f t="array" ref="GD4">_xll.ASAssetInfo($A4,"Fund Contact Number")</f>
        <v/>
      </c>
      <c r="GE4" s="14" t="str" cm="1">
        <f t="array" ref="GE4">_xll.ASAssetInfo($A4,"City")</f>
        <v/>
      </c>
      <c r="GF4" s="14" t="str" cm="1">
        <f t="array" ref="GF4">_xll.ASAssetInfo($A4,"Leverage")</f>
        <v/>
      </c>
      <c r="GG4" s="14" t="str" cm="1">
        <f t="array" ref="GG4">_xll.ASAssetInfo($A4,"Lockup 1 Duration")</f>
        <v>0 Months</v>
      </c>
      <c r="GH4" s="14" t="str" cm="1">
        <f t="array" ref="GH4">_xll.ASAssetInfo($A4,"Lockup 2 Duration")</f>
        <v>0 Months</v>
      </c>
      <c r="GI4" s="14" t="str" cm="1">
        <f t="array" ref="GI4">_xll.ASAssetInfo($A4,"Lockup 3 Duration")</f>
        <v>0 Months</v>
      </c>
      <c r="GJ4" s="31" t="str" cm="1">
        <f t="array" ref="GJ4">_xll.ASAssetInfo($A4,"Fund Level Gate")</f>
        <v/>
      </c>
      <c r="GK4" s="31" t="str" cm="1">
        <f t="array" ref="GK4">_xll.ASAssetInfo($A4,"Fund Level Gate Frequency")</f>
        <v>Unknown</v>
      </c>
      <c r="GL4" s="35" cm="1">
        <f t="array" ref="GL4">_xll.ASAssetInfo($A4,"Payment 2 (%)")</f>
        <v>0</v>
      </c>
      <c r="GM4" s="35" t="str" cm="1">
        <f t="array" ref="GM4">_xll.ASAssetInfo($A4,"Payment 2 (days)")</f>
        <v/>
      </c>
      <c r="GN4" s="35" t="str" cm="1">
        <f t="array" ref="GN4">_xll.ASAssetInfo($A4,"Payment 2 (Paid After)")</f>
        <v>NAV Date</v>
      </c>
      <c r="GO4" s="35" cm="1">
        <f t="array" ref="GO4">_xll.ASAssetInfo($A4,"Payment 3 (%)")</f>
        <v>0</v>
      </c>
      <c r="GP4" s="36" t="str" cm="1">
        <f t="array" ref="GP4">_xll.ASAssetInfo($A4,"Payment 3 (Days)")</f>
        <v/>
      </c>
      <c r="GQ4" s="35" t="str" cm="1">
        <f t="array" ref="GQ4">_xll.ASAssetInfo($A4,"Payment 3 (Paid After)")</f>
        <v>NAV Date</v>
      </c>
      <c r="GR4" s="35" cm="1">
        <f t="array" ref="GR4">_xll.ASAssetInfo($A4,"Payment 4 (%)")</f>
        <v>0</v>
      </c>
      <c r="GS4" s="36" t="str" cm="1">
        <f t="array" ref="GS4">_xll.ASAssetInfo($A4,"Payment 4 (days)")</f>
        <v/>
      </c>
      <c r="GT4" s="35" t="str" cm="1">
        <f t="array" ref="GT4">_xll.ASAssetInfo($A4,"Payment 4 (Paid After)")</f>
        <v>NAV Date</v>
      </c>
      <c r="GU4" s="31" cm="1">
        <f t="array" ref="GU4">_xll.ASAssetInfo($A4,"Payment 1 (%)")</f>
        <v>1</v>
      </c>
      <c r="GV4" s="35" cm="1">
        <f t="array" ref="GV4">_xll.ASAssetInfo($A4,"Lockup 1 Fee")</f>
        <v>0</v>
      </c>
      <c r="GW4" s="35" cm="1">
        <f t="array" ref="GW4">_xll.ASAssetInfo($A4,"Lockup 2 Fee")</f>
        <v>0</v>
      </c>
      <c r="GX4" s="35" cm="1">
        <f t="array" ref="GX4">_xll.ASAssetInfo($A4,"Lockup 3 Fee")</f>
        <v>0</v>
      </c>
      <c r="GY4" s="35" t="str" cm="1">
        <f t="array" ref="GY4">_xll.ASAssetInfo($A4,"Lockup 1 type")</f>
        <v>None</v>
      </c>
      <c r="GZ4" s="35" t="str" cm="1">
        <f t="array" ref="GZ4">_xll.ASAssetInfo($A4,"Lockup 2 type")</f>
        <v>None</v>
      </c>
      <c r="HA4" s="35" t="str" cm="1">
        <f t="array" ref="HA4">_xll.ASAssetInfo($A4,"Lockup 3 type")</f>
        <v>None</v>
      </c>
      <c r="HB4" s="35" t="str" cm="1">
        <f t="array" ref="HB4">_xll.ASAssetInfo($A4,"Redemption 1 type")</f>
        <v>Calendar</v>
      </c>
      <c r="HC4" s="35" t="str" cm="1">
        <f t="array" ref="HC4">_xll.ASAssetInfo($A4,"Redemption 2 type")</f>
        <v>Calendar</v>
      </c>
      <c r="HD4" s="35" t="str" cm="1">
        <f t="array" ref="HD4">_xll.ASAssetInfo($A4,"Redemption 3 type")</f>
        <v>Calendar</v>
      </c>
      <c r="HE4" s="35" t="str" cm="1">
        <f t="array" ref="HE4">_xll.ASAssetInfo($A4,"Redemption 1 Fee")</f>
        <v/>
      </c>
      <c r="HF4" s="35" t="str" cm="1">
        <f t="array" ref="HF4">_xll.ASAssetInfo($A4,"Redemption 2 Fee")</f>
        <v/>
      </c>
      <c r="HG4" s="35" t="str" cm="1">
        <f t="array" ref="HG4">_xll.ASAssetInfo($A4,"Redemption 3 Fee")</f>
        <v/>
      </c>
      <c r="HH4" s="35" t="str" cm="1">
        <f t="array" ref="HH4">_xll.ASAssetInfo($A4,"Redemption 1 Frequency")</f>
        <v>Unknown</v>
      </c>
      <c r="HI4" s="35" t="str" cm="1">
        <f t="array" ref="HI4">_xll.ASAssetInfo($A4,"Redemption 2 Frequency")</f>
        <v>Unknown</v>
      </c>
      <c r="HJ4" s="35" t="str" cm="1">
        <f t="array" ref="HJ4">_xll.ASAssetInfo($A4,"Redemption 3 Frequency")</f>
        <v>Unknown</v>
      </c>
      <c r="HK4" s="35" t="str" cm="1">
        <f t="array" ref="HK4">_xll.ASAssetInfo($A4,"Asset Calendar")</f>
        <v>[Default]</v>
      </c>
      <c r="HL4" s="16" cm="1">
        <f t="array" ref="HL4">_xll.ASAssetStatistic($A4,"Max Second Drawdown",,,,"m",'PBA Summary'!$F$2,'PBA Summary'!$G$2)</f>
        <v>-6.3548887398839127E-2</v>
      </c>
      <c r="HM4" s="37" cm="1">
        <f t="array" ref="HM4">_xll.ASAssetStatistic($A4,"Date Max Second Drawdown",,,,"m",'PBA Summary'!$F$2,'PBA Summary'!$G$2)</f>
        <v>43616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1DAB-9DA3-445C-BA2D-50ADC82F75BB}">
  <dimension ref="A1:HW59"/>
  <sheetViews>
    <sheetView topLeftCell="HB1" workbookViewId="0">
      <selection activeCell="HO2" sqref="HO2"/>
    </sheetView>
  </sheetViews>
  <sheetFormatPr defaultRowHeight="15" x14ac:dyDescent="0.25"/>
  <cols>
    <col min="1" max="1" width="44.85546875" bestFit="1" customWidth="1"/>
    <col min="2" max="2" width="10.7109375" style="16" customWidth="1"/>
    <col min="3" max="3" width="15" style="13" customWidth="1"/>
    <col min="4" max="7" width="12.140625" style="11" customWidth="1"/>
    <col min="8" max="8" width="11.28515625" style="11" customWidth="1"/>
    <col min="9" max="14" width="12.140625" style="11" customWidth="1"/>
    <col min="15" max="16" width="12.140625" style="13" customWidth="1"/>
    <col min="17" max="28" width="12.140625" style="11" customWidth="1"/>
    <col min="29" max="30" width="12.140625" style="31" customWidth="1"/>
    <col min="31" max="32" width="12.140625" style="11" customWidth="1"/>
    <col min="33" max="34" width="14.5703125" style="11" customWidth="1"/>
    <col min="35" max="37" width="12.140625" style="13" customWidth="1"/>
    <col min="38" max="38" width="15.7109375" style="11" customWidth="1"/>
    <col min="39" max="39" width="16.7109375" style="11" customWidth="1"/>
    <col min="40" max="40" width="13.7109375" style="11" customWidth="1"/>
    <col min="41" max="44" width="12.140625" style="22" customWidth="1"/>
    <col min="45" max="47" width="12.140625" style="23" customWidth="1"/>
    <col min="48" max="49" width="12.140625" style="22" customWidth="1"/>
    <col min="50" max="50" width="12.140625" style="31" customWidth="1"/>
    <col min="51" max="60" width="12.140625" style="11" customWidth="1"/>
    <col min="61" max="61" width="13.28515625" style="11" customWidth="1"/>
    <col min="62" max="80" width="12.140625" style="11" customWidth="1"/>
    <col min="81" max="81" width="13.85546875" style="11" customWidth="1"/>
    <col min="82" max="94" width="12.140625" style="11" customWidth="1"/>
    <col min="95" max="95" width="13.85546875" style="11" customWidth="1"/>
    <col min="96" max="122" width="12.140625" style="11" customWidth="1"/>
    <col min="123" max="126" width="14.7109375" style="11" customWidth="1"/>
    <col min="127" max="128" width="12.140625" style="11" customWidth="1"/>
    <col min="129" max="132" width="15" style="11" customWidth="1"/>
    <col min="133" max="136" width="12.140625" style="11" customWidth="1"/>
    <col min="137" max="140" width="14.42578125" style="11" customWidth="1"/>
    <col min="141" max="142" width="14.140625" style="11" customWidth="1"/>
    <col min="143" max="144" width="14.85546875" style="11" customWidth="1"/>
    <col min="145" max="145" width="15.5703125" style="11" customWidth="1"/>
    <col min="146" max="146" width="15.85546875" style="11" customWidth="1"/>
    <col min="147" max="219" width="12.140625" style="11" customWidth="1"/>
    <col min="220" max="220" width="17" style="11" customWidth="1"/>
    <col min="221" max="222" width="12.140625" style="11" customWidth="1"/>
    <col min="223" max="223" width="11.5703125" customWidth="1"/>
    <col min="229" max="229" width="18.85546875" customWidth="1"/>
  </cols>
  <sheetData>
    <row r="1" spans="1:231" s="53" customFormat="1" ht="19.149999999999999" customHeight="1" x14ac:dyDescent="0.25">
      <c r="A1" s="47" t="s">
        <v>19</v>
      </c>
      <c r="B1" s="54" t="s">
        <v>20</v>
      </c>
      <c r="C1" s="49" t="s">
        <v>22</v>
      </c>
      <c r="D1" s="47" t="s">
        <v>23</v>
      </c>
      <c r="E1" s="47" t="s">
        <v>24</v>
      </c>
      <c r="F1" s="47" t="s">
        <v>25</v>
      </c>
      <c r="G1" s="47" t="s">
        <v>26</v>
      </c>
      <c r="H1" s="47" t="s">
        <v>27</v>
      </c>
      <c r="I1" s="47" t="s">
        <v>28</v>
      </c>
      <c r="J1" s="47" t="s">
        <v>29</v>
      </c>
      <c r="K1" s="47" t="s">
        <v>30</v>
      </c>
      <c r="L1" s="47" t="s">
        <v>31</v>
      </c>
      <c r="M1" s="47" t="s">
        <v>32</v>
      </c>
      <c r="N1" s="47" t="s">
        <v>33</v>
      </c>
      <c r="O1" s="49" t="s">
        <v>34</v>
      </c>
      <c r="P1" s="49" t="s">
        <v>35</v>
      </c>
      <c r="Q1" s="47" t="s">
        <v>36</v>
      </c>
      <c r="R1" s="47" t="s">
        <v>37</v>
      </c>
      <c r="S1" s="47" t="s">
        <v>206</v>
      </c>
      <c r="T1" s="47" t="s">
        <v>38</v>
      </c>
      <c r="U1" s="47" t="s">
        <v>39</v>
      </c>
      <c r="V1" s="47" t="s">
        <v>40</v>
      </c>
      <c r="W1" s="47" t="s">
        <v>41</v>
      </c>
      <c r="X1" s="47" t="s">
        <v>42</v>
      </c>
      <c r="Y1" s="47" t="s">
        <v>43</v>
      </c>
      <c r="Z1" s="47" t="s">
        <v>44</v>
      </c>
      <c r="AA1" s="47" t="s">
        <v>45</v>
      </c>
      <c r="AB1" s="47" t="s">
        <v>46</v>
      </c>
      <c r="AC1" s="65" t="s">
        <v>159</v>
      </c>
      <c r="AD1" s="50" t="s">
        <v>160</v>
      </c>
      <c r="AE1" s="47" t="s">
        <v>161</v>
      </c>
      <c r="AF1" s="47" t="s">
        <v>162</v>
      </c>
      <c r="AG1" s="47" t="s">
        <v>163</v>
      </c>
      <c r="AH1" s="47" t="s">
        <v>164</v>
      </c>
      <c r="AI1" s="49" t="s">
        <v>165</v>
      </c>
      <c r="AJ1" s="49" t="s">
        <v>207</v>
      </c>
      <c r="AK1" s="49" t="s">
        <v>208</v>
      </c>
      <c r="AL1" s="47" t="s">
        <v>166</v>
      </c>
      <c r="AM1" s="47" t="s">
        <v>209</v>
      </c>
      <c r="AN1" s="47" t="s">
        <v>210</v>
      </c>
      <c r="AO1" s="51" t="s">
        <v>167</v>
      </c>
      <c r="AP1" s="51" t="s">
        <v>168</v>
      </c>
      <c r="AQ1" s="51" t="s">
        <v>169</v>
      </c>
      <c r="AR1" s="51" t="s">
        <v>170</v>
      </c>
      <c r="AS1" s="52" t="s">
        <v>47</v>
      </c>
      <c r="AT1" s="52" t="s">
        <v>211</v>
      </c>
      <c r="AU1" s="52" t="s">
        <v>212</v>
      </c>
      <c r="AV1" s="51" t="s">
        <v>48</v>
      </c>
      <c r="AW1" s="51" t="s">
        <v>49</v>
      </c>
      <c r="AX1" s="50" t="s">
        <v>50</v>
      </c>
      <c r="AY1" s="47" t="s">
        <v>51</v>
      </c>
      <c r="AZ1" s="47" t="s">
        <v>52</v>
      </c>
      <c r="BA1" s="47" t="s">
        <v>53</v>
      </c>
      <c r="BB1" s="47" t="s">
        <v>54</v>
      </c>
      <c r="BC1" s="47" t="s">
        <v>55</v>
      </c>
      <c r="BD1" s="47" t="s">
        <v>56</v>
      </c>
      <c r="BE1" s="47" t="s">
        <v>57</v>
      </c>
      <c r="BF1" s="47" t="s">
        <v>58</v>
      </c>
      <c r="BG1" s="47" t="s">
        <v>59</v>
      </c>
      <c r="BH1" s="47" t="s">
        <v>60</v>
      </c>
      <c r="BI1" s="47" t="s">
        <v>61</v>
      </c>
      <c r="BJ1" s="47" t="s">
        <v>62</v>
      </c>
      <c r="BK1" s="47" t="s">
        <v>63</v>
      </c>
      <c r="BL1" s="47" t="s">
        <v>64</v>
      </c>
      <c r="BM1" s="47" t="s">
        <v>65</v>
      </c>
      <c r="BN1" s="47" t="s">
        <v>217</v>
      </c>
      <c r="BO1" s="47" t="s">
        <v>218</v>
      </c>
      <c r="BP1" s="47" t="s">
        <v>66</v>
      </c>
      <c r="BQ1" s="47" t="s">
        <v>67</v>
      </c>
      <c r="BR1" s="47" t="s">
        <v>68</v>
      </c>
      <c r="BS1" s="47" t="s">
        <v>69</v>
      </c>
      <c r="BT1" s="47" t="s">
        <v>70</v>
      </c>
      <c r="BU1" s="47" t="s">
        <v>71</v>
      </c>
      <c r="BV1" s="47" t="s">
        <v>72</v>
      </c>
      <c r="BW1" s="47" t="s">
        <v>73</v>
      </c>
      <c r="BX1" s="47" t="s">
        <v>74</v>
      </c>
      <c r="BY1" s="47" t="s">
        <v>75</v>
      </c>
      <c r="BZ1" s="47" t="s">
        <v>76</v>
      </c>
      <c r="CA1" s="47" t="s">
        <v>77</v>
      </c>
      <c r="CB1" s="47" t="s">
        <v>78</v>
      </c>
      <c r="CC1" s="47" t="s">
        <v>171</v>
      </c>
      <c r="CD1" s="47" t="s">
        <v>79</v>
      </c>
      <c r="CE1" s="47" t="s">
        <v>80</v>
      </c>
      <c r="CF1" s="47" t="s">
        <v>81</v>
      </c>
      <c r="CG1" s="47" t="s">
        <v>82</v>
      </c>
      <c r="CH1" s="47" t="s">
        <v>83</v>
      </c>
      <c r="CI1" s="47" t="s">
        <v>84</v>
      </c>
      <c r="CJ1" s="47" t="s">
        <v>85</v>
      </c>
      <c r="CK1" s="47" t="s">
        <v>86</v>
      </c>
      <c r="CL1" s="47" t="s">
        <v>87</v>
      </c>
      <c r="CM1" s="47" t="s">
        <v>88</v>
      </c>
      <c r="CN1" s="47" t="s">
        <v>89</v>
      </c>
      <c r="CO1" s="47" t="s">
        <v>90</v>
      </c>
      <c r="CP1" s="47" t="s">
        <v>91</v>
      </c>
      <c r="CQ1" s="47" t="s">
        <v>92</v>
      </c>
      <c r="CR1" s="47" t="s">
        <v>93</v>
      </c>
      <c r="CS1" s="47" t="s">
        <v>94</v>
      </c>
      <c r="CT1" s="47" t="s">
        <v>95</v>
      </c>
      <c r="CU1" s="47" t="s">
        <v>96</v>
      </c>
      <c r="CV1" s="47" t="s">
        <v>97</v>
      </c>
      <c r="CW1" s="47" t="s">
        <v>219</v>
      </c>
      <c r="CX1" s="47" t="s">
        <v>220</v>
      </c>
      <c r="CY1" s="47" t="s">
        <v>98</v>
      </c>
      <c r="CZ1" s="47" t="s">
        <v>99</v>
      </c>
      <c r="DA1" s="47" t="s">
        <v>100</v>
      </c>
      <c r="DB1" s="47" t="s">
        <v>101</v>
      </c>
      <c r="DC1" s="47" t="s">
        <v>102</v>
      </c>
      <c r="DD1" s="47" t="s">
        <v>103</v>
      </c>
      <c r="DE1" s="47" t="s">
        <v>104</v>
      </c>
      <c r="DF1" s="47" t="s">
        <v>105</v>
      </c>
      <c r="DG1" s="47" t="s">
        <v>106</v>
      </c>
      <c r="DH1" s="47" t="s">
        <v>107</v>
      </c>
      <c r="DI1" s="47" t="s">
        <v>108</v>
      </c>
      <c r="DJ1" s="47" t="s">
        <v>172</v>
      </c>
      <c r="DK1" s="47" t="s">
        <v>173</v>
      </c>
      <c r="DL1" s="47" t="s">
        <v>174</v>
      </c>
      <c r="DM1" s="47" t="s">
        <v>175</v>
      </c>
      <c r="DN1" s="47" t="s">
        <v>176</v>
      </c>
      <c r="DO1" s="47" t="s">
        <v>177</v>
      </c>
      <c r="DP1" s="47" t="s">
        <v>109</v>
      </c>
      <c r="DQ1" s="47" t="s">
        <v>110</v>
      </c>
      <c r="DR1" s="47" t="s">
        <v>111</v>
      </c>
      <c r="DS1" s="47" t="s">
        <v>178</v>
      </c>
      <c r="DT1" s="47" t="s">
        <v>180</v>
      </c>
      <c r="DU1" s="47" t="s">
        <v>179</v>
      </c>
      <c r="DV1" s="47" t="s">
        <v>181</v>
      </c>
      <c r="DW1" s="47" t="s">
        <v>112</v>
      </c>
      <c r="DX1" s="47" t="s">
        <v>113</v>
      </c>
      <c r="DY1" s="47" t="s">
        <v>182</v>
      </c>
      <c r="DZ1" s="47" t="s">
        <v>183</v>
      </c>
      <c r="EA1" s="47" t="s">
        <v>184</v>
      </c>
      <c r="EB1" s="47" t="s">
        <v>185</v>
      </c>
      <c r="EC1" s="47" t="s">
        <v>114</v>
      </c>
      <c r="ED1" s="47" t="s">
        <v>115</v>
      </c>
      <c r="EE1" s="47" t="s">
        <v>116</v>
      </c>
      <c r="EF1" s="47" t="s">
        <v>117</v>
      </c>
      <c r="EG1" s="47" t="s">
        <v>186</v>
      </c>
      <c r="EH1" s="47" t="s">
        <v>187</v>
      </c>
      <c r="EI1" s="47" t="s">
        <v>188</v>
      </c>
      <c r="EJ1" s="47" t="s">
        <v>189</v>
      </c>
      <c r="EK1" s="47" t="s">
        <v>190</v>
      </c>
      <c r="EL1" s="47" t="s">
        <v>191</v>
      </c>
      <c r="EM1" s="47" t="s">
        <v>192</v>
      </c>
      <c r="EN1" s="47" t="s">
        <v>193</v>
      </c>
      <c r="EO1" s="47" t="s">
        <v>194</v>
      </c>
      <c r="EP1" s="47" t="s">
        <v>195</v>
      </c>
      <c r="EQ1" s="47" t="s">
        <v>196</v>
      </c>
      <c r="ER1" s="47" t="s">
        <v>197</v>
      </c>
      <c r="ES1" s="47" t="s">
        <v>118</v>
      </c>
      <c r="ET1" s="47" t="s">
        <v>119</v>
      </c>
      <c r="EU1" s="47" t="s">
        <v>120</v>
      </c>
      <c r="EV1" s="47" t="s">
        <v>121</v>
      </c>
      <c r="EW1" s="47" t="s">
        <v>198</v>
      </c>
      <c r="EX1" s="47" t="s">
        <v>199</v>
      </c>
      <c r="EY1" s="47" t="s">
        <v>122</v>
      </c>
      <c r="EZ1" s="47" t="s">
        <v>123</v>
      </c>
      <c r="FA1" s="47" t="s">
        <v>124</v>
      </c>
      <c r="FB1" s="47" t="s">
        <v>125</v>
      </c>
      <c r="FC1" s="47" t="s">
        <v>126</v>
      </c>
      <c r="FD1" s="47" t="s">
        <v>127</v>
      </c>
      <c r="FE1" s="47" t="s">
        <v>128</v>
      </c>
      <c r="FF1" s="47" t="s">
        <v>129</v>
      </c>
      <c r="FG1" s="47" t="s">
        <v>130</v>
      </c>
      <c r="FH1" s="47" t="s">
        <v>131</v>
      </c>
      <c r="FI1" s="47" t="s">
        <v>132</v>
      </c>
      <c r="FJ1" s="47" t="s">
        <v>133</v>
      </c>
      <c r="FK1" s="47" t="s">
        <v>134</v>
      </c>
      <c r="FL1" s="47" t="s">
        <v>135</v>
      </c>
      <c r="FM1" s="47" t="s">
        <v>136</v>
      </c>
      <c r="FN1" s="47" t="s">
        <v>137</v>
      </c>
      <c r="FO1" s="47" t="s">
        <v>138</v>
      </c>
      <c r="FP1" s="47" t="s">
        <v>139</v>
      </c>
      <c r="FQ1" s="47" t="s">
        <v>140</v>
      </c>
      <c r="FR1" s="47" t="s">
        <v>141</v>
      </c>
      <c r="FS1" s="47" t="s">
        <v>142</v>
      </c>
      <c r="FT1" s="47" t="s">
        <v>143</v>
      </c>
      <c r="FU1" s="47" t="s">
        <v>144</v>
      </c>
      <c r="FV1" s="47" t="s">
        <v>145</v>
      </c>
      <c r="FW1" s="47" t="s">
        <v>146</v>
      </c>
      <c r="FX1" s="47" t="s">
        <v>147</v>
      </c>
      <c r="FY1" s="47" t="s">
        <v>148</v>
      </c>
      <c r="FZ1" s="47" t="s">
        <v>149</v>
      </c>
      <c r="GA1" s="47" t="s">
        <v>150</v>
      </c>
      <c r="GB1" s="47" t="s">
        <v>151</v>
      </c>
      <c r="GC1" s="47" t="s">
        <v>152</v>
      </c>
      <c r="GD1" s="47" t="s">
        <v>223</v>
      </c>
      <c r="GE1" s="47" t="s">
        <v>221</v>
      </c>
      <c r="GF1" s="47" t="s">
        <v>222</v>
      </c>
      <c r="GG1" s="47" t="s">
        <v>153</v>
      </c>
      <c r="GH1" s="47" t="s">
        <v>154</v>
      </c>
      <c r="GI1" s="47" t="s">
        <v>224</v>
      </c>
      <c r="GJ1" s="47" t="s">
        <v>225</v>
      </c>
      <c r="GK1" s="47" t="s">
        <v>226</v>
      </c>
      <c r="GL1" s="47" t="s">
        <v>227</v>
      </c>
      <c r="GM1" s="47" t="s">
        <v>228</v>
      </c>
      <c r="GN1" s="47" t="s">
        <v>229</v>
      </c>
      <c r="GO1" s="47" t="s">
        <v>230</v>
      </c>
      <c r="GP1" s="47" t="s">
        <v>231</v>
      </c>
      <c r="GQ1" s="47" t="s">
        <v>232</v>
      </c>
      <c r="GR1" s="47" t="s">
        <v>155</v>
      </c>
      <c r="GS1" s="47" t="s">
        <v>246</v>
      </c>
      <c r="GT1" s="47" t="s">
        <v>247</v>
      </c>
      <c r="GU1" s="47" t="s">
        <v>248</v>
      </c>
      <c r="GV1" s="47" t="s">
        <v>233</v>
      </c>
      <c r="GW1" s="47" t="s">
        <v>234</v>
      </c>
      <c r="GX1" s="47" t="s">
        <v>235</v>
      </c>
      <c r="GY1" s="47" t="s">
        <v>236</v>
      </c>
      <c r="GZ1" s="47" t="s">
        <v>237</v>
      </c>
      <c r="HA1" s="47" t="s">
        <v>238</v>
      </c>
      <c r="HB1" s="47" t="s">
        <v>239</v>
      </c>
      <c r="HC1" s="47" t="s">
        <v>240</v>
      </c>
      <c r="HD1" s="47" t="s">
        <v>241</v>
      </c>
      <c r="HE1" s="47" t="s">
        <v>242</v>
      </c>
      <c r="HF1" s="47" t="s">
        <v>243</v>
      </c>
      <c r="HG1" s="47" t="s">
        <v>244</v>
      </c>
      <c r="HH1" s="47" t="s">
        <v>245</v>
      </c>
      <c r="HI1" s="47" t="s">
        <v>156</v>
      </c>
      <c r="HJ1" s="47" t="s">
        <v>157</v>
      </c>
      <c r="HK1" s="64" t="s">
        <v>271</v>
      </c>
      <c r="HL1" s="64" t="s">
        <v>262</v>
      </c>
      <c r="HM1" s="64" t="s">
        <v>263</v>
      </c>
      <c r="HN1" s="64" t="s">
        <v>285</v>
      </c>
      <c r="HO1" s="64" t="s">
        <v>264</v>
      </c>
      <c r="HP1" s="64" t="s">
        <v>265</v>
      </c>
      <c r="HQ1" s="64" t="s">
        <v>266</v>
      </c>
      <c r="HR1" s="64" t="s">
        <v>267</v>
      </c>
      <c r="HS1" s="64" t="s">
        <v>268</v>
      </c>
      <c r="HT1" s="64" t="s">
        <v>269</v>
      </c>
      <c r="HU1" s="64" t="s">
        <v>270</v>
      </c>
      <c r="HV1" s="64" t="s">
        <v>283</v>
      </c>
      <c r="HW1" s="64" t="s">
        <v>284</v>
      </c>
    </row>
    <row r="2" spans="1:231" s="11" customFormat="1" ht="14.45" customHeight="1" x14ac:dyDescent="0.25">
      <c r="A2" t="str" cm="1">
        <f t="array" ref="A2">_xll.ASGetAssetsVector("Portfolios\"&amp;'PBA Summary'!C2,0,0,250,1,0)</f>
        <v>Alexion Pharmaceuticals Inc</v>
      </c>
      <c r="B2" cm="1">
        <f t="array" ref="B2">_xll.ASPortfolioWeights('PBA Summary'!$C$2,"OR",$A2)</f>
        <v>0</v>
      </c>
      <c r="C2" cm="1">
        <f t="array" ref="C2">_xll.ASAssetStatistic($A2,"Annualized Return since inception",,,,"m",_xll.ASAssetInfo($A2,"Start Date"),_xll.ASAssetInfo($A2,"Last Return Date"))</f>
        <v>0.20596249545661793</v>
      </c>
      <c r="D2" cm="1">
        <f t="array" ref="D2">_xll.ASAssetStatistic($A2,"Annualized Return",,,,"m",'PBA Summary'!$F$2,'PBA Summary'!$G$2)</f>
        <v>-9.1588434283387476E-2</v>
      </c>
      <c r="E2" s="19" cm="1">
        <f t="array" ref="E2">_xll.ASAssetStatistic($A2,"Equilibrium Annual Return",,,,"m",'PBA Summary'!$F$2,'PBA Summary'!$G$2)</f>
        <v>-0.17465742700250075</v>
      </c>
      <c r="F2" cm="1">
        <f t="array" ref="F2">_xll.ASAssetStatistic($A2,"Annualized Volatility (Inception)",,,,"m",_xll.ASAssetInfo($A2,"Start Date"),_xll.ASAssetInfo($A2,"Last Return Date"))</f>
        <v>0.36540154922896478</v>
      </c>
      <c r="G2" cm="1">
        <f t="array" ref="G2">_xll.ASAssetStatistic($A2,"Annualized Volatility",,,,"m",'PBA Summary'!$F$2,'PBA Summary'!$G$2)</f>
        <v>0.44982237903015143</v>
      </c>
      <c r="H2" s="20" cm="1">
        <f t="array" ref="H2">_xll.ASAssetStatistic($A2,"Skewness",,,,"m",'PBA Summary'!$F$2,'PBA Summary'!$G$2)</f>
        <v>0.24807843922323641</v>
      </c>
      <c r="I2" s="20" cm="1">
        <f t="array" ref="I2">_xll.ASAssetStatistic($A2,"Excess kurtosis",,,,"m",'PBA Summary'!$F$2,'PBA Summary'!$G$2)</f>
        <v>-0.37160054872168319</v>
      </c>
      <c r="J2" s="19" cm="1">
        <f t="array" ref="J2">_xll.ASAssetStatistic($A2,"Return Last 1 month",,,,"m",'PBA Summary'!$F$2,'PBA Summary'!$G$2)</f>
        <v>-8.099861303744782E-2</v>
      </c>
      <c r="K2" s="19" cm="1">
        <f t="array" ref="K2">_xll.ASAssetStatistic($A2,"Return Last 3 months",,,,"m",'PBA Summary'!$F$2,'PBA Summary'!$G$2)</f>
        <v>-5.7020872865275574E-2</v>
      </c>
      <c r="L2" s="19" cm="1">
        <f t="array" ref="L2">_xll.ASAssetStatistic($A2,"Return Last 1 year",,,,"m",'PBA Summary'!$F$2,'PBA Summary'!$G$2)</f>
        <v>-0.19168835393623984</v>
      </c>
      <c r="M2" s="19" cm="1">
        <f t="array" ref="M2">_xll.ASAssetStatistic($A2,"Year-to-date Return",,,,"m",'PBA Summary'!$F$2,'PBA Summary'!$G$2)</f>
        <v>-8.099861303744782E-2</v>
      </c>
      <c r="N2" s="19" cm="1">
        <f t="array" ref="N2">_xll.ASAssetStatistic($A2,"Annualized Return",,,,"m",EOMONTH('PBA Summary'!$G$2,-2),'PBA Summary'!$G$2)</f>
        <v>-0.20930622642497598</v>
      </c>
      <c r="O2" s="19" t="str" cm="1">
        <f t="array" ref="O2">_xll.ASAssetStatistic($A2,"Annualized Return Last 3 years",,,,"m",'PBA Summary'!$F$2,'PBA Summary'!$G$2)</f>
        <v/>
      </c>
      <c r="P2" s="19" t="str" cm="1">
        <f t="array" ref="P2">_xll.ASAssetStatistic($A2,"Annualized Return Last 5 years",,,,"m",'PBA Summary'!$F$2,'PBA Summary'!$G$2)</f>
        <v/>
      </c>
      <c r="Q2" s="19" cm="1">
        <f t="array" ref="Q2">_xll.ASAssetStatistic($A2,"Annualized Volatility Last 1 year",,,,"m",'PBA Summary'!$F$2,'PBA Summary'!$G$2)</f>
        <v>0.34845999436517328</v>
      </c>
      <c r="R2" s="19" t="str" cm="1">
        <f t="array" ref="R2">_xll.ASAssetStatistic($A2,"Annualized Volatility Last 3 years",,,,"m",'PBA Summary'!$F$2,'PBA Summary'!$G$2)</f>
        <v/>
      </c>
      <c r="S2" s="19" t="str" cm="1">
        <f t="array" ref="S2">_xll.ASAssetStatistic($A2,"Annualized Volatility Last 5 years",,,,"m",'PBA Summary'!$F$2,'PBA Summary'!$G$2)</f>
        <v/>
      </c>
      <c r="T2" s="19" cm="1">
        <f t="array" ref="T2">_xll.ASAssetStatistic($A2,"Normal monthly VaR 99%",,,,"m",'PBA Summary'!$F$2,'PBA Summary'!$G$2)</f>
        <v>-0.3022216696339492</v>
      </c>
      <c r="U2" s="19" cm="1">
        <f t="array" ref="U2">_xll.ASAssetStatistic($A2,"Modified monthly VaR 99%",,,,"m",'PBA Summary'!$F$2,'PBA Summary'!$G$2)</f>
        <v>-0.26424596445539189</v>
      </c>
      <c r="V2" s="19" cm="1">
        <f t="array" ref="V2">_xll.ASAssetStatistic($A2,"Conditional monthly VaR 99%",,,,"m",'PBA Summary'!$F$2,'PBA Summary'!$G$2)</f>
        <v>-0.20941940722695884</v>
      </c>
      <c r="W2" s="19" cm="1">
        <f t="array" ref="W2">_xll.ASAssetStatistic($A2,"Normal monthly VaR 97%",,,,"m",'PBA Summary'!$F$2,'PBA Summary'!$G$2)</f>
        <v>-0.24436531836709457</v>
      </c>
      <c r="X2" s="19" cm="1">
        <f t="array" ref="X2">_xll.ASAssetStatistic($A2,"Modified monthly VaR 97%",,,,"m",'PBA Summary'!$F$2,'PBA Summary'!$G$2)</f>
        <v>-0.22784394106778627</v>
      </c>
      <c r="Y2" s="19" cm="1">
        <f t="array" ref="Y2">_xll.ASAssetStatistic($A2,"Conditional monthly VaR 97%",,,,"m",'PBA Summary'!$F$2,'PBA Summary'!$G$2)</f>
        <v>-0.20941940722695884</v>
      </c>
      <c r="Z2" s="19" cm="1">
        <f t="array" ref="Z2">_xll.ASAssetStatistic($A2,"Normal monthly VaR 95%",,,,"m",'PBA Summary'!$F$2,'PBA Summary'!$G$2)</f>
        <v>-0.21372791350927167</v>
      </c>
      <c r="AA2" s="19" cm="1">
        <f t="array" ref="AA2">_xll.ASAssetStatistic($A2,"Modified monthly VaR 95%",,,,"m",'PBA Summary'!$F$2,'PBA Summary'!$G$2)</f>
        <v>-0.20539464525639997</v>
      </c>
      <c r="AB2" s="19" cm="1">
        <f t="array" ref="AB2">_xll.ASAssetStatistic($A2,"Conditional monthly VaR 95%",,,,"m",'PBA Summary'!$F$2,'PBA Summary'!$G$2)</f>
        <v>-0.20941940722695884</v>
      </c>
      <c r="AC2" s="66" cm="1">
        <f t="array" ref="AC2">_xll.ASAssetStatistic($A2,"Correlation to Benchmark 1","MSCI ACWI Index",,,"m",'PBA Summary'!$F$2,'PBA Summary'!$G$2)</f>
        <v>0.87823323873000403</v>
      </c>
      <c r="AD2" s="38" cm="1">
        <f t="array" ref="AD2">IF('PBA Summary'!$D$3="","",_xll.ASAssetStatistic($A2,"Correlation to Benchmark 1",'PBA Summary'!$D$3,,,"m",'PBA Summary'!$F$2,'PBA Summary'!$G$2))</f>
        <v>0.85783151476979436</v>
      </c>
      <c r="AE2" s="21" cm="1">
        <f t="array" ref="AE2">IF('PBA Summary'!$D$2="","",_xll.ASAssetStatistic($A2,"Bull correlation to Benchmark 1",'PBA Summary'!$D$2,,,"m",'PBA Summary'!$F$2,'PBA Summary'!$G$2))</f>
        <v>0.77663908383519253</v>
      </c>
      <c r="AF2" s="21" cm="1">
        <f t="array" ref="AF2">IF('PBA Summary'!$D$2="","",_xll.ASAssetStatistic($A2,"Bear correlation to Benchmark 1",'PBA Summary'!$D$2,,,"m",'PBA Summary'!$F$2,'PBA Summary'!$G$2))</f>
        <v>0.99616458517921136</v>
      </c>
      <c r="AG2" s="21" cm="1">
        <f t="array" ref="AG2">IF('PBA Summary'!$D$3="","",_xll.ASAssetStatistic($A2,"Bull correlation to Benchmark 1",'PBA Summary'!$D$3,,,"m",'PBA Summary'!$F$2,'PBA Summary'!$G$2))</f>
        <v>0.77663908383519253</v>
      </c>
      <c r="AH2" s="21" cm="1">
        <f t="array" ref="AH2">IF('PBA Summary'!$D$3="","",_xll.ASAssetStatistic($A2,"Bear correlation to Benchmark 1",'PBA Summary'!$D$3,,,"m",'PBA Summary'!$F$2,'PBA Summary'!$G$2))</f>
        <v>0.99616458517921136</v>
      </c>
      <c r="AI2" s="24" cm="1">
        <f t="array" ref="AI2">IF('PBA Summary'!$D$2="","",_xll.ASAssetStatistic($A2,"Beta to Benchmark 1",'PBA Summary'!$D$2,,,"m",'PBA Summary'!$F$2,'PBA Summary'!$G$2))</f>
        <v>2.5134299611974704</v>
      </c>
      <c r="AJ2" s="24" t="str" cm="1">
        <f t="array" ref="AJ2">IF('PBA Summary'!$D$2="","",_xll.ASAssetStatistic($A2,"Beta to Benchmark 1 Last 3 years",'PBA Summary'!$D$2,,,"m",'PBA Summary'!$F$2,'PBA Summary'!$G$2))</f>
        <v/>
      </c>
      <c r="AK2" s="24" t="str" cm="1">
        <f t="array" ref="AK2">IF('PBA Summary'!$D$2="","",_xll.ASAssetStatistic($A2,"Beta to Benchmark 1 Last 5 years",'PBA Summary'!$D$2,,,"m",'PBA Summary'!$F$2,'PBA Summary'!$G$2))</f>
        <v/>
      </c>
      <c r="AL2" s="25" cm="1">
        <f t="array" ref="AL2">IF('PBA Summary'!$D$3="","",_xll.ASAssetStatistic($A2,"Beta to Benchmark 1",'PBA Summary'!$D$3,,,"m",'PBA Summary'!$F$2,'PBA Summary'!$G$2))</f>
        <v>2.5134299611974704</v>
      </c>
      <c r="AM2" s="25" t="str" cm="1">
        <f t="array" ref="AM2">IF('PBA Summary'!$D$3="","",_xll.ASAssetStatistic($A2,"Beta to Benchmark 1 Last 3 years",'PBA Summary'!$D$3,,,"m",'PBA Summary'!$F$2,'PBA Summary'!$G$2))</f>
        <v/>
      </c>
      <c r="AN2" s="25" t="str" cm="1">
        <f t="array" ref="AN2">IF('PBA Summary'!$D$3="","",_xll.ASAssetStatistic($A2,"Beta to Benchmark 1 Last 5 years",'PBA Summary'!$D$3,,,"m",'PBA Summary'!$F$2,'PBA Summary'!$G$2))</f>
        <v/>
      </c>
      <c r="AO2" s="25" cm="1">
        <f t="array" ref="AO2">IF('PBA Summary'!$D$2="","",_xll.ASAssetStatistic($A2,"Bull Beta to Benchmark 1",'PBA Summary'!$D$2,,,"m",'PBA Summary'!$F$2,'PBA Summary'!$G$2))</f>
        <v>3.8864226074664652</v>
      </c>
      <c r="AP2" s="25" cm="1">
        <f t="array" ref="AP2">IF('PBA Summary'!$D$2="","",_xll.ASAssetStatistic($A2,"Bear Beta to Benchmark 1",'PBA Summary'!$D$2,,,"m",'PBA Summary'!$F$2,'PBA Summary'!$G$2))</f>
        <v>1.3644954930669939</v>
      </c>
      <c r="AQ2" s="25" cm="1">
        <f t="array" ref="AQ2">IF('PBA Summary'!$D$3="","",_xll.ASAssetStatistic($A2,"Bull Beta to Benchmark 1",'PBA Summary'!$D$3,,,"m",'PBA Summary'!$F$2,'PBA Summary'!$G$2))</f>
        <v>3.8864226074664652</v>
      </c>
      <c r="AR2" s="25" cm="1">
        <f t="array" ref="AR2">IF('PBA Summary'!$D$3="","",_xll.ASAssetStatistic($A2,"Bear Beta to Benchmark 1",'PBA Summary'!$D$3,,,"m",'PBA Summary'!$F$2,'PBA Summary'!$G$2))</f>
        <v>1.3644954930669939</v>
      </c>
      <c r="AS2" s="25" cm="1">
        <f t="array" ref="AS2">_xll.ASAssetStatistic($A2,"Annual Sharpe Ratio (Rf)",,,'PBA Summary'!$H$2,"m",'PBA Summary'!$F$2,'PBA Summary'!$G$2)</f>
        <v>-0.20916797089164113</v>
      </c>
      <c r="AT2" s="25" t="str" cm="1">
        <f t="array" ref="AT2">_xll.ASAssetStatistic($A2,"Annual Sharpe Ratio (Rf) Last 3 years",,,'PBA Summary'!$H$2,"m",'PBA Summary'!$F$2,'PBA Summary'!$G$2)</f>
        <v/>
      </c>
      <c r="AU2" s="25" t="str" cm="1">
        <f t="array" ref="AU2">_xll.ASAssetStatistic($A2,"Annual Sharpe Ratio (Rf) Last 5 years",,,'PBA Summary'!$H$2,"m",'PBA Summary'!$F$2,'PBA Summary'!$G$2)</f>
        <v/>
      </c>
      <c r="AV2" s="18" cm="1">
        <f t="array" ref="AV2">_xll.ASAssetStatistic($A2,"Ann. Downside Deviation (vs 0%)",,,'PBA Summary'!$H$2,"m",'PBA Summary'!$F$2,'PBA Summary'!$G$2)</f>
        <v>0.29860315004863314</v>
      </c>
      <c r="AW2" s="18" cm="1">
        <f t="array" ref="AW2">_xll.ASAssetStatistic($A2,"Ann. Downside Deviation (vs Rf)",,,'PBA Summary'!$H$2,"m",'PBA Summary'!$F$2,'PBA Summary'!$G$2)</f>
        <v>0.29903866386025613</v>
      </c>
      <c r="AX2" s="39" cm="1">
        <f t="array" ref="AX2">_xll.ASAssetStatistic($A2,"Annual Treynor ratio",,,'PBA Summary'!$H$2,"m",'PBA Summary'!$F$2,'PBA Summary'!$G$2)</f>
        <v>-1.2691075015088043E-2</v>
      </c>
      <c r="AY2" s="26" cm="1">
        <f t="array" ref="AY2">_xll.ASAssetStatistic($A2,"Annual Sortino Ratio (vs 0%)",,,'PBA Summary'!$H$2,"m",'PBA Summary'!$F$2,'PBA Summary'!$G$2)</f>
        <v>-0.30672293399607664</v>
      </c>
      <c r="AZ2" s="26" cm="1">
        <f t="array" ref="AZ2">_xll.ASAssetStatistic($A2,"Annual Sortino Ratio (vs Rf)",,,'PBA Summary'!$H$2,"m",'PBA Summary'!$F$2,'PBA Summary'!$G$2)</f>
        <v>-0.31463635193125389</v>
      </c>
      <c r="BA2" s="26" cm="1">
        <f t="array" ref="BA2">_xll.ASAssetStatistic($A2,"Sterling ratio",,,'PBA Summary'!$H$2,"m",'PBA Summary'!$F$2,'PBA Summary'!$G$2)</f>
        <v>-0.2406797590679601</v>
      </c>
      <c r="BB2" s="26" cm="1">
        <f t="array" ref="BB2">_xll.ASAssetStatistic($A2,"Calmar ratio",,,'PBA Summary'!$H$2,"m",'PBA Summary'!$F$2,'PBA Summary'!$G$2)</f>
        <v>-0.32647115891588208</v>
      </c>
      <c r="BC2" s="26" cm="1">
        <f t="array" ref="BC2">_xll.ASAssetStatistic($A2,"Hurst index",,,'PBA Summary'!$H$2,"m",'PBA Summary'!$F$2,'PBA Summary'!$G$2)</f>
        <v>0.38668396855868692</v>
      </c>
      <c r="BD2" s="26" cm="1">
        <f t="array" ref="BD2">_xll.ASAssetStatistic($A2,"Omega (Threshold 1)",,,'PBA Summary'!$H$2,"m",'PBA Summary'!$F$2,'PBA Summary'!$G$2)</f>
        <v>0.99732043815033933</v>
      </c>
      <c r="BE2" s="26" cm="1">
        <f t="array" ref="BE2">_xll.ASAssetStatistic($A2,"Omega (Threshold 2)",,,'PBA Summary'!$H$2,"m",'PBA Summary'!$F$2,'PBA Summary'!$G$2)</f>
        <v>0.90608850359107018</v>
      </c>
      <c r="BF2" s="26" cm="1">
        <f t="array" ref="BF2">_xll.ASAssetStatistic($A2,"Omega (Threshold 3)",,,'PBA Summary'!$H$2,"m",'PBA Summary'!$F$2,'PBA Summary'!$G$2)</f>
        <v>0.823942183187648</v>
      </c>
      <c r="BG2" s="26" cm="1">
        <f t="array" ref="BG2">_xll.ASAssetStatistic($A2,"Omega (Threshold 4)",,,'PBA Summary'!$H$2,"m",'PBA Summary'!$F$2,'PBA Summary'!$G$2)</f>
        <v>0.75013976544494754</v>
      </c>
      <c r="BH2" s="26" cm="1">
        <f t="array" ref="BH2">_xll.ASAssetStatistic($A2,"Omega (Threshold 5)",,,'PBA Summary'!$H$2,"m",'PBA Summary'!$F$2,'PBA Summary'!$G$2)</f>
        <v>0.6833007300013717</v>
      </c>
      <c r="BI2" s="26" t="str" cm="1">
        <f t="array" ref="BI2">_xll.ASAssetStatistic($A2,"Autocorrelated (illiquid)",,,'PBA Summary'!$H$2,"m",'PBA Summary'!$F$2,'PBA Summary'!$G$2)</f>
        <v>No</v>
      </c>
      <c r="BJ2" s="27" cm="1">
        <f t="array" ref="BJ2">_xll.ASAssetStatistic($A2,"% months in Run Up",,,'PBA Summary'!$H$2,"m",'PBA Summary'!$F$2,'PBA Summary'!$G$2)</f>
        <v>0.53333333333333333</v>
      </c>
      <c r="BK2" s="27" cm="1">
        <f t="array" ref="BK2">_xll.ASAssetStatistic($A2,"% months in Drawdown",,,'PBA Summary'!$H$2,"m",'PBA Summary'!$F$2,'PBA Summary'!$G$2)</f>
        <v>0.46666666666666667</v>
      </c>
      <c r="BL2" s="18" cm="1">
        <f t="array" ref="BL2">IF('PBA Summary'!$D$2="","",_xll.ASAssetStatistic($A2,"Average return during bull Benchmark 1",'PBA Summary'!$D$2,,,"m",'PBA Summary'!$F$2,'PBA Summary'!$G$2))</f>
        <v>5.1258412407708343E-2</v>
      </c>
      <c r="BM2" s="18" cm="1">
        <f t="array" ref="BM2">IF('PBA Summary'!$D$2="","",_xll.ASAssetStatistic($A2,"Average return during bear Benchmark 1",'PBA Summary'!$D$2,,,"m",'PBA Summary'!$F$2,'PBA Summary'!$G$2))</f>
        <v>-0.14148375541947442</v>
      </c>
      <c r="BN2" s="18" cm="1">
        <f t="array" ref="BN2">IF('PBA Summary'!$D$3="","",_xll.ASAssetStatistic($A2,"Average return during bull Benchmark 1",'PBA Summary'!$D$3,,,"m",'PBA Summary'!$F$2,'PBA Summary'!$G$2))</f>
        <v>5.1258412407708343E-2</v>
      </c>
      <c r="BO2" s="18" cm="1">
        <f t="array" ref="BO2">IF('PBA Summary'!$D$3="","",_xll.ASAssetStatistic($A2,"Average return during bear Benchmark 1",'PBA Summary'!$D$3,,,"m",'PBA Summary'!$F$2,'PBA Summary'!$G$2))</f>
        <v>-0.14148375541947442</v>
      </c>
      <c r="BP2" s="27" cm="1">
        <f t="array" ref="BP2">_xll.ASAssetStatistic($A2,"Maximum consecutive gain",,,'PBA Summary'!$H$2,"m",'PBA Summary'!$F$2,'PBA Summary'!$G$2)</f>
        <v>0.38999589153656689</v>
      </c>
      <c r="BQ2" s="27" cm="1">
        <f t="array" ref="BQ2">_xll.ASAssetStatistic($A2,"Maximum consecutive loss",,,'PBA Summary'!$H$2,"m",'PBA Summary'!$F$2,'PBA Summary'!$G$2)</f>
        <v>-0.25225225225225179</v>
      </c>
      <c r="BR2" s="27" cm="1">
        <f t="array" ref="BR2">_xll.ASAssetStatistic($A2,"Max monthly gain",,,'PBA Summary'!$H$2,"m",'PBA Summary'!$F$2,'PBA Summary'!$G$2)</f>
        <v>0.26294165981922846</v>
      </c>
      <c r="BS2" s="27" cm="1">
        <f t="array" ref="BS2">_xll.ASAssetStatistic($A2,"Max monthly loss",,,'PBA Summary'!$H$2,"m",'PBA Summary'!$F$2,'PBA Summary'!$G$2)</f>
        <v>-0.20941940722695884</v>
      </c>
      <c r="BT2" s="27" cm="1">
        <f t="array" ref="BT2">_xll.ASAssetStatistic($A2,"Max drawdown",,,'PBA Summary'!$H$2,"m",'PBA Summary'!$F$2,'PBA Summary'!$G$2)</f>
        <v>-0.2805406596635569</v>
      </c>
      <c r="BU2" s="28" cm="1">
        <f t="array" ref="BU2">_xll.ASAssetStatistic($A2,"Date Max drawdown",,,'PBA Summary'!$H$2,"m",'PBA Summary'!$F$2,'PBA Summary'!$G$2)</f>
        <v>43738</v>
      </c>
      <c r="BV2" s="28" cm="1">
        <f t="array" ref="BV2">_xll.ASAssetStatistic($A2,"Start Date Max Drawdown",,,'PBA Summary'!$H$2,"m",'PBA Summary'!$F$2,'PBA Summary'!$G$2)</f>
        <v>43616</v>
      </c>
      <c r="BW2" s="28" t="str" cm="1">
        <f t="array" ref="BW2">_xll.ASAssetStatistic($A2,"End Date Max Drawdown",,,'PBA Summary'!$H$2,"m",'PBA Summary'!$F$2,'PBA Summary'!$G$2)</f>
        <v/>
      </c>
      <c r="BX2" s="29" cm="1">
        <f t="array" ref="BX2">_xll.ASAssetStatistic($A2,"Max Time-under-water (months)",,,'PBA Summary'!$H$2,"m",'PBA Summary'!$F$2,'PBA Summary'!$G$2)</f>
        <v>9</v>
      </c>
      <c r="BY2" s="27" cm="1">
        <f t="array" ref="BY2">_xll.ASAssetStatistic($A2,"Max possible drawdown 99%",,,'PBA Summary'!$H$2,"m",'PBA Summary'!$F$2,'PBA Summary'!$G$2)</f>
        <v>-1</v>
      </c>
      <c r="BZ2" s="27" cm="1">
        <f t="array" ref="BZ2">_xll.ASAssetStatistic($A2,"Max possible drawdown 99.9%",,,'PBA Summary'!$H$2,"m",'PBA Summary'!$F$2,'PBA Summary'!$G$2)</f>
        <v>-1</v>
      </c>
      <c r="CA2" s="30" t="str" cm="1">
        <f t="array" ref="CA2">_xll.ASAssetStatistic($A2,"Max Possible Time-under-water 99% (months)",,,'PBA Summary'!$H$2,"m",'PBA Summary'!$F$2,'PBA Summary'!$G$2)</f>
        <v/>
      </c>
      <c r="CB2" s="30" t="str" cm="1">
        <f t="array" ref="CB2">_xll.ASAssetStatistic($A2,"Max Possible Time-under-water 99.9% (months)",,,'PBA Summary'!$H$2,"m",'PBA Summary'!$F$2,'PBA Summary'!$G$2)</f>
        <v/>
      </c>
      <c r="CC2" s="17" cm="1">
        <f t="array" ref="CC2">_xll.ASPortfolioReturnAttribution('PBA Summary'!$C$2,"OR",A2,"Last 1m",'PBA Summary'!$F$2,'PBA Summary'!$G$2)</f>
        <v>0</v>
      </c>
      <c r="CD2" s="11" t="str" cm="1">
        <f t="array" ref="CD2">_xll.ASAssetInfo($A2,"Strategy")</f>
        <v>Direct Holdings - Stocks</v>
      </c>
      <c r="CE2" s="14" cm="1">
        <f t="array" ref="CE2">_xll.ASAssetInfo($A2,"Start Date")</f>
        <v>38355</v>
      </c>
      <c r="CF2" s="14" t="str" cm="1">
        <f t="array" ref="CF2">_xll.ASAssetRatings($A2,"Quantitative",0,0,0,0,0,'PBA Summary'!$F$2,'PBA Summary'!$G$2)</f>
        <v/>
      </c>
      <c r="CG2" s="14" t="str" cm="1">
        <f t="array" ref="CG2">_xll.ASAssetRatings($A2,"Qualitative",0,0,0,0,0,'PBA Summary'!$F$2,'PBA Summary'!$G$2)</f>
        <v/>
      </c>
      <c r="CH2" s="14" t="str" cm="1">
        <f t="array" ref="CH2">_xll.ASAssetRatings($A2,"Final",0,0,0,0,0,'PBA Summary'!$F$2,'PBA Summary'!$G$2)</f>
        <v/>
      </c>
      <c r="CI2" s="14" cm="1">
        <f t="array" ref="CI2">_xll.ASAssetInfo($A2,"Last Return Date")</f>
        <v>44125</v>
      </c>
      <c r="CJ2" s="14" t="str" cm="1">
        <f t="array" ref="CJ2">_xll.ASAssetInfo($A2,"Company Name")</f>
        <v/>
      </c>
      <c r="CK2" s="14" t="str" cm="1">
        <f t="array" ref="CK2">_xll.ASAssetInfo($A2,"Manager Name")</f>
        <v/>
      </c>
      <c r="CL2" s="14" t="str" cm="1">
        <f t="array" ref="CL2">_xll.ASAssetInfo($A2,"Address")</f>
        <v/>
      </c>
      <c r="CM2" s="14" t="str" cm="1">
        <f t="array" ref="CM2">_xll.ASAssetInfo($A2,"Phone Number")</f>
        <v/>
      </c>
      <c r="CN2" s="14" t="str" cm="1">
        <f t="array" ref="CN2">_xll.ASAssetInfo($A2,"Email")</f>
        <v/>
      </c>
      <c r="CO2" s="14" t="str" cm="1">
        <f t="array" ref="CO2">_xll.ASAssetInfo($A2,"Asset Type")</f>
        <v>Equities</v>
      </c>
      <c r="CP2" s="14" t="str" cm="1">
        <f t="array" ref="CP2">_xll.ASAssetInfo($A2,"Proprietary ID")</f>
        <v/>
      </c>
      <c r="CQ2" s="14" t="str" cm="1">
        <f t="array" ref="CQ2">_xll.ASAssetInfo($A2,"Country")</f>
        <v>[Not Classified]</v>
      </c>
      <c r="CR2" s="14" t="str" cm="1">
        <f t="array" ref="CR2">_xll.ASAssetInfo($A2,"Currency")</f>
        <v>USD</v>
      </c>
      <c r="CS2" s="14" t="str" cm="1">
        <f t="array" ref="CS2">_xll.ASAssetInfo($A2,"Sub-Strategy")</f>
        <v/>
      </c>
      <c r="CT2" s="31" t="str" cm="1">
        <f t="array" ref="CT2">_xll.ASAssetInfo($A2,"Fund AUM (m)")</f>
        <v/>
      </c>
      <c r="CU2" s="31" t="str" cm="1">
        <f t="array" ref="CU2">_xll.ASAssetInfo($A2,"Status")</f>
        <v>Unknown</v>
      </c>
      <c r="CV2" s="31" t="str" cm="1">
        <f t="array" ref="CV2">_xll.ASAssetInfo($A2,"Redemption 1 Frequency")</f>
        <v>Unknown</v>
      </c>
      <c r="CW2" s="31" t="str" cm="1">
        <f t="array" ref="CW2">_xll.ASAssetInfo($A2,"Redemption 2 Frequency")</f>
        <v>Unknown</v>
      </c>
      <c r="CX2" s="31" t="str" cm="1">
        <f t="array" ref="CX2">_xll.ASAssetInfo($A2,"Redemption 3 Frequency")</f>
        <v>Unknown</v>
      </c>
      <c r="CY2" s="31" t="str" cm="1">
        <f t="array" ref="CY2">_xll.ASAssetInfo($A2,"Notice Period")</f>
        <v/>
      </c>
      <c r="CZ2" s="15" t="str" cm="1">
        <f t="array" ref="CZ2">_xll.ASAssetInfo($A2,"Performance Fee")</f>
        <v/>
      </c>
      <c r="DA2" s="15" t="str" cm="1">
        <f t="array" ref="DA2">_xll.ASAssetInfo($A2,"Management Fee")</f>
        <v/>
      </c>
      <c r="DB2" s="15" t="str" cm="1">
        <f t="array" ref="DB2">_xll.ASAssetInfo($A2,"ISIN")</f>
        <v>US0153511094</v>
      </c>
      <c r="DC2" s="16" cm="1">
        <f t="array" ref="DC2">_xll.ASAssetStatistic($A2,"Return during " &amp;YEAR(EOMONTH('PBA Summary'!$G$2,-60)),,,,"M",DATE(YEAR(EOMONTH('PBA Summary'!$G$2,-60)),1,31),DATE(YEAR(EOMONTH('PBA Summary'!$G$2,-60)),12,31))</f>
        <v>3.0913905853106716E-2</v>
      </c>
      <c r="DD2" s="16" cm="1">
        <f t="array" ref="DD2">_xll.ASAssetStatistic($A2,"Return during " &amp;YEAR(EOMONTH('PBA Summary'!$G$2,-48)),,,,"M",DATE(YEAR(EOMONTH('PBA Summary'!$G$2,-48)),1,31),DATE(YEAR(EOMONTH('PBA Summary'!$G$2,-48)),12,31))</f>
        <v>-0.3585845347313249</v>
      </c>
      <c r="DE2" s="16" cm="1">
        <f t="array" ref="DE2">_xll.ASAssetStatistic($A2,"Return during " &amp;YEAR(EOMONTH('PBA Summary'!$G$2,-36)),,,,"M",DATE(YEAR(EOMONTH('PBA Summary'!$G$2,-36)),1,31),DATE(YEAR(EOMONTH('PBA Summary'!$G$2,-36)),12,31))</f>
        <v>-2.2558234572946589E-2</v>
      </c>
      <c r="DF2" s="16" cm="1">
        <f t="array" ref="DF2">_xll.ASAssetStatistic($A2,"Return during " &amp;YEAR(EOMONTH('PBA Summary'!$G$2,-24)),,,,"M",DATE(YEAR(EOMONTH('PBA Summary'!$G$2,-24)),1,31),DATE(YEAR(EOMONTH('PBA Summary'!$G$2,-24)),12,31))</f>
        <v>-0.18588510745045406</v>
      </c>
      <c r="DG2" s="16" cm="1">
        <f t="array" ref="DG2">_xll.ASAssetStatistic($A2,"Return during " &amp;YEAR(EOMONTH('PBA Summary'!$G$2,-12)),,,,"M",DATE(YEAR(EOMONTH('PBA Summary'!$G$2,-12)),1,31),DATE(YEAR(EOMONTH('PBA Summary'!$G$2,-12)),12,31))</f>
        <v>0.11082580115036977</v>
      </c>
      <c r="DH2" s="11" t="str" cm="1">
        <f t="array" ref="DH2">_xll.ASAssetInfo($A2,"Prime Broker")</f>
        <v/>
      </c>
      <c r="DI2" s="16" cm="1">
        <f t="array" ref="DI2">_xll.ASAssetStatistic($A2,"Return",,,,"m",'PBA Summary'!$F$2,'PBA Summary'!$G$2)</f>
        <v>-0.11314357098242134</v>
      </c>
      <c r="DJ2" s="33" cm="1">
        <f t="array" ref="DJ2">IF('PBA Summary'!$D$2="","",_xll.ASAssetStatistic($A2,"Ann. Information Ratio vs Benchmark 1",'PBA Summary'!$D$2,,,"m",'PBA Summary'!$F$2,'PBA Summary'!$G$2))</f>
        <v>-0.80515713796845856</v>
      </c>
      <c r="DK2" s="33" cm="1">
        <f t="array" ref="DK2">IF('PBA Summary'!$D$3="","",_xll.ASAssetStatistic($A2,"Ann. Information Ratio vs Benchmark 1",'PBA Summary'!$D$3,,,"m",'PBA Summary'!$F$2,'PBA Summary'!$G$2))</f>
        <v>-0.80515713796845856</v>
      </c>
      <c r="DL2" s="33" cm="1">
        <f t="array" ref="DL2">IF('PBA Summary'!$D$2="","",_xll.ASAssetStatistic($A2,"Ann. Tracking Error vs Benchmark 1",'PBA Summary'!$D$2,,,"m",'PBA Summary'!$F$2,'PBA Summary'!$G$2))</f>
        <v>0.32776306147632123</v>
      </c>
      <c r="DM2" s="33" cm="1">
        <f t="array" ref="DM2">IF('PBA Summary'!$D$3="","",_xll.ASAssetStatistic($A2,"Ann. Tracking Error vs Benchmark 1",'PBA Summary'!$D$3,,,"m",'PBA Summary'!$F$2,'PBA Summary'!$G$2))</f>
        <v>0.32776306147632123</v>
      </c>
      <c r="DN2" s="33" cm="1">
        <f t="array" ref="DN2">IF('PBA Summary'!$D$2="","",_xll.ASAssetStatistic($A2,"R² vs Benchmark 1",'PBA Summary'!$D$2,,,"m",'PBA Summary'!$F$2,'PBA Summary'!$G$2))</f>
        <v>0.73587490773223996</v>
      </c>
      <c r="DO2" s="33" cm="1">
        <f t="array" ref="DO2">IF('PBA Summary'!$D$3="","",_xll.ASAssetStatistic($A2,"R² vs Benchmark 1",'PBA Summary'!$D$3,,,"m",'PBA Summary'!$F$2,'PBA Summary'!$G$2))</f>
        <v>0.73587490773223996</v>
      </c>
      <c r="DP2" s="11" t="str" cm="1">
        <f t="array" ref="DP2">_xll.ASAssetInfo($A2,"On-/Offshore")</f>
        <v>Unknown</v>
      </c>
      <c r="DQ2" s="16" cm="1">
        <f t="array" ref="DQ2">_xll.ASAssetStatistic($A2,"Quarter-to-date",,,,"m",'PBA Summary'!$F$2,'PBA Summary'!$G$2)</f>
        <v>-8.099861303744782E-2</v>
      </c>
      <c r="DR2" s="16" cm="1">
        <f t="array" ref="DR2">_xll.ASAssetStatistic($A2,"Annualized Return Since inception",,,,"m",'PBA Summary'!$F$2,'PBA Summary'!$G$2)</f>
        <v>0.20596249545661793</v>
      </c>
      <c r="DS2" s="16" cm="1">
        <f t="array" ref="DS2">IF('PBA Summary'!$D$2="","",_xll.ASAssetStatistic($A2,"Ann. Bear Market Return vs Benchmark 1",'PBA Summary'!$D$2,,,"m",'PBA Summary'!$F$2,'PBA Summary'!$G$2))</f>
        <v>-0.84286701710199396</v>
      </c>
      <c r="DT2" s="16" cm="1">
        <f t="array" ref="DT2">IF('PBA Summary'!$D$2="","",_xll.ASAssetStatistic($A2,"Ann. Bull Market Return vs Benchmark 1",'PBA Summary'!$D$2,,,"m",'PBA Summary'!$F$2,'PBA Summary'!$G$2))</f>
        <v>0.71940873081757251</v>
      </c>
      <c r="DU2" s="16" cm="1">
        <f t="array" ref="DU2">IF('PBA Summary'!$D$3="","",_xll.ASAssetStatistic($A2,"Ann. Bear Market Return vs Benchmark 1",'PBA Summary'!$D$3,,,"m",'PBA Summary'!$F$2,'PBA Summary'!$G$2))</f>
        <v>-0.84286701710199396</v>
      </c>
      <c r="DV2" s="16" cm="1">
        <f t="array" ref="DV2">IF('PBA Summary'!$D$3="","",_xll.ASAssetStatistic($A2,"Ann. Bull Market Return vs Benchmark 1",'PBA Summary'!$D$3,,,"m",'PBA Summary'!$F$2,'PBA Summary'!$G$2))</f>
        <v>0.71940873081757251</v>
      </c>
      <c r="DW2" s="17" cm="1">
        <f t="array" ref="DW2">_xll.ASAssetStatistic($A2,"Average Positive Return",,,,"m",'PBA Summary'!$F$2,'PBA Summary'!$G$2)</f>
        <v>0.11125903448280512</v>
      </c>
      <c r="DX2" s="17" cm="1">
        <f t="array" ref="DX2">_xll.ASAssetStatistic($A2,"Average Negative Return",,,,"m",'PBA Summary'!$F$2,'PBA Summary'!$G$2)</f>
        <v>-9.7613215821592714E-2</v>
      </c>
      <c r="DY2" s="16" cm="1">
        <f t="array" ref="DY2">IF('PBA Summary'!$D$2="","",_xll.ASAssetStatistic($A2,"Outperformance vs Benchmark 1",'PBA Summary'!$D$2,,,"m",'PBA Summary'!$F$2,'PBA Summary'!$G$2))</f>
        <v>-0.33298721579113999</v>
      </c>
      <c r="DZ2" s="16" cm="1">
        <f t="array" ref="DZ2">IF('PBA Summary'!$D$3="","",_xll.ASAssetStatistic($A2,"Outperformance vs Benchmark 1",'PBA Summary'!$D$3,,,"m",'PBA Summary'!$F$2,'PBA Summary'!$G$2))</f>
        <v>-0.33298721579113999</v>
      </c>
      <c r="EA2" s="16" cm="1">
        <f t="array" ref="EA2">IF('PBA Summary'!$D$2="","",_xll.ASAssetStatistic($A2,"Annual Outperformance vs Benchmark 1",'PBA Summary'!$D$2,,,"m",'PBA Summary'!$F$2,'PBA Summary'!$G$2))</f>
        <v>-0.26390076851005473</v>
      </c>
      <c r="EB2" s="16" cm="1">
        <f t="array" ref="EB2">IF('PBA Summary'!$D$3="","",_xll.ASAssetStatistic($A2,"Annual Outperformance vs Benchmark 1",'PBA Summary'!$D$3,,,"m",'PBA Summary'!$F$2,'PBA Summary'!$G$2))</f>
        <v>-0.26390076851005473</v>
      </c>
      <c r="EC2" s="32" cm="1">
        <f t="array" ref="EC2">_xll.ASAssetStatistic($A2,"Rachev Ratio 99%",,,,"m",'PBA Summary'!$F$2,'PBA Summary'!$G$2)</f>
        <v>-1.2555744632314079</v>
      </c>
      <c r="ED2" s="32" cm="1">
        <f t="array" ref="ED2">_xll.ASAssetStatistic($A2,"Rachev Ratio 97%",,,,"m",'PBA Summary'!$F$2,'PBA Summary'!$G$2)</f>
        <v>-1.2555744632314079</v>
      </c>
      <c r="EE2" s="32" cm="1">
        <f t="array" ref="EE2">_xll.ASAssetStatistic($A2,"Rachev Ratio 95%",,,,"m",'PBA Summary'!$F$2,'PBA Summary'!$G$2)</f>
        <v>-1.2555744632314079</v>
      </c>
      <c r="EF2" s="32" cm="1">
        <f t="array" ref="EF2">_xll.ASAssetStatistic($A2,"Rachev Ratio 90%",,,,"m",'PBA Summary'!$F$2,'PBA Summary'!$G$2)</f>
        <v>-1.1089609396591082</v>
      </c>
      <c r="EG2" s="34" cm="1">
        <f t="array" ref="EG2">IF('PBA Summary'!$D$2="","",_xll.ASAssetStatistic($A2,"Annual Up Capture vs Benchmark 1",'PBA Summary'!$D$2,,,"m",'PBA Summary'!$F$2,'PBA Summary'!$G$2))</f>
        <v>1.4211725622318632</v>
      </c>
      <c r="EH2" s="34" cm="1">
        <f t="array" ref="EH2">IF('PBA Summary'!$D$3="","",_xll.ASAssetStatistic($A2,"Annual Up Capture vs Benchmark 1",'PBA Summary'!$D$3,,,"m",'PBA Summary'!$F$2,'PBA Summary'!$G$2))</f>
        <v>1.4211725622318632</v>
      </c>
      <c r="EI2" s="34" cm="1">
        <f t="array" ref="EI2">IF('PBA Summary'!$D$2="","",_xll.ASAssetStatistic($A2,"Annual Down Capture vs Benchmark 1",'PBA Summary'!$D$2,,,"m",'PBA Summary'!$F$2,'PBA Summary'!$G$2))</f>
        <v>2.0481616809099417</v>
      </c>
      <c r="EJ2" s="34" cm="1">
        <f t="array" ref="EJ2">IF('PBA Summary'!$D$3="","",_xll.ASAssetStatistic($A2,"Annual Down Capture vs Benchmark 1",'PBA Summary'!$D$3,,,"m",'PBA Summary'!$F$2,'PBA Summary'!$G$2))</f>
        <v>2.0481616809099417</v>
      </c>
      <c r="EK2" s="16" cm="1">
        <f t="array" ref="EK2">IF('PBA Summary'!$D$2="","",_xll.ASAssetStatistic($A2,"Ann. Tracking Error vs Benchmark 1",'PBA Summary'!$D$2,,,"m",'PBA Summary'!$F$2,'PBA Summary'!$G$2))</f>
        <v>0.32776306147632123</v>
      </c>
      <c r="EL2" s="16" cm="1">
        <f t="array" ref="EL2">IF('PBA Summary'!$D$3="","",_xll.ASAssetStatistic($A2,"Ann. Tracking Error vs Benchmark 1",'PBA Summary'!$D$3,,,"m",'PBA Summary'!$F$2,'PBA Summary'!$G$2))</f>
        <v>0.32776306147632123</v>
      </c>
      <c r="EM2" s="16" cm="1">
        <f t="array" ref="EM2">IF('PBA Summary'!$D$2="","",_xll.ASAssetStatistic($A2,"Annual Jensen Alpha vs Benchmark 1 (Rf)",'PBA Summary'!$D$2,,,"m",'PBA Summary'!$F$2,'PBA Summary'!$G$2))</f>
        <v>-0.5208998429095717</v>
      </c>
      <c r="EN2" s="16" cm="1">
        <f t="array" ref="EN2">IF('PBA Summary'!$D$3="","",_xll.ASAssetStatistic($A2,"Annual Jensen Alpha vs Benchmark 1 (Rf)",'PBA Summary'!$D$3,,,"m",'PBA Summary'!$F$2,'PBA Summary'!$G$2))</f>
        <v>-0.5208998429095717</v>
      </c>
      <c r="EO2" s="33" cm="1">
        <f t="array" ref="EO2">IF('PBA Summary'!$D$2="","",_xll.ASAssetStatistic($A2,"Ann. Information Ratio vs Benchmark 1",'PBA Summary'!$D$2,,,"m",'PBA Summary'!$F$2,'PBA Summary'!$G$2))</f>
        <v>-0.80515713796845856</v>
      </c>
      <c r="EP2" s="33" cm="1">
        <f t="array" ref="EP2">IF('PBA Summary'!$D$3="","",_xll.ASAssetStatistic($A2,"Ann. Information Ratio vs Benchmark 1",'PBA Summary'!$D$3,,,"m",'PBA Summary'!$F$2,'PBA Summary'!$G$2))</f>
        <v>-0.80515713796845856</v>
      </c>
      <c r="EQ2" s="17" cm="1">
        <f t="array" ref="EQ2">IF('PBA Summary'!$D$2="","",_xll.ASAssetStatistic($A2,"Alpha Monthly vs Benchmark 1",'PBA Summary'!$D$2,,,"m",'PBA Summary'!$F$2,'PBA Summary'!$G$2))</f>
        <v>-3.5999802947976438E-2</v>
      </c>
      <c r="ER2" s="17" cm="1">
        <f t="array" ref="ER2">IF('PBA Summary'!$D$3="","",_xll.ASAssetStatistic($A2,"Alpha Monthly vs Benchmark 1",'PBA Summary'!$D$3,,,"m",'PBA Summary'!$F$2,'PBA Summary'!$G$2))</f>
        <v>-3.5999802947976438E-2</v>
      </c>
      <c r="ES2" s="11" t="str" cm="1">
        <f t="array" ref="ES2">_xll.ASAssetInfo($A2,"Company AUM (m)")</f>
        <v/>
      </c>
      <c r="ET2" s="16" cm="1">
        <f t="array" ref="ET2">_xll.ASAssetStatistic($A2,"Exponential Annualized Volatility",,,,"m",'PBA Summary'!$F$2,'PBA Summary'!$G$2)</f>
        <v>0.39273816066869044</v>
      </c>
      <c r="EU2" s="16" cm="1">
        <f t="array" ref="EU2">_xll.ASAssetStatistic($A2,"Exponential Annualized Volatility Last 1 year",,,,"m",'PBA Summary'!$F$2,'PBA Summary'!$G$2)</f>
        <v>0.33184144400128363</v>
      </c>
      <c r="EV2" s="16" t="str" cm="1">
        <f t="array" ref="EV2">_xll.ASAssetStatistic($A2,"Exponential Annualized Volatility Last 3 years",,,,"m",'PBA Summary'!$F$2,'PBA Summary'!$G$2)</f>
        <v/>
      </c>
      <c r="EW2" s="34" cm="1">
        <f t="array" ref="EW2">IF('PBA Summary'!$D$2="","",_xll.ASAssetStatistic($A2,"Exponential Correlation to Benchmark 1",'PBA Summary'!$D$2,,,"m",'PBA Summary'!$F$2,'PBA Summary'!$G$2))</f>
        <v>0.75909046457926488</v>
      </c>
      <c r="EX2" s="34" cm="1">
        <f t="array" ref="EX2">IF('PBA Summary'!$D$3="","",_xll.ASAssetStatistic($A2,"Exponential Correlation to Benchmark 1",'PBA Summary'!$D$3,,,"m",'PBA Summary'!$F$2,'PBA Summary'!$G$2))</f>
        <v>0.75909046457926488</v>
      </c>
      <c r="EY2" s="34" cm="1">
        <f t="array" ref="EY2">_xll.ASAssetStatistic($A2,"Exponential Annual Sharpe Ratio (Rf)",,,,"m",'PBA Summary'!$F$2,'PBA Summary'!$G$2)</f>
        <v>-0.30343053537973658</v>
      </c>
      <c r="EZ2" s="34" cm="1">
        <f t="array" ref="EZ2">_xll.ASAssetStatistic($A2,"Exponential Normal Monthly VaR 99%",,,,"m",'PBA Summary'!$F$2,'PBA Summary'!$G$2)</f>
        <v>-0.27403142695342669</v>
      </c>
      <c r="FA2" s="34" cm="1">
        <f t="array" ref="FA2">_xll.ASAssetStatistic($A2,"Exponential Normal Monthly VaR 97%",,,,"m",'PBA Summary'!$F$2,'PBA Summary'!$G$2)</f>
        <v>-0.22351727283655684</v>
      </c>
      <c r="FB2" s="34" cm="1">
        <f t="array" ref="FB2">_xll.ASAssetStatistic($A2,"Exponential Normal Monthly VaR 95%",,,,"m",'PBA Summary'!$F$2,'PBA Summary'!$G$2)</f>
        <v>-0.19676787442408517</v>
      </c>
      <c r="FC2" s="34" cm="1">
        <f t="array" ref="FC2">_xll.ASAssetStatistic($A2,"Exponential Normal Monthly VaR 90%",,,,"m",'PBA Summary'!$F$2,'PBA Summary'!$G$2)</f>
        <v>-0.15557896046712424</v>
      </c>
      <c r="FD2" s="34" t="str" cm="1">
        <f t="array" ref="FD2">_xll.ASAssetStatistic($A2,"Exponential Normal weekly VaR 99%",,,,"m",'PBA Summary'!$F$2,'PBA Summary'!$G$2)</f>
        <v/>
      </c>
      <c r="FE2" s="34" t="str" cm="1">
        <f t="array" ref="FE2">_xll.ASAssetStatistic($A2,"Exponential Normal weekly VaR 97%",,,,"m",'PBA Summary'!$F$2,'PBA Summary'!$G$2)</f>
        <v/>
      </c>
      <c r="FF2" s="34" t="str" cm="1">
        <f t="array" ref="FF2">_xll.ASAssetStatistic($A2,"Exponential Normal weekly VaR 95%",,,,"m",'PBA Summary'!$F$2,'PBA Summary'!$G$2)</f>
        <v/>
      </c>
      <c r="FG2" s="34" t="str" cm="1">
        <f t="array" ref="FG2">_xll.ASAssetStatistic($A2,"Exponential Normal weekly VaR 90%",,,,"m",'PBA Summary'!$F$2,'PBA Summary'!$G$2)</f>
        <v/>
      </c>
      <c r="FH2" s="34" t="str" cm="1">
        <f t="array" ref="FH2">_xll.ASAssetStatistic($A2,"Exponential Normal daily VaR 99%",,,,"m",'PBA Summary'!$F$2,'PBA Summary'!$G$2)</f>
        <v/>
      </c>
      <c r="FI2" s="34" t="str" cm="1">
        <f t="array" ref="FI2">_xll.ASAssetStatistic($A2,"Exponential Normal daily VaR 97%",,,,"m",'PBA Summary'!$F$2,'PBA Summary'!$G$2)</f>
        <v/>
      </c>
      <c r="FJ2" s="34" t="str" cm="1">
        <f t="array" ref="FJ2">_xll.ASAssetStatistic($A2,"Exponential Normal daily VaR 95%",,,,"m",'PBA Summary'!$F$2,'PBA Summary'!$G$2)</f>
        <v/>
      </c>
      <c r="FK2" s="34" t="str" cm="1">
        <f t="array" ref="FK2">_xll.ASAssetStatistic($A2,"Exponential Normal daily VaR 90%",,,,"m",'PBA Summary'!$F$2,'PBA Summary'!$G$2)</f>
        <v/>
      </c>
      <c r="FL2" s="34" cm="1">
        <f t="array" ref="FL2">_xll.ASAssetStatistic($A2,"Bias Ratio",,,,"m",'PBA Summary'!$F$2,'PBA Summary'!$G$2)</f>
        <v>0.83333333333333337</v>
      </c>
      <c r="FM2" s="11" t="str" cm="1">
        <f t="array" ref="FM2">_xll.ASAssetInfo($A2,"Manager's Biography")</f>
        <v/>
      </c>
      <c r="FN2" s="11" cm="1">
        <f t="array" ref="FN2">_xll.ASAssetInfo($A2,"Investment Min")</f>
        <v>0</v>
      </c>
      <c r="FO2" s="11" t="str" cm="1">
        <f t="array" ref="FO2">_xll.ASAssetInfo($A2,"Auditor")</f>
        <v/>
      </c>
      <c r="FP2" s="11" t="str" cm="1">
        <f t="array" ref="FP2">_xll.ASAssetInfo($A2,"Custodian")</f>
        <v/>
      </c>
      <c r="FQ2" s="11" t="str" cm="1">
        <f t="array" ref="FQ2">_xll.ASAssetInfo($A2,"Administrator")</f>
        <v/>
      </c>
      <c r="FR2" s="14" t="str" cm="1">
        <f t="array" ref="FR2">_xll.ASAssetInfo($A2,"Proxy 1 Start Date")</f>
        <v/>
      </c>
      <c r="FS2" s="14" t="str" cm="1">
        <f t="array" ref="FS2">_xll.ASAssetInfo($A2,"Proxy 1 End Date")</f>
        <v/>
      </c>
      <c r="FT2" s="14" t="str" cm="1">
        <f t="array" ref="FT2">_xll.ASAssetInfo($A2,"Proxy 2 Start Date")</f>
        <v/>
      </c>
      <c r="FU2" s="14" t="str" cm="1">
        <f t="array" ref="FU2">_xll.ASAssetInfo($A2,"Proxy 2 End Date")</f>
        <v/>
      </c>
      <c r="FV2" s="14" t="str" cm="1">
        <f t="array" ref="FV2">_xll.ASAssetInfo($A2,"Proxy 3 Start Date")</f>
        <v/>
      </c>
      <c r="FW2" s="14" t="str" cm="1">
        <f t="array" ref="FW2">_xll.ASAssetInfo($A2,"Proxy 3 End Date")</f>
        <v/>
      </c>
      <c r="FX2" s="14" t="str" cm="1">
        <f t="array" ref="FX2">_xll.ASAssetInfo($A2,"Fund Domicile")</f>
        <v/>
      </c>
      <c r="FY2" s="14" t="str" cm="1">
        <f t="array" ref="FY2">_xll.ASAssetInfo($A2,"Fund Contact")</f>
        <v/>
      </c>
      <c r="FZ2" s="14" t="str" cm="1">
        <f t="array" ref="FZ2">_xll.ASAssetInfo($A2,"Fund Contact Email")</f>
        <v/>
      </c>
      <c r="GA2" s="14" t="str" cm="1">
        <f t="array" ref="GA2">_xll.ASAssetInfo($A2,"Fund Contact Number")</f>
        <v/>
      </c>
      <c r="GB2" s="14" t="str" cm="1">
        <f t="array" ref="GB2">_xll.ASAssetInfo($A2,"City")</f>
        <v/>
      </c>
      <c r="GC2" s="14" t="str" cm="1">
        <f t="array" ref="GC2">_xll.ASAssetInfo($A2,"Leverage")</f>
        <v/>
      </c>
      <c r="GD2" s="14" t="str" cm="1">
        <f t="array" ref="GD2">_xll.ASAssetInfo($A2,"Lockup 1 Duration")</f>
        <v>0 Months</v>
      </c>
      <c r="GE2" s="14" t="str" cm="1">
        <f t="array" ref="GE2">_xll.ASAssetInfo($A2,"Lockup 2 Duration")</f>
        <v>0 Months</v>
      </c>
      <c r="GF2" s="14" t="str" cm="1">
        <f t="array" ref="GF2">_xll.ASAssetInfo($A2,"Lockup 3 Duration")</f>
        <v>0 Months</v>
      </c>
      <c r="GG2" s="31" t="str" cm="1">
        <f t="array" ref="GG2">_xll.ASAssetInfo($A2,"Fund Level Gate")</f>
        <v/>
      </c>
      <c r="GH2" s="31" t="str" cm="1">
        <f t="array" ref="GH2">_xll.ASAssetInfo($A2,"Fund Level Gate Frequency")</f>
        <v>Unknown</v>
      </c>
      <c r="GI2" s="35" cm="1">
        <f t="array" ref="GI2">_xll.ASAssetInfo($A2,"Payment 2 (%)")</f>
        <v>0</v>
      </c>
      <c r="GJ2" s="35" t="str" cm="1">
        <f t="array" ref="GJ2">_xll.ASAssetInfo($A2,"Payment 2 (days)")</f>
        <v/>
      </c>
      <c r="GK2" s="35" t="str" cm="1">
        <f t="array" ref="GK2">_xll.ASAssetInfo($A2,"Payment 2 (Paid After)")</f>
        <v>NAV Date</v>
      </c>
      <c r="GL2" s="35" cm="1">
        <f t="array" ref="GL2">_xll.ASAssetInfo($A2,"Payment 3 (%)")</f>
        <v>0</v>
      </c>
      <c r="GM2" s="36" t="str" cm="1">
        <f t="array" ref="GM2">_xll.ASAssetInfo($A2,"Payment 3 (Days)")</f>
        <v/>
      </c>
      <c r="GN2" s="35" t="str" cm="1">
        <f t="array" ref="GN2">_xll.ASAssetInfo($A2,"Payment 3 (Paid After)")</f>
        <v>NAV Date</v>
      </c>
      <c r="GO2" s="35" cm="1">
        <f t="array" ref="GO2">_xll.ASAssetInfo($A2,"Payment 4 (%)")</f>
        <v>0</v>
      </c>
      <c r="GP2" s="36" t="str" cm="1">
        <f t="array" ref="GP2">_xll.ASAssetInfo($A2,"Payment 4 (days)")</f>
        <v/>
      </c>
      <c r="GQ2" s="35" t="str" cm="1">
        <f t="array" ref="GQ2">_xll.ASAssetInfo($A2,"Payment 4 (Paid After)")</f>
        <v>NAV Date</v>
      </c>
      <c r="GR2" s="31" cm="1">
        <f t="array" ref="GR2">_xll.ASAssetInfo($A2,"Payment 1 (%)")</f>
        <v>1</v>
      </c>
      <c r="GS2" s="35" cm="1">
        <f t="array" ref="GS2">_xll.ASAssetInfo($A2,"Lockup 1 Fee")</f>
        <v>0</v>
      </c>
      <c r="GT2" s="35" cm="1">
        <f t="array" ref="GT2">_xll.ASAssetInfo($A2,"Lockup 2 Fee")</f>
        <v>0</v>
      </c>
      <c r="GU2" s="35" cm="1">
        <f t="array" ref="GU2">_xll.ASAssetInfo($A2,"Lockup 3 Fee")</f>
        <v>0</v>
      </c>
      <c r="GV2" s="35" t="str" cm="1">
        <f t="array" ref="GV2">_xll.ASAssetInfo($A2,"Lockup 1 type")</f>
        <v>None</v>
      </c>
      <c r="GW2" s="35" t="str" cm="1">
        <f t="array" ref="GW2">_xll.ASAssetInfo($A2,"Lockup 2 type")</f>
        <v>None</v>
      </c>
      <c r="GX2" s="35" t="str" cm="1">
        <f t="array" ref="GX2">_xll.ASAssetInfo($A2,"Lockup 3 type")</f>
        <v>None</v>
      </c>
      <c r="GY2" s="35" t="str" cm="1">
        <f t="array" ref="GY2">_xll.ASAssetInfo($A2,"Redemption 1 type")</f>
        <v>Calendar</v>
      </c>
      <c r="GZ2" s="35" t="str" cm="1">
        <f t="array" ref="GZ2">_xll.ASAssetInfo($A2,"Redemption 2 type")</f>
        <v>Calendar</v>
      </c>
      <c r="HA2" s="35" t="str" cm="1">
        <f t="array" ref="HA2">_xll.ASAssetInfo($A2,"Redemption 3 type")</f>
        <v>Calendar</v>
      </c>
      <c r="HB2" s="35" t="str" cm="1">
        <f t="array" ref="HB2">_xll.ASAssetInfo($A2,"Redemption 1 Fee")</f>
        <v/>
      </c>
      <c r="HC2" s="35" t="str" cm="1">
        <f t="array" ref="HC2">_xll.ASAssetInfo($A2,"Redemption 2 Fee")</f>
        <v/>
      </c>
      <c r="HD2" s="35" t="str" cm="1">
        <f t="array" ref="HD2">_xll.ASAssetInfo($A2,"Redemption 3 Fee")</f>
        <v/>
      </c>
      <c r="HE2" s="35" t="str" cm="1">
        <f t="array" ref="HE2">_xll.ASAssetInfo($A2,"Redemption 1 Frequency")</f>
        <v>Unknown</v>
      </c>
      <c r="HF2" s="35" t="str" cm="1">
        <f t="array" ref="HF2">_xll.ASAssetInfo($A2,"Redemption 2 Frequency")</f>
        <v>Unknown</v>
      </c>
      <c r="HG2" s="35" t="str" cm="1">
        <f t="array" ref="HG2">_xll.ASAssetInfo($A2,"Redemption 3 Frequency")</f>
        <v>Unknown</v>
      </c>
      <c r="HH2" s="35" t="str" cm="1">
        <f t="array" ref="HH2">_xll.ASAssetInfo($A2,"Asset Calendar")</f>
        <v>[Default]</v>
      </c>
      <c r="HI2" s="16" cm="1">
        <f t="array" ref="HI2">_xll.ASAssetStatistic($A2,"Max Second Drawdown",,,,"m",'PBA Summary'!$F$2,'PBA Summary'!$G$2)</f>
        <v>-0.20941940722695884</v>
      </c>
      <c r="HJ2" s="37" cm="1">
        <f t="array" ref="HJ2">_xll.ASAssetStatistic($A2,"Date Max Second Drawdown",,,,"m",'PBA Summary'!$F$2,'PBA Summary'!$G$2)</f>
        <v>43465</v>
      </c>
      <c r="HK2" s="37" t="str" cm="1">
        <f t="array" ref="HK2">_xll.ASAssetInfo($A2,HK$1)</f>
        <v>ALXN US</v>
      </c>
      <c r="HL2" s="37" t="str" cm="1">
        <f t="array" ref="HL2">_xll.ASAssetInfo($A2,HL$1)</f>
        <v/>
      </c>
      <c r="HM2" s="37" cm="1">
        <f t="array" ref="HM2">_xll.ASAssetInfo($A2,HM$1)</f>
        <v>118.19</v>
      </c>
      <c r="HN2" s="37" t="str" cm="1">
        <f t="array" ref="HN2">_xll.ASAssetInfo($A2,HN$1)</f>
        <v/>
      </c>
      <c r="HO2" s="37" cm="1">
        <f t="array" ref="HO2">_xll.ASAssetInfo($A2,HO$1)</f>
        <v>0</v>
      </c>
      <c r="HP2" s="37" t="str" cm="1">
        <f t="array" ref="HP2">_xll.ASAssetInfo($A2,HP$1)</f>
        <v/>
      </c>
      <c r="HQ2" s="37" t="str" cm="1">
        <f t="array" ref="HQ2">_xll.ASAssetInfo($A2,HQ$1)</f>
        <v/>
      </c>
      <c r="HR2" s="37" t="str" cm="1">
        <f t="array" ref="HR2">_xll.ASAssetInfo($A2,HR$1)</f>
        <v/>
      </c>
      <c r="HS2" s="37" t="str" cm="1">
        <f t="array" ref="HS2">_xll.ASAssetInfo($A2,HS$1)</f>
        <v/>
      </c>
      <c r="HT2" s="37" t="str" cm="1">
        <f t="array" ref="HT2">_xll.ASAssetInfo($A2,HT$1)</f>
        <v/>
      </c>
      <c r="HU2" s="37" t="str" cm="1">
        <f t="array" ref="HU2">_xll.ASAssetInfo($A2,HU$1)</f>
        <v>U.S.</v>
      </c>
      <c r="HV2" s="37" t="str" cm="1">
        <f t="array" ref="HV2">_xll.ASAssetInfo($A2,HV$1)</f>
        <v/>
      </c>
      <c r="HW2" s="37" t="str" cm="1">
        <f t="array" ref="HW2">_xll.ASAssetInfo($A2,HW$1)</f>
        <v/>
      </c>
    </row>
    <row r="3" spans="1:231" s="11" customFormat="1" ht="13.9" customHeight="1" x14ac:dyDescent="0.25">
      <c r="A3" t="s">
        <v>316</v>
      </c>
      <c r="B3" cm="1">
        <f t="array" ref="B3">_xll.ASPortfolioWeights('PBA Summary'!$C$2,"OR",$A3)</f>
        <v>0</v>
      </c>
      <c r="C3" cm="1">
        <f t="array" ref="C3">_xll.ASAssetStatistic($A3,"Annualized Return since inception",,,,"m",_xll.ASAssetInfo($A3,"Start Date"),_xll.ASAssetInfo($A3,"Last Return Date"))</f>
        <v>7.3955387403969564E-2</v>
      </c>
      <c r="D3" cm="1">
        <f t="array" ref="D3">_xll.ASAssetStatistic($A3,"Annualized Return",,,,"m",'PBA Summary'!$F$2,'PBA Summary'!$G$2)</f>
        <v>0.1476993455171236</v>
      </c>
      <c r="E3" s="19" cm="1">
        <f t="array" ref="E3">_xll.ASAssetStatistic($A3,"Equilibrium Annual Return",,,,"m",'PBA Summary'!$F$2,'PBA Summary'!$G$2)</f>
        <v>0.10337334778115648</v>
      </c>
      <c r="F3" cm="1">
        <f t="array" ref="F3">_xll.ASAssetStatistic($A3,"Annualized Volatility (Inception)",,,,"m",_xll.ASAssetInfo($A3,"Start Date"),_xll.ASAssetInfo($A3,"Last Return Date"))</f>
        <v>7.894668551409785E-2</v>
      </c>
      <c r="G3" cm="1">
        <f t="array" ref="G3">_xll.ASAssetStatistic($A3,"Annualized Volatility",,,,"m",'PBA Summary'!$F$2,'PBA Summary'!$G$2)</f>
        <v>6.2588367070755782E-2</v>
      </c>
      <c r="H3" s="20" cm="1">
        <f t="array" ref="H3">_xll.ASAssetStatistic($A3,"Skewness",,,,"m",'PBA Summary'!$F$2,'PBA Summary'!$G$2)</f>
        <v>-0.35117662123736781</v>
      </c>
      <c r="I3" s="20" cm="1">
        <f t="array" ref="I3">_xll.ASAssetStatistic($A3,"Excess kurtosis",,,,"m",'PBA Summary'!$F$2,'PBA Summary'!$G$2)</f>
        <v>0.73254191563452908</v>
      </c>
      <c r="J3" s="19" cm="1">
        <f t="array" ref="J3">_xll.ASAssetStatistic($A3,"Return Last 1 month",,,,"m",'PBA Summary'!$F$2,'PBA Summary'!$G$2)</f>
        <v>1.4943342776204238E-2</v>
      </c>
      <c r="K3" s="19" cm="1">
        <f t="array" ref="K3">_xll.ASAssetStatistic($A3,"Return Last 3 months",,,,"m",'PBA Summary'!$F$2,'PBA Summary'!$G$2)</f>
        <v>4.2406168169915048E-2</v>
      </c>
      <c r="L3" s="19" cm="1">
        <f t="array" ref="L3">_xll.ASAssetStatistic($A3,"Return Last 1 year",,,,"m",'PBA Summary'!$F$2,'PBA Summary'!$G$2)</f>
        <v>0.15796703296703196</v>
      </c>
      <c r="M3" s="19" cm="1">
        <f t="array" ref="M3">_xll.ASAssetStatistic($A3,"Year-to-date Return",,,,"m",'PBA Summary'!$F$2,'PBA Summary'!$G$2)</f>
        <v>1.4943342776204238E-2</v>
      </c>
      <c r="N3" s="19" cm="1">
        <f t="array" ref="N3">_xll.ASAssetStatistic($A3,"Annualized Return",,,,"m",EOMONTH('PBA Summary'!$G$2,-2),'PBA Summary'!$G$2)</f>
        <v>0.18072263827692314</v>
      </c>
      <c r="O3" s="19" t="str" cm="1">
        <f t="array" ref="O3">_xll.ASAssetStatistic($A3,"Annualized Return Last 3 years",,,,"m",'PBA Summary'!$F$2,'PBA Summary'!$G$2)</f>
        <v/>
      </c>
      <c r="P3" s="19" t="str" cm="1">
        <f t="array" ref="P3">_xll.ASAssetStatistic($A3,"Annualized Return Last 5 years",,,,"m",'PBA Summary'!$F$2,'PBA Summary'!$G$2)</f>
        <v/>
      </c>
      <c r="Q3" s="19" cm="1">
        <f t="array" ref="Q3">_xll.ASAssetStatistic($A3,"Annualized Volatility Last 1 year",,,,"m",'PBA Summary'!$F$2,'PBA Summary'!$G$2)</f>
        <v>4.8235946501129667E-2</v>
      </c>
      <c r="R3" s="19" t="str" cm="1">
        <f t="array" ref="R3">_xll.ASAssetStatistic($A3,"Annualized Volatility Last 3 years",,,,"m",'PBA Summary'!$F$2,'PBA Summary'!$G$2)</f>
        <v/>
      </c>
      <c r="S3" s="19" t="str" cm="1">
        <f t="array" ref="S3">_xll.ASAssetStatistic($A3,"Annualized Volatility Last 5 years",,,,"m",'PBA Summary'!$F$2,'PBA Summary'!$G$2)</f>
        <v/>
      </c>
      <c r="T3" s="19" cm="1">
        <f t="array" ref="T3">_xll.ASAssetStatistic($A3,"Normal monthly VaR 99%",,,,"m",'PBA Summary'!$F$2,'PBA Summary'!$G$2)</f>
        <v>-3.0334489441079235E-2</v>
      </c>
      <c r="U3" s="19" cm="1">
        <f t="array" ref="U3">_xll.ASAssetStatistic($A3,"Modified monthly VaR 99%",,,,"m",'PBA Summary'!$F$2,'PBA Summary'!$G$2)</f>
        <v>-3.7255742170182966E-2</v>
      </c>
      <c r="V3" s="19" cm="1">
        <f t="array" ref="V3">_xll.ASAssetStatistic($A3,"Conditional monthly VaR 99%",,,,"m",'PBA Summary'!$F$2,'PBA Summary'!$G$2)</f>
        <v>-2.3375331564986834E-2</v>
      </c>
      <c r="W3" s="19" cm="1">
        <f t="array" ref="W3">_xll.ASAssetStatistic($A3,"Normal monthly VaR 97%",,,,"m",'PBA Summary'!$F$2,'PBA Summary'!$G$2)</f>
        <v>-2.2284346275076916E-2</v>
      </c>
      <c r="X3" s="19" cm="1">
        <f t="array" ref="X3">_xll.ASAssetStatistic($A3,"Modified monthly VaR 97%",,,,"m",'PBA Summary'!$F$2,'PBA Summary'!$G$2)</f>
        <v>-2.5283465440040752E-2</v>
      </c>
      <c r="Y3" s="19" cm="1">
        <f t="array" ref="Y3">_xll.ASAssetStatistic($A3,"Conditional monthly VaR 97%",,,,"m",'PBA Summary'!$F$2,'PBA Summary'!$G$2)</f>
        <v>-2.3375331564986834E-2</v>
      </c>
      <c r="Z3" s="19" cm="1">
        <f t="array" ref="Z3">_xll.ASAssetStatistic($A3,"Normal monthly VaR 95%",,,,"m",'PBA Summary'!$F$2,'PBA Summary'!$G$2)</f>
        <v>-1.8021452229051153E-2</v>
      </c>
      <c r="AA3" s="19" cm="1">
        <f t="array" ref="AA3">_xll.ASAssetStatistic($A3,"Modified monthly VaR 95%",,,,"m",'PBA Summary'!$F$2,'PBA Summary'!$G$2)</f>
        <v>-1.9516100914341264E-2</v>
      </c>
      <c r="AB3" s="19" cm="1">
        <f t="array" ref="AB3">_xll.ASAssetStatistic($A3,"Conditional monthly VaR 95%",,,,"m",'PBA Summary'!$F$2,'PBA Summary'!$G$2)</f>
        <v>-2.3375331564986834E-2</v>
      </c>
      <c r="AC3" s="66" cm="1">
        <f t="array" ref="AC3">_xll.ASAssetStatistic($A3,"Correlation to Benchmark 1","MSCI ACWI Index",,,"m",'PBA Summary'!$F$2,'PBA Summary'!$G$2)</f>
        <v>0.67978346432303294</v>
      </c>
      <c r="AD3" s="38" cm="1">
        <f t="array" ref="AD3">IF('PBA Summary'!$D$3="","",_xll.ASAssetStatistic($A3,"Correlation to Benchmark 1",'PBA Summary'!$D$3,,,"m",'PBA Summary'!$F$2,'PBA Summary'!$G$2))</f>
        <v>0.63264500273137902</v>
      </c>
      <c r="AE3" s="21" cm="1">
        <f t="array" ref="AE3">IF('PBA Summary'!$D$2="","",_xll.ASAssetStatistic($A3,"Bull correlation to Benchmark 1",'PBA Summary'!$D$2,,,"m",'PBA Summary'!$F$2,'PBA Summary'!$G$2))</f>
        <v>0.74272272046798815</v>
      </c>
      <c r="AF3" s="21" cm="1">
        <f t="array" ref="AF3">IF('PBA Summary'!$D$2="","",_xll.ASAssetStatistic($A3,"Bear correlation to Benchmark 1",'PBA Summary'!$D$2,,,"m",'PBA Summary'!$F$2,'PBA Summary'!$G$2))</f>
        <v>0.54594302559293251</v>
      </c>
      <c r="AG3" s="21" cm="1">
        <f t="array" ref="AG3">IF('PBA Summary'!$D$3="","",_xll.ASAssetStatistic($A3,"Bull correlation to Benchmark 1",'PBA Summary'!$D$3,,,"m",'PBA Summary'!$F$2,'PBA Summary'!$G$2))</f>
        <v>0.74272272046798815</v>
      </c>
      <c r="AH3" s="21" cm="1">
        <f t="array" ref="AH3">IF('PBA Summary'!$D$3="","",_xll.ASAssetStatistic($A3,"Bear correlation to Benchmark 1",'PBA Summary'!$D$3,,,"m",'PBA Summary'!$F$2,'PBA Summary'!$G$2))</f>
        <v>0.54594302559293251</v>
      </c>
      <c r="AI3" s="24" cm="1">
        <f t="array" ref="AI3">IF('PBA Summary'!$D$2="","",_xll.ASAssetStatistic($A3,"Beta to Benchmark 1",'PBA Summary'!$D$2,,,"m",'PBA Summary'!$F$2,'PBA Summary'!$G$2))</f>
        <v>0.25791549553869048</v>
      </c>
      <c r="AJ3" s="24" t="str" cm="1">
        <f t="array" ref="AJ3">IF('PBA Summary'!$D$2="","",_xll.ASAssetStatistic($A3,"Beta to Benchmark 1 Last 3 years",'PBA Summary'!$D$2,,,"m",'PBA Summary'!$F$2,'PBA Summary'!$G$2))</f>
        <v/>
      </c>
      <c r="AK3" s="24" t="str" cm="1">
        <f t="array" ref="AK3">IF('PBA Summary'!$D$2="","",_xll.ASAssetStatistic($A3,"Beta to Benchmark 1 Last 5 years",'PBA Summary'!$D$2,,,"m",'PBA Summary'!$F$2,'PBA Summary'!$G$2))</f>
        <v/>
      </c>
      <c r="AL3" s="25" cm="1">
        <f t="array" ref="AL3">IF('PBA Summary'!$D$3="","",_xll.ASAssetStatistic($A3,"Beta to Benchmark 1",'PBA Summary'!$D$3,,,"m",'PBA Summary'!$F$2,'PBA Summary'!$G$2))</f>
        <v>0.25791549553869048</v>
      </c>
      <c r="AM3" s="25" t="str" cm="1">
        <f t="array" ref="AM3">IF('PBA Summary'!$D$3="","",_xll.ASAssetStatistic($A3,"Beta to Benchmark 1 Last 3 years",'PBA Summary'!$D$3,,,"m",'PBA Summary'!$F$2,'PBA Summary'!$G$2))</f>
        <v/>
      </c>
      <c r="AN3" s="25" t="str" cm="1">
        <f t="array" ref="AN3">IF('PBA Summary'!$D$3="","",_xll.ASAssetStatistic($A3,"Beta to Benchmark 1 Last 5 years",'PBA Summary'!$D$3,,,"m",'PBA Summary'!$F$2,'PBA Summary'!$G$2))</f>
        <v/>
      </c>
      <c r="AO3" s="25" cm="1">
        <f t="array" ref="AO3">IF('PBA Summary'!$D$2="","",_xll.ASAssetStatistic($A3,"Bull Beta to Benchmark 1",'PBA Summary'!$D$2,,,"m",'PBA Summary'!$F$2,'PBA Summary'!$G$2))</f>
        <v>0.61953994206359109</v>
      </c>
      <c r="AP3" s="25" cm="1">
        <f t="array" ref="AP3">IF('PBA Summary'!$D$2="","",_xll.ASAssetStatistic($A3,"Bear Beta to Benchmark 1",'PBA Summary'!$D$2,,,"m",'PBA Summary'!$F$2,'PBA Summary'!$G$2))</f>
        <v>0.20911866451814759</v>
      </c>
      <c r="AQ3" s="25" cm="1">
        <f t="array" ref="AQ3">IF('PBA Summary'!$D$3="","",_xll.ASAssetStatistic($A3,"Bull Beta to Benchmark 1",'PBA Summary'!$D$3,,,"m",'PBA Summary'!$F$2,'PBA Summary'!$G$2))</f>
        <v>0.61953994206359109</v>
      </c>
      <c r="AR3" s="25" cm="1">
        <f t="array" ref="AR3">IF('PBA Summary'!$D$3="","",_xll.ASAssetStatistic($A3,"Bear Beta to Benchmark 1",'PBA Summary'!$D$3,,,"m",'PBA Summary'!$F$2,'PBA Summary'!$G$2))</f>
        <v>0.20911866451814759</v>
      </c>
      <c r="AS3" s="25" cm="1">
        <f t="array" ref="AS3">_xll.ASAssetStatistic($A3,"Annual Sharpe Ratio (Rf)",,,'PBA Summary'!$H$2,"m",'PBA Summary'!$F$2,'PBA Summary'!$G$2)</f>
        <v>2.3199094706046028</v>
      </c>
      <c r="AT3" s="25" t="str" cm="1">
        <f t="array" ref="AT3">_xll.ASAssetStatistic($A3,"Annual Sharpe Ratio (Rf) Last 3 years",,,'PBA Summary'!$H$2,"m",'PBA Summary'!$F$2,'PBA Summary'!$G$2)</f>
        <v/>
      </c>
      <c r="AU3" s="25" t="str" cm="1">
        <f t="array" ref="AU3">_xll.ASAssetStatistic($A3,"Annual Sharpe Ratio (Rf) Last 5 years",,,'PBA Summary'!$H$2,"m",'PBA Summary'!$F$2,'PBA Summary'!$G$2)</f>
        <v/>
      </c>
      <c r="AV3" s="18" cm="1">
        <f t="array" ref="AV3">_xll.ASAssetStatistic($A3,"Ann. Downside Deviation (vs 0%)",,,'PBA Summary'!$H$2,"m",'PBA Summary'!$F$2,'PBA Summary'!$G$2)</f>
        <v>2.8335900347731341E-2</v>
      </c>
      <c r="AW3" s="18" cm="1">
        <f t="array" ref="AW3">_xll.ASAssetStatistic($A3,"Ann. Downside Deviation (vs Rf)",,,'PBA Summary'!$H$2,"m",'PBA Summary'!$F$2,'PBA Summary'!$G$2)</f>
        <v>2.8598864116795731E-2</v>
      </c>
      <c r="AX3" s="39" cm="1">
        <f t="array" ref="AX3">_xll.ASAssetStatistic($A3,"Annual Treynor ratio",,,'PBA Summary'!$H$2,"m",'PBA Summary'!$F$2,'PBA Summary'!$G$2)</f>
        <v>0.14045687845872709</v>
      </c>
      <c r="AY3" s="26" cm="1">
        <f t="array" ref="AY3">_xll.ASAssetStatistic($A3,"Annual Sortino Ratio (vs 0%)",,,'PBA Summary'!$H$2,"m",'PBA Summary'!$F$2,'PBA Summary'!$G$2)</f>
        <v>5.2124458268342568</v>
      </c>
      <c r="AZ3" s="26" cm="1">
        <f t="array" ref="AZ3">_xll.ASAssetStatistic($A3,"Annual Sortino Ratio (vs Rf)",,,'PBA Summary'!$H$2,"m",'PBA Summary'!$F$2,'PBA Summary'!$G$2)</f>
        <v>5.0771018360778166</v>
      </c>
      <c r="BA3" s="26" cm="1">
        <f t="array" ref="BA3">_xll.ASAssetStatistic($A3,"Sterling ratio",,,'PBA Summary'!$H$2,"m",'PBA Summary'!$F$2,'PBA Summary'!$G$2)</f>
        <v>1.2168006371335687</v>
      </c>
      <c r="BB3" s="26" cm="1">
        <f t="array" ref="BB3">_xll.ASAssetStatistic($A3,"Calmar ratio",,,'PBA Summary'!$H$2,"m",'PBA Summary'!$F$2,'PBA Summary'!$G$2)</f>
        <v>6.3185989514842973</v>
      </c>
      <c r="BC3" s="26" cm="1">
        <f t="array" ref="BC3">_xll.ASAssetStatistic($A3,"Hurst index",,,'PBA Summary'!$H$2,"m",'PBA Summary'!$F$2,'PBA Summary'!$G$2)</f>
        <v>0.33726139694300539</v>
      </c>
      <c r="BD3" s="26" cm="1">
        <f t="array" ref="BD3">_xll.ASAssetStatistic($A3,"Omega (Threshold 1)",,,'PBA Summary'!$H$2,"m",'PBA Summary'!$F$2,'PBA Summary'!$G$2)</f>
        <v>4.9201143462991297</v>
      </c>
      <c r="BE3" s="26" cm="1">
        <f t="array" ref="BE3">_xll.ASAssetStatistic($A3,"Omega (Threshold 2)",,,'PBA Summary'!$H$2,"m",'PBA Summary'!$F$2,'PBA Summary'!$G$2)</f>
        <v>2.7313937193917988</v>
      </c>
      <c r="BF3" s="26" cm="1">
        <f t="array" ref="BF3">_xll.ASAssetStatistic($A3,"Omega (Threshold 3)",,,'PBA Summary'!$H$2,"m",'PBA Summary'!$F$2,'PBA Summary'!$G$2)</f>
        <v>1.3070434693516406</v>
      </c>
      <c r="BG3" s="26" cm="1">
        <f t="array" ref="BG3">_xll.ASAssetStatistic($A3,"Omega (Threshold 4)",,,'PBA Summary'!$H$2,"m",'PBA Summary'!$F$2,'PBA Summary'!$G$2)</f>
        <v>0.59157679134461594</v>
      </c>
      <c r="BH3" s="26" cm="1">
        <f t="array" ref="BH3">_xll.ASAssetStatistic($A3,"Omega (Threshold 5)",,,'PBA Summary'!$H$2,"m",'PBA Summary'!$F$2,'PBA Summary'!$G$2)</f>
        <v>0.28231170267307115</v>
      </c>
      <c r="BI3" s="26" t="str" cm="1">
        <f t="array" ref="BI3">_xll.ASAssetStatistic($A3,"Autocorrelated (illiquid)",,,'PBA Summary'!$H$2,"m",'PBA Summary'!$F$2,'PBA Summary'!$G$2)</f>
        <v>No</v>
      </c>
      <c r="BJ3" s="27" cm="1">
        <f t="array" ref="BJ3">_xll.ASAssetStatistic($A3,"% months in Run Up",,,'PBA Summary'!$H$2,"m",'PBA Summary'!$F$2,'PBA Summary'!$G$2)</f>
        <v>0.8666666666666667</v>
      </c>
      <c r="BK3" s="27" cm="1">
        <f t="array" ref="BK3">_xll.ASAssetStatistic($A3,"% months in Drawdown",,,'PBA Summary'!$H$2,"m",'PBA Summary'!$F$2,'PBA Summary'!$G$2)</f>
        <v>0.13333333333333333</v>
      </c>
      <c r="BL3" s="18" cm="1">
        <f t="array" ref="BL3">IF('PBA Summary'!$D$2="","",_xll.ASAssetStatistic($A3,"Bull Beta to Benchmark 1",'PBA Summary'!$D$2,,,"m",'PBA Summary'!$F$2,'PBA Summary'!$G$2))</f>
        <v>0.61953994206359109</v>
      </c>
      <c r="BM3" s="18" cm="1">
        <f t="array" ref="BM3">IF('PBA Summary'!$D$2="","",_xll.ASAssetStatistic($A3,"Average return during bear Benchmark 1",'PBA Summary'!$D$2,,,"m",'PBA Summary'!$F$2,'PBA Summary'!$G$2))</f>
        <v>1.6926156123368008E-3</v>
      </c>
      <c r="BN3" s="18" cm="1">
        <f t="array" ref="BN3">IF('PBA Summary'!$D$3="","",_xll.ASAssetStatistic($A3,"Average return during bull Benchmark 1",'PBA Summary'!$D$3,,,"m",'PBA Summary'!$F$2,'PBA Summary'!$G$2))</f>
        <v>1.5335337520469944E-2</v>
      </c>
      <c r="BO3" s="18" cm="1">
        <f t="array" ref="BO3">IF('PBA Summary'!$D$3="","",_xll.ASAssetStatistic($A3,"Average return during bear Benchmark 1",'PBA Summary'!$D$3,,,"m",'PBA Summary'!$F$2,'PBA Summary'!$G$2))</f>
        <v>1.6926156123368008E-3</v>
      </c>
      <c r="BP3" s="27" cm="1">
        <f t="array" ref="BP3">_xll.ASAssetStatistic($A3,"Maximum consecutive gain",,,'PBA Summary'!$H$2,"m",'PBA Summary'!$F$2,'PBA Summary'!$G$2)</f>
        <v>0.13047250926875331</v>
      </c>
      <c r="BQ3" s="27" cm="1">
        <f t="array" ref="BQ3">_xll.ASAssetStatistic($A3,"Maximum consecutive loss",,,'PBA Summary'!$H$2,"m",'PBA Summary'!$F$2,'PBA Summary'!$G$2)</f>
        <v>-2.3375331564986834E-2</v>
      </c>
      <c r="BR3" s="27" cm="1">
        <f t="array" ref="BR3">_xll.ASAssetStatistic($A3,"Max monthly gain",,,'PBA Summary'!$H$2,"m",'PBA Summary'!$F$2,'PBA Summary'!$G$2)</f>
        <v>4.5623521459952743E-2</v>
      </c>
      <c r="BS3" s="27" cm="1">
        <f t="array" ref="BS3">_xll.ASAssetStatistic($A3,"Max monthly loss",,,'PBA Summary'!$H$2,"m",'PBA Summary'!$F$2,'PBA Summary'!$G$2)</f>
        <v>-2.3375331564986834E-2</v>
      </c>
      <c r="BT3" s="27" cm="1">
        <f t="array" ref="BT3">_xll.ASAssetStatistic($A3,"Max drawdown",,,'PBA Summary'!$H$2,"m",'PBA Summary'!$F$2,'PBA Summary'!$G$2)</f>
        <v>-2.3375331564986834E-2</v>
      </c>
      <c r="BU3" s="28" cm="1">
        <f t="array" ref="BU3">_xll.ASAssetStatistic($A3,"Date Max drawdown",,,'PBA Summary'!$H$2,"m",'PBA Summary'!$F$2,'PBA Summary'!$G$2)</f>
        <v>43434</v>
      </c>
      <c r="BV3" s="28" cm="1">
        <f t="array" ref="BV3">_xll.ASAssetStatistic($A3,"Start Date Max Drawdown",,,'PBA Summary'!$H$2,"m",'PBA Summary'!$F$2,'PBA Summary'!$G$2)</f>
        <v>43434</v>
      </c>
      <c r="BW3" s="28" cm="1">
        <f t="array" ref="BW3">_xll.ASAssetStatistic($A3,"End Date Max Drawdown",,,'PBA Summary'!$H$2,"m",'PBA Summary'!$F$2,'PBA Summary'!$G$2)</f>
        <v>43465</v>
      </c>
      <c r="BX3" s="29" cm="1">
        <f t="array" ref="BX3">_xll.ASAssetStatistic($A3,"Max Time-under-water (months)",,,'PBA Summary'!$H$2,"m",'PBA Summary'!$F$2,'PBA Summary'!$G$2)</f>
        <v>2</v>
      </c>
      <c r="BY3" s="27" cm="1">
        <f t="array" ref="BY3">_xll.ASAssetStatistic($A3,"Max possible drawdown 99%",,,'PBA Summary'!$H$2,"m",'PBA Summary'!$F$2,'PBA Summary'!$G$2)</f>
        <v>-3.7758131659323318E-2</v>
      </c>
      <c r="BZ3" s="27" cm="1">
        <f t="array" ref="BZ3">_xll.ASAssetStatistic($A3,"Max possible drawdown 99.9%",,,'PBA Summary'!$H$2,"m",'PBA Summary'!$F$2,'PBA Summary'!$G$2)</f>
        <v>-6.6625953456644529E-2</v>
      </c>
      <c r="CA3" s="30" cm="1">
        <f t="array" ref="CA3">_xll.ASAssetStatistic($A3,"Max Possible Time-under-water 99% (months)",,,'PBA Summary'!$H$2,"m",'PBA Summary'!$F$2,'PBA Summary'!$G$2)</f>
        <v>12.911766496714018</v>
      </c>
      <c r="CB3" s="30" cm="1">
        <f t="array" ref="CB3">_xll.ASAssetStatistic($A3,"Max Possible Time-under-water 99.9% (months)",,,'PBA Summary'!$H$2,"m",'PBA Summary'!$F$2,'PBA Summary'!$G$2)</f>
        <v>22.783403623222267</v>
      </c>
      <c r="CC3" s="17" cm="1">
        <f t="array" ref="CC3">_xll.ASPortfolioReturnAttribution('PBA Summary'!$C$2,"OR",A3,"Last 1m",'PBA Summary'!$F$2,'PBA Summary'!$G$2)</f>
        <v>0</v>
      </c>
      <c r="CD3" s="11" t="str" cm="1">
        <f t="array" ref="CD3">_xll.ASAssetInfo($A3,"Strategy")</f>
        <v>Funds - Credit Long Only</v>
      </c>
      <c r="CE3" s="14" cm="1">
        <f t="array" ref="CE3">_xll.ASAssetInfo($A3,"Start Date")</f>
        <v>42063</v>
      </c>
      <c r="CF3" s="14" t="str" cm="1">
        <f t="array" ref="CF3">_xll.ASAssetRatings($A3,"Quantitative",0,0,0,0,0,'PBA Summary'!$F$2,'PBA Summary'!$G$2)</f>
        <v/>
      </c>
      <c r="CG3" s="14" t="str" cm="1">
        <f t="array" ref="CG3">_xll.ASAssetRatings($A3,"Qualitative",0,0,0,0,0,'PBA Summary'!$F$2,'PBA Summary'!$G$2)</f>
        <v/>
      </c>
      <c r="CH3" s="14" t="str" cm="1">
        <f t="array" ref="CH3">_xll.ASAssetRatings($A3,"Final",0,0,0,0,0,'PBA Summary'!$F$2,'PBA Summary'!$G$2)</f>
        <v/>
      </c>
      <c r="CI3" s="14" cm="1">
        <f t="array" ref="CI3">_xll.ASAssetInfo($A3,"Last Return Date")</f>
        <v>44135</v>
      </c>
      <c r="CJ3" s="14" t="str" cm="1">
        <f t="array" ref="CJ3">_xll.ASAssetInfo($A3,"Company Name")</f>
        <v>Algebris UCITS Funds plc</v>
      </c>
      <c r="CK3" s="14" t="str" cm="1">
        <f t="array" ref="CK3">_xll.ASAssetInfo($A3,"Manager Name")</f>
        <v/>
      </c>
      <c r="CL3" s="14" t="str" cm="1">
        <f t="array" ref="CL3">_xll.ASAssetInfo($A3,"Address")</f>
        <v>Algebris (UK) Ltd. 4th Floor. 1 St James's Market. London SW1Y 4AH. United Kingdom</v>
      </c>
      <c r="CM3" s="14" t="str" cm="1">
        <f t="array" ref="CM3">_xll.ASAssetInfo($A3,"Phone Number")</f>
        <v/>
      </c>
      <c r="CN3" s="14" t="str" cm="1">
        <f t="array" ref="CN3">_xll.ASAssetInfo($A3,"Email")</f>
        <v/>
      </c>
      <c r="CO3" s="14" t="str" cm="1">
        <f t="array" ref="CO3">_xll.ASAssetInfo($A3,"Asset Type")</f>
        <v>Fixed Income</v>
      </c>
      <c r="CP3" s="14" t="str" cm="1">
        <f t="array" ref="CP3">_xll.ASAssetInfo($A3,"Proprietary ID")</f>
        <v/>
      </c>
      <c r="CQ3" s="14" t="str" cm="1">
        <f t="array" ref="CQ3">_xll.ASAssetInfo($A3,"Country")</f>
        <v>United Kingdom</v>
      </c>
      <c r="CR3" s="14" t="str" cm="1">
        <f t="array" ref="CR3">_xll.ASAssetInfo($A3,"Currency")</f>
        <v>USD</v>
      </c>
      <c r="CS3" s="14" t="str" cm="1">
        <f t="array" ref="CS3">_xll.ASAssetInfo($A3,"Sub-Strategy")</f>
        <v>European AT1</v>
      </c>
      <c r="CT3" s="31" cm="1">
        <f t="array" ref="CT3">_xll.ASAssetInfo($A3,"Fund AUM (m)")</f>
        <v>4981.21</v>
      </c>
      <c r="CU3" s="31" t="str" cm="1">
        <f t="array" ref="CU3">_xll.ASAssetInfo($A3,"Status")</f>
        <v>Unknown</v>
      </c>
      <c r="CV3" s="31" t="str" cm="1">
        <f t="array" ref="CV3">_xll.ASAssetInfo($A3,"Redemption 1 Frequency")</f>
        <v>Weekly</v>
      </c>
      <c r="CW3" s="31" t="str" cm="1">
        <f t="array" ref="CW3">_xll.ASAssetInfo($A3,"Redemption 2 Frequency")</f>
        <v>Unknown</v>
      </c>
      <c r="CX3" s="31" t="str" cm="1">
        <f t="array" ref="CX3">_xll.ASAssetInfo($A3,"Redemption 3 Frequency")</f>
        <v>Unknown</v>
      </c>
      <c r="CY3" s="31" t="str" cm="1">
        <f t="array" ref="CY3">_xll.ASAssetInfo($A3,"Notice Period")</f>
        <v/>
      </c>
      <c r="CZ3" s="15" cm="1">
        <f t="array" ref="CZ3">_xll.ASAssetInfo($A3,"Performance Fee")</f>
        <v>0.1</v>
      </c>
      <c r="DA3" s="15" cm="1">
        <f t="array" ref="DA3">_xll.ASAssetInfo($A3,"Management Fee")</f>
        <v>5.0000000000000001E-3</v>
      </c>
      <c r="DB3" s="15" t="str" cm="1">
        <f t="array" ref="DB3">_xll.ASAssetInfo($A3,"ISIN")</f>
        <v>IE00BK017B22</v>
      </c>
      <c r="DC3" s="16" cm="1">
        <f t="array" ref="DC3">_xll.ASAssetStatistic($A3,"Return during " &amp;YEAR(EOMONTH('PBA Summary'!$G$2,-60)),,,,"M",DATE(YEAR(EOMONTH('PBA Summary'!$G$2,-60)),1,31),DATE(YEAR(EOMONTH('PBA Summary'!$G$2,-60)),12,31))</f>
        <v>1.9499999999999185E-2</v>
      </c>
      <c r="DD3" s="16" cm="1">
        <f t="array" ref="DD3">_xll.ASAssetStatistic($A3,"Return during " &amp;YEAR(EOMONTH('PBA Summary'!$G$2,-48)),,,,"M",DATE(YEAR(EOMONTH('PBA Summary'!$G$2,-48)),1,31),DATE(YEAR(EOMONTH('PBA Summary'!$G$2,-48)),12,31))</f>
        <v>8.2589504659148938E-2</v>
      </c>
      <c r="DE3" s="16" cm="1">
        <f t="array" ref="DE3">_xll.ASAssetStatistic($A3,"Return during " &amp;YEAR(EOMONTH('PBA Summary'!$G$2,-36)),,,,"M",DATE(YEAR(EOMONTH('PBA Summary'!$G$2,-36)),1,31),DATE(YEAR(EOMONTH('PBA Summary'!$G$2,-36)),12,31))</f>
        <v>0.12430914197698639</v>
      </c>
      <c r="DF3" s="16" cm="1">
        <f t="array" ref="DF3">_xll.ASAssetStatistic($A3,"Return during " &amp;YEAR(EOMONTH('PBA Summary'!$G$2,-24)),,,,"M",DATE(YEAR(EOMONTH('PBA Summary'!$G$2,-24)),1,31),DATE(YEAR(EOMONTH('PBA Summary'!$G$2,-24)),12,31))</f>
        <v>-4.6176162462728931E-2</v>
      </c>
      <c r="DG3" s="16" cm="1">
        <f t="array" ref="DG3">_xll.ASAssetStatistic($A3,"Return during " &amp;YEAR(EOMONTH('PBA Summary'!$G$2,-12)),,,,"M",DATE(YEAR(EOMONTH('PBA Summary'!$G$2,-12)),1,31),DATE(YEAR(EOMONTH('PBA Summary'!$G$2,-12)),12,31))</f>
        <v>0.19297059817505802</v>
      </c>
      <c r="DH3" s="11" t="str" cm="1">
        <f t="array" ref="DH3">_xll.ASAssetInfo($A3,"Prime Broker")</f>
        <v>HSBC Securities Services Ireland</v>
      </c>
      <c r="DI3" s="16" cm="1">
        <f t="array" ref="DI3">_xll.ASAssetStatistic($A3,"Return",,,,"m",'PBA Summary'!$F$2,'PBA Summary'!$G$2)</f>
        <v>0.18791445623342007</v>
      </c>
      <c r="DJ3" s="33" cm="1">
        <f t="array" ref="DJ3">IF('PBA Summary'!$D$2="","",_xll.ASAssetStatistic($A3,"Ann. Information Ratio vs Benchmark 1",'PBA Summary'!$D$2,,,"m",'PBA Summary'!$F$2,'PBA Summary'!$G$2))</f>
        <v>-0.19879602424581627</v>
      </c>
      <c r="DK3" s="33" cm="1">
        <f t="array" ref="DK3">IF('PBA Summary'!$D$3="","",_xll.ASAssetStatistic($A3,"Ann. Information Ratio vs Benchmark 1",'PBA Summary'!$D$3,,,"m",'PBA Summary'!$F$2,'PBA Summary'!$G$2))</f>
        <v>-0.19879602424581627</v>
      </c>
      <c r="DL3" s="33" cm="1">
        <f t="array" ref="DL3">IF('PBA Summary'!$D$2="","",_xll.ASAssetStatistic($A3,"Ann. Tracking Error vs Benchmark 1",'PBA Summary'!$D$2,,,"m",'PBA Summary'!$F$2,'PBA Summary'!$G$2))</f>
        <v>0.12381026634169036</v>
      </c>
      <c r="DM3" s="33" cm="1">
        <f t="array" ref="DM3">IF('PBA Summary'!$D$3="","",_xll.ASAssetStatistic($A3,"Ann. Tracking Error vs Benchmark 1",'PBA Summary'!$D$3,,,"m",'PBA Summary'!$F$2,'PBA Summary'!$G$2))</f>
        <v>0.12381026634169036</v>
      </c>
      <c r="DN3" s="33" cm="1">
        <f t="array" ref="DN3">IF('PBA Summary'!$D$2="","",_xll.ASAssetStatistic($A3,"R² vs Benchmark 1",'PBA Summary'!$D$2,,,"m",'PBA Summary'!$F$2,'PBA Summary'!$G$2))</f>
        <v>0.40023969948098659</v>
      </c>
      <c r="DO3" s="33" cm="1">
        <f t="array" ref="DO3">IF('PBA Summary'!$D$3="","",_xll.ASAssetStatistic($A3,"R² vs Benchmark 1",'PBA Summary'!$D$3,,,"m",'PBA Summary'!$F$2,'PBA Summary'!$G$2))</f>
        <v>0.40023969948098659</v>
      </c>
      <c r="DP3" s="11" t="str" cm="1">
        <f t="array" ref="DP3">_xll.ASAssetInfo($A3,"On-/Offshore")</f>
        <v>Unknown</v>
      </c>
      <c r="DQ3" s="16" cm="1">
        <f t="array" ref="DQ3">_xll.ASAssetStatistic($A3,"Quarter-to-date",,,,"m",'PBA Summary'!$F$2,'PBA Summary'!$G$2)</f>
        <v>1.4943342776204238E-2</v>
      </c>
      <c r="DR3" s="16" cm="1">
        <f t="array" ref="DR3">_xll.ASAssetStatistic($A3,"Annualized Return Since inception",,,,"m",'PBA Summary'!$F$2,'PBA Summary'!$G$2)</f>
        <v>7.3955387403969564E-2</v>
      </c>
      <c r="DS3" s="16" cm="1">
        <f t="array" ref="DS3">IF('PBA Summary'!$D$2="","",_xll.ASAssetStatistic($A3,"Ann. Bear Market Return vs Benchmark 1",'PBA Summary'!$D$2,,,"m",'PBA Summary'!$F$2,'PBA Summary'!$G$2))</f>
        <v>1.9325877494974497E-2</v>
      </c>
      <c r="DT3" s="16" cm="1">
        <f t="array" ref="DT3">IF('PBA Summary'!$D$2="","",_xll.ASAssetStatistic($A3,"Ann. Bull Market Return vs Benchmark 1",'PBA Summary'!$D$2,,,"m",'PBA Summary'!$F$2,'PBA Summary'!$G$2))</f>
        <v>0.19828712176597652</v>
      </c>
      <c r="DU3" s="16" cm="1">
        <f t="array" ref="DU3">IF('PBA Summary'!$D$3="","",_xll.ASAssetStatistic($A3,"Ann. Bear Market Return vs Benchmark 1",'PBA Summary'!$D$3,,,"m",'PBA Summary'!$F$2,'PBA Summary'!$G$2))</f>
        <v>1.9325877494974497E-2</v>
      </c>
      <c r="DV3" s="16" cm="1">
        <f t="array" ref="DV3">IF('PBA Summary'!$D$3="","",_xll.ASAssetStatistic($A3,"Ann. Bull Market Return vs Benchmark 1",'PBA Summary'!$D$3,,,"m",'PBA Summary'!$F$2,'PBA Summary'!$G$2))</f>
        <v>0.19828712176597652</v>
      </c>
      <c r="DW3" s="17" cm="1">
        <f t="array" ref="DW3">_xll.ASAssetStatistic($A3,"Average Positive Return",,,,"m",'PBA Summary'!$F$2,'PBA Summary'!$G$2)</f>
        <v>1.693983563320817E-2</v>
      </c>
      <c r="DX3" s="17" cm="1">
        <f t="array" ref="DX3">_xll.ASAssetStatistic($A3,"Average Negative Return",,,,"m",'PBA Summary'!$F$2,'PBA Summary'!$G$2)</f>
        <v>-2.2379344028594816E-2</v>
      </c>
      <c r="DY3" s="16" cm="1">
        <f t="array" ref="DY3">IF('PBA Summary'!$D$2="","",_xll.ASAssetStatistic($A3,"Outperformance vs Benchmark 1",'PBA Summary'!$D$2,,,"m",'PBA Summary'!$F$2,'PBA Summary'!$G$2))</f>
        <v>-3.1929188575298584E-2</v>
      </c>
      <c r="DZ3" s="16" cm="1">
        <f t="array" ref="DZ3">IF('PBA Summary'!$D$3="","",_xll.ASAssetStatistic($A3,"Outperformance vs Benchmark 1",'PBA Summary'!$D$3,,,"m",'PBA Summary'!$F$2,'PBA Summary'!$G$2))</f>
        <v>-3.1929188575298584E-2</v>
      </c>
      <c r="EA3" s="16" cm="1">
        <f t="array" ref="EA3">IF('PBA Summary'!$D$2="","",_xll.ASAssetStatistic($A3,"Annual Outperformance vs Benchmark 1",'PBA Summary'!$D$2,,,"m",'PBA Summary'!$F$2,'PBA Summary'!$G$2))</f>
        <v>-2.4612988709543648E-2</v>
      </c>
      <c r="EB3" s="16" cm="1">
        <f t="array" ref="EB3">IF('PBA Summary'!$D$3="","",_xll.ASAssetStatistic($A3,"Annual Outperformance vs Benchmark 1",'PBA Summary'!$D$3,,,"m",'PBA Summary'!$F$2,'PBA Summary'!$G$2))</f>
        <v>-2.4612988709543648E-2</v>
      </c>
      <c r="EC3" s="32" cm="1">
        <f t="array" ref="EC3">_xll.ASAssetStatistic($A3,"Rachev Ratio 99%",,,,"m",'PBA Summary'!$F$2,'PBA Summary'!$G$2)</f>
        <v>-1.9517807194782539</v>
      </c>
      <c r="ED3" s="32" cm="1">
        <f t="array" ref="ED3">_xll.ASAssetStatistic($A3,"Rachev Ratio 97%",,,,"m",'PBA Summary'!$F$2,'PBA Summary'!$G$2)</f>
        <v>-1.9517807194782539</v>
      </c>
      <c r="EE3" s="32" cm="1">
        <f t="array" ref="EE3">_xll.ASAssetStatistic($A3,"Rachev Ratio 95%",,,,"m",'PBA Summary'!$F$2,'PBA Summary'!$G$2)</f>
        <v>-1.9517807194782539</v>
      </c>
      <c r="EF3" s="32" cm="1">
        <f t="array" ref="EF3">_xll.ASAssetStatistic($A3,"Rachev Ratio 90%",,,,"m",'PBA Summary'!$F$2,'PBA Summary'!$G$2)</f>
        <v>-1.7383841118633412</v>
      </c>
      <c r="EG3" s="34" cm="1">
        <f t="array" ref="EG3">IF('PBA Summary'!$D$2="","",_xll.ASAssetStatistic($A3,"Annual Up Capture vs Benchmark 1",'PBA Summary'!$D$2,,,"m",'PBA Summary'!$F$2,'PBA Summary'!$G$2))</f>
        <v>0.3917108659182969</v>
      </c>
      <c r="EH3" s="34" cm="1">
        <f t="array" ref="EH3">IF('PBA Summary'!$D$3="","",_xll.ASAssetStatistic($A3,"Annual Up Capture vs Benchmark 1",'PBA Summary'!$D$3,,,"m",'PBA Summary'!$F$2,'PBA Summary'!$G$2))</f>
        <v>0.3917108659182969</v>
      </c>
      <c r="EI3" s="34" cm="1">
        <f t="array" ref="EI3">IF('PBA Summary'!$D$2="","",_xll.ASAssetStatistic($A3,"Annual Down Capture vs Benchmark 1",'PBA Summary'!$D$2,,,"m",'PBA Summary'!$F$2,'PBA Summary'!$G$2))</f>
        <v>-4.6961763756353941E-2</v>
      </c>
      <c r="EJ3" s="34" cm="1">
        <f t="array" ref="EJ3">IF('PBA Summary'!$D$3="","",_xll.ASAssetStatistic($A3,"Annual Down Capture vs Benchmark 1",'PBA Summary'!$D$3,,,"m",'PBA Summary'!$F$2,'PBA Summary'!$G$2))</f>
        <v>-4.6961763756353941E-2</v>
      </c>
      <c r="EK3" s="16" cm="1">
        <f t="array" ref="EK3">IF('PBA Summary'!$D$2="","",_xll.ASAssetStatistic($A3,"Ann. Tracking Error vs Benchmark 1",'PBA Summary'!$D$2,,,"m",'PBA Summary'!$F$2,'PBA Summary'!$G$2))</f>
        <v>0.12381026634169036</v>
      </c>
      <c r="EL3" s="16" cm="1">
        <f t="array" ref="EL3">IF('PBA Summary'!$D$3="","",_xll.ASAssetStatistic($A3,"Ann. Tracking Error vs Benchmark 1",'PBA Summary'!$D$3,,,"m",'PBA Summary'!$F$2,'PBA Summary'!$G$2))</f>
        <v>0.12381026634169036</v>
      </c>
      <c r="EM3" s="16" cm="1">
        <f t="array" ref="EM3">IF('PBA Summary'!$D$2="","",_xll.ASAssetStatistic($A3,"Annual Jensen Alpha vs Benchmark 1 (Rf)",'PBA Summary'!$D$2,,,"m",'PBA Summary'!$F$2,'PBA Summary'!$G$2))</f>
        <v>0.10140211318647099</v>
      </c>
      <c r="EN3" s="16" cm="1">
        <f t="array" ref="EN3">IF('PBA Summary'!$D$3="","",_xll.ASAssetStatistic($A3,"Annual Jensen Alpha vs Benchmark 1 (Rf)",'PBA Summary'!$D$3,,,"m",'PBA Summary'!$F$2,'PBA Summary'!$G$2))</f>
        <v>0.10140211318647099</v>
      </c>
      <c r="EO3" s="33" cm="1">
        <f t="array" ref="EO3">IF('PBA Summary'!$D$2="","",_xll.ASAssetStatistic($A3,"Ann. Information Ratio vs Benchmark 1",'PBA Summary'!$D$2,,,"m",'PBA Summary'!$F$2,'PBA Summary'!$G$2))</f>
        <v>-0.19879602424581627</v>
      </c>
      <c r="EP3" s="33" cm="1">
        <f t="array" ref="EP3">IF('PBA Summary'!$D$3="","",_xll.ASAssetStatistic($A3,"Ann. Information Ratio vs Benchmark 1",'PBA Summary'!$D$3,,,"m",'PBA Summary'!$F$2,'PBA Summary'!$G$2))</f>
        <v>-0.19879602424581627</v>
      </c>
      <c r="EQ3" s="17" cm="1">
        <f t="array" ref="EQ3">IF('PBA Summary'!$D$2="","",_xll.ASAssetStatistic($A3,"Alpha Monthly vs Benchmark 1",'PBA Summary'!$D$2,,,"m",'PBA Summary'!$F$2,'PBA Summary'!$G$2))</f>
        <v>8.0174749677598325E-3</v>
      </c>
      <c r="ER3" s="17" cm="1">
        <f t="array" ref="ER3">IF('PBA Summary'!$D$3="","",_xll.ASAssetStatistic($A3,"Alpha Monthly vs Benchmark 1",'PBA Summary'!$D$3,,,"m",'PBA Summary'!$F$2,'PBA Summary'!$G$2))</f>
        <v>8.0174749677598325E-3</v>
      </c>
      <c r="ES3" s="32" t="str" cm="1">
        <f t="array" ref="ES3">_xll.ASAssetInfo($A3,"Company AUM (m)")</f>
        <v/>
      </c>
      <c r="ET3" s="16" cm="1">
        <f t="array" ref="ET3">_xll.ASAssetStatistic($A3,"Exponential Annualized Volatility",,,,"m",'PBA Summary'!$F$2,'PBA Summary'!$G$2)</f>
        <v>5.1086677261701074E-2</v>
      </c>
      <c r="EU3" s="16" cm="1">
        <f t="array" ref="EU3">_xll.ASAssetStatistic($A3,"Exponential Annualized Volatility Last 1 year",,,,"m",'PBA Summary'!$F$2,'PBA Summary'!$G$2)</f>
        <v>4.2267098991522707E-2</v>
      </c>
      <c r="EV3" s="16" t="str" cm="1">
        <f t="array" ref="EV3">_xll.ASAssetStatistic($A3,"Exponential Annualized Volatility Last 3 years",,,,"m",'PBA Summary'!$F$2,'PBA Summary'!$G$2)</f>
        <v/>
      </c>
      <c r="EW3" s="34" cm="1">
        <f t="array" ref="EW3">IF('PBA Summary'!$D$2="","",_xll.ASAssetStatistic($A3,"Exponential Correlation to Benchmark 1",'PBA Summary'!$D$2,,,"m",'PBA Summary'!$F$2,'PBA Summary'!$G$2))</f>
        <v>0.62083683360638831</v>
      </c>
      <c r="EX3" s="34" cm="1">
        <f t="array" ref="EX3">IF('PBA Summary'!$D$3="","",_xll.ASAssetStatistic($A3,"Exponential Correlation to Benchmark 1",'PBA Summary'!$D$3,,,"m",'PBA Summary'!$F$2,'PBA Summary'!$G$2))</f>
        <v>0.62083683360638831</v>
      </c>
      <c r="EY3" s="34" cm="1">
        <f t="array" ref="EY3">_xll.ASAssetStatistic($A3,"Exponential Annual Sharpe Ratio (Rf)",,,,"m",'PBA Summary'!$F$2,'PBA Summary'!$G$2)</f>
        <v>3.2065323294317674</v>
      </c>
      <c r="EZ3" s="34" cm="1">
        <f t="array" ref="EZ3">_xll.ASAssetStatistic($A3,"Exponential Normal Monthly VaR 99%",,,,"m",'PBA Summary'!$F$2,'PBA Summary'!$G$2)</f>
        <v>-2.1404684936882475E-2</v>
      </c>
      <c r="FA3" s="34" cm="1">
        <f t="array" ref="FA3">_xll.ASAssetStatistic($A3,"Exponential Normal Monthly VaR 97%",,,,"m",'PBA Summary'!$F$2,'PBA Summary'!$G$2)</f>
        <v>-1.4833894148122516E-2</v>
      </c>
      <c r="FB3" s="34" cm="1">
        <f t="array" ref="FB3">_xll.ASAssetStatistic($A3,"Exponential Normal Monthly VaR 95%",,,,"m",'PBA Summary'!$F$2,'PBA Summary'!$G$2)</f>
        <v>-1.1354380262036475E-2</v>
      </c>
      <c r="FC3" s="34" cm="1">
        <f t="array" ref="FC3">_xll.ASAssetStatistic($A3,"Exponential Normal Monthly VaR 90%",,,,"m",'PBA Summary'!$F$2,'PBA Summary'!$G$2)</f>
        <v>-5.9966000287723035E-3</v>
      </c>
      <c r="FD3" s="34" t="str" cm="1">
        <f t="array" ref="FD3">_xll.ASAssetStatistic($A3,"Exponential Normal weekly VaR 99%",,,,"m",'PBA Summary'!$F$2,'PBA Summary'!$G$2)</f>
        <v/>
      </c>
      <c r="FE3" s="34" t="str" cm="1">
        <f t="array" ref="FE3">_xll.ASAssetStatistic($A3,"Exponential Normal weekly VaR 97%",,,,"m",'PBA Summary'!$F$2,'PBA Summary'!$G$2)</f>
        <v/>
      </c>
      <c r="FF3" s="34" t="str" cm="1">
        <f t="array" ref="FF3">_xll.ASAssetStatistic($A3,"Exponential Normal weekly VaR 95%",,,,"m",'PBA Summary'!$F$2,'PBA Summary'!$G$2)</f>
        <v/>
      </c>
      <c r="FG3" s="34" t="str" cm="1">
        <f t="array" ref="FG3">_xll.ASAssetStatistic($A3,"Exponential Normal weekly VaR 90%",,,,"m",'PBA Summary'!$F$2,'PBA Summary'!$G$2)</f>
        <v/>
      </c>
      <c r="FH3" s="34" t="str" cm="1">
        <f t="array" ref="FH3">_xll.ASAssetStatistic($A3,"Exponential Normal daily VaR 99%",,,,"m",'PBA Summary'!$F$2,'PBA Summary'!$G$2)</f>
        <v/>
      </c>
      <c r="FI3" s="34" t="str" cm="1">
        <f t="array" ref="FI3">_xll.ASAssetStatistic($A3,"Exponential Normal daily VaR 97%",,,,"m",'PBA Summary'!$F$2,'PBA Summary'!$G$2)</f>
        <v/>
      </c>
      <c r="FJ3" s="34" t="str" cm="1">
        <f t="array" ref="FJ3">_xll.ASAssetStatistic($A3,"Exponential Normal daily VaR 95%",,,,"m",'PBA Summary'!$F$2,'PBA Summary'!$G$2)</f>
        <v/>
      </c>
      <c r="FK3" s="34" t="str" cm="1">
        <f t="array" ref="FK3">_xll.ASAssetStatistic($A3,"Exponential Normal daily VaR 90%",,,,"m",'PBA Summary'!$F$2,'PBA Summary'!$G$2)</f>
        <v/>
      </c>
      <c r="FL3" s="34" cm="1">
        <f t="array" ref="FL3">_xll.ASAssetStatistic($A3,"Bias Ratio",,,,"m",'PBA Summary'!$F$2,'PBA Summary'!$G$2)</f>
        <v>9</v>
      </c>
      <c r="FM3" s="11" t="str" cm="1">
        <f t="array" ref="FM3">_xll.ASAssetInfo($A3,"Manager's Biography")</f>
        <v/>
      </c>
      <c r="FN3" s="11" cm="1">
        <f t="array" ref="FN3">_xll.ASAssetInfo($A3,"Investment Min")</f>
        <v>500000</v>
      </c>
      <c r="FO3" s="11" t="str" cm="1">
        <f t="array" ref="FO3">_xll.ASAssetInfo($A3,"Auditor")</f>
        <v>KPMG/Ireland</v>
      </c>
      <c r="FP3" s="11" t="str" cm="1">
        <f t="array" ref="FP3">_xll.ASAssetInfo($A3,"Custodian")</f>
        <v>HSBC Institutional Trust Services Ireland DAC</v>
      </c>
      <c r="FQ3" s="11" t="str" cm="1">
        <f t="array" ref="FQ3">_xll.ASAssetInfo($A3,"Administrator")</f>
        <v>HSBC Securities Services Ireland DAC</v>
      </c>
      <c r="FR3" s="14" t="str" cm="1">
        <f t="array" ref="FR3">_xll.ASAssetInfo($A3,"Proxy 1 Start Date")</f>
        <v/>
      </c>
      <c r="FS3" s="14" t="str" cm="1">
        <f t="array" ref="FS3">_xll.ASAssetInfo($A3,"Proxy 1 End Date")</f>
        <v/>
      </c>
      <c r="FT3" s="14" t="str" cm="1">
        <f t="array" ref="FT3">_xll.ASAssetInfo($A3,"Proxy 2 Start Date")</f>
        <v/>
      </c>
      <c r="FU3" s="14" t="str" cm="1">
        <f t="array" ref="FU3">_xll.ASAssetInfo($A3,"Proxy 2 End Date")</f>
        <v/>
      </c>
      <c r="FV3" s="14" t="str" cm="1">
        <f t="array" ref="FV3">_xll.ASAssetInfo($A3,"Proxy 3 Start Date")</f>
        <v/>
      </c>
      <c r="FW3" s="14" t="str" cm="1">
        <f t="array" ref="FW3">_xll.ASAssetInfo($A3,"Proxy 3 End Date")</f>
        <v/>
      </c>
      <c r="FX3" s="14" t="str" cm="1">
        <f t="array" ref="FX3">_xll.ASAssetInfo($A3,"Fund Domicile")</f>
        <v>IE</v>
      </c>
      <c r="FY3" s="14" t="str" cm="1">
        <f t="array" ref="FY3">_xll.ASAssetInfo($A3,"Fund Contact")</f>
        <v/>
      </c>
      <c r="FZ3" s="14" t="str" cm="1">
        <f t="array" ref="FZ3">_xll.ASAssetInfo($A3,"Fund Contact Email")</f>
        <v/>
      </c>
      <c r="GA3" s="14" t="str" cm="1">
        <f t="array" ref="GA3">_xll.ASAssetInfo($A3,"Fund Contact Number")</f>
        <v/>
      </c>
      <c r="GB3" s="14" t="str" cm="1">
        <f t="array" ref="GB3">_xll.ASAssetInfo($A3,"City")</f>
        <v>London</v>
      </c>
      <c r="GC3" s="14" t="str" cm="1">
        <f t="array" ref="GC3">_xll.ASAssetInfo($A3,"Leverage")</f>
        <v>N</v>
      </c>
      <c r="GD3" s="14" t="str" cm="1">
        <f t="array" ref="GD3">_xll.ASAssetInfo($A3,"Lockup 1 Duration")</f>
        <v>0 Months</v>
      </c>
      <c r="GE3" s="14" t="str" cm="1">
        <f t="array" ref="GE3">_xll.ASAssetInfo($A3,"Lockup 2 Duration")</f>
        <v>0 Months</v>
      </c>
      <c r="GF3" s="14" t="str" cm="1">
        <f t="array" ref="GF3">_xll.ASAssetInfo($A3,"Lockup 3 Duration")</f>
        <v>0 Months</v>
      </c>
      <c r="GG3" s="31" t="str" cm="1">
        <f t="array" ref="GG3">_xll.ASAssetInfo($A3,"Fund Level Gate")</f>
        <v/>
      </c>
      <c r="GH3" s="31" t="str" cm="1">
        <f t="array" ref="GH3">_xll.ASAssetInfo($A3,"Fund Level Gate Frequency")</f>
        <v>Unknown</v>
      </c>
      <c r="GI3" s="35" cm="1">
        <f t="array" ref="GI3">_xll.ASAssetInfo($A3,"Payment 2 (%)")</f>
        <v>0</v>
      </c>
      <c r="GJ3" s="35" t="str" cm="1">
        <f t="array" ref="GJ3">_xll.ASAssetInfo($A3,"Payment 2 (days)")</f>
        <v/>
      </c>
      <c r="GK3" s="35" t="str" cm="1">
        <f t="array" ref="GK3">_xll.ASAssetInfo($A3,"Payment 2 (Paid After)")</f>
        <v>NAV Date</v>
      </c>
      <c r="GL3" s="35" cm="1">
        <f t="array" ref="GL3">_xll.ASAssetInfo($A3,"Payment 3 (%)")</f>
        <v>0</v>
      </c>
      <c r="GM3" s="36" t="str" cm="1">
        <f t="array" ref="GM3">_xll.ASAssetInfo($A3,"Payment 3 (Days)")</f>
        <v/>
      </c>
      <c r="GN3" s="35" t="str" cm="1">
        <f t="array" ref="GN3">_xll.ASAssetInfo($A3,"Payment 3 (Paid After)")</f>
        <v>NAV Date</v>
      </c>
      <c r="GO3" s="35" cm="1">
        <f t="array" ref="GO3">_xll.ASAssetInfo($A3,"Payment 4 (%)")</f>
        <v>0</v>
      </c>
      <c r="GP3" s="36" t="str" cm="1">
        <f t="array" ref="GP3">_xll.ASAssetInfo($A3,"Payment 4 (days)")</f>
        <v/>
      </c>
      <c r="GQ3" s="35" t="str" cm="1">
        <f t="array" ref="GQ3">_xll.ASAssetInfo($A3,"Payment 4 (Paid After)")</f>
        <v>NAV Date</v>
      </c>
      <c r="GR3" s="31" cm="1">
        <f t="array" ref="GR3">_xll.ASAssetInfo($A3,"Payment 1 (%)")</f>
        <v>1</v>
      </c>
      <c r="GS3" s="35" cm="1">
        <f t="array" ref="GS3">_xll.ASAssetInfo($A3,"Lockup 1 Fee")</f>
        <v>0</v>
      </c>
      <c r="GT3" s="35" cm="1">
        <f t="array" ref="GT3">_xll.ASAssetInfo($A3,"Lockup 2 Fee")</f>
        <v>0</v>
      </c>
      <c r="GU3" s="35" cm="1">
        <f t="array" ref="GU3">_xll.ASAssetInfo($A3,"Lockup 3 Fee")</f>
        <v>0</v>
      </c>
      <c r="GV3" s="35" t="str" cm="1">
        <f t="array" ref="GV3">_xll.ASAssetInfo($A3,"Lockup 1 type")</f>
        <v>None</v>
      </c>
      <c r="GW3" s="35" t="str" cm="1">
        <f t="array" ref="GW3">_xll.ASAssetInfo($A3,"Lockup 2 type")</f>
        <v>None</v>
      </c>
      <c r="GX3" s="35" t="str" cm="1">
        <f t="array" ref="GX3">_xll.ASAssetInfo($A3,"Lockup 3 type")</f>
        <v>None</v>
      </c>
      <c r="GY3" s="35" t="str" cm="1">
        <f t="array" ref="GY3">_xll.ASAssetInfo($A3,"Redemption 1 type")</f>
        <v>Calendar</v>
      </c>
      <c r="GZ3" s="35" t="str" cm="1">
        <f t="array" ref="GZ3">_xll.ASAssetInfo($A3,"Redemption 2 type")</f>
        <v>Calendar</v>
      </c>
      <c r="HA3" s="35" t="str" cm="1">
        <f t="array" ref="HA3">_xll.ASAssetInfo($A3,"Redemption 3 type")</f>
        <v>Calendar</v>
      </c>
      <c r="HB3" s="35" t="str" cm="1">
        <f t="array" ref="HB3">_xll.ASAssetInfo($A3,"Redemption 1 Fee")</f>
        <v/>
      </c>
      <c r="HC3" s="35" t="str" cm="1">
        <f t="array" ref="HC3">_xll.ASAssetInfo($A3,"Redemption 2 Fee")</f>
        <v/>
      </c>
      <c r="HD3" s="35" t="str" cm="1">
        <f t="array" ref="HD3">_xll.ASAssetInfo($A3,"Redemption 3 Fee")</f>
        <v/>
      </c>
      <c r="HE3" s="35" t="str" cm="1">
        <f t="array" ref="HE3">_xll.ASAssetInfo($A3,"Redemption 1 Frequency")</f>
        <v>Weekly</v>
      </c>
      <c r="HF3" s="35" t="str" cm="1">
        <f t="array" ref="HF3">_xll.ASAssetInfo($A3,"Redemption 2 Frequency")</f>
        <v>Unknown</v>
      </c>
      <c r="HG3" s="35" t="str" cm="1">
        <f t="array" ref="HG3">_xll.ASAssetInfo($A3,"Redemption 3 Frequency")</f>
        <v>Unknown</v>
      </c>
      <c r="HH3" s="35" t="str" cm="1">
        <f t="array" ref="HH3">_xll.ASAssetInfo($A3,"Asset Calendar")</f>
        <v>[Default]</v>
      </c>
      <c r="HI3" s="16" cm="1">
        <f t="array" ref="HI3">_xll.ASAssetStatistic($A3,"Max Second Drawdown",,,,"m",'PBA Summary'!$F$2,'PBA Summary'!$G$2)</f>
        <v>-2.138335649220291E-2</v>
      </c>
      <c r="HJ3" s="37" cm="1">
        <f t="array" ref="HJ3">_xll.ASAssetStatistic($A3,"Date Max Second Drawdown",,,,"m",'PBA Summary'!$F$2,'PBA Summary'!$G$2)</f>
        <v>43616</v>
      </c>
      <c r="HK3" s="37" t="str" cm="1">
        <f t="array" ref="HK3">_xll.ASAssetInfo($A3,HK$1)</f>
        <v>ALGFIUS ID</v>
      </c>
      <c r="HL3" s="37" t="str" cm="1">
        <f t="array" ref="HL3">_xll.ASAssetInfo($A3,HL$1)</f>
        <v/>
      </c>
      <c r="HM3" s="34" t="str" cm="1">
        <f t="array" ref="HM3">_xll.ASAssetInfo($A3,HM$1)</f>
        <v/>
      </c>
      <c r="HN3" s="34" t="str" cm="1">
        <f t="array" ref="HN3">_xll.ASAssetInfo($A3,HN$1)</f>
        <v/>
      </c>
      <c r="HO3" s="15" cm="1">
        <f t="array" ref="HO3">_xll.ASAssetInfo($A3,HO$1)</f>
        <v>0</v>
      </c>
      <c r="HP3" s="15" cm="1">
        <f t="array" ref="HP3">_xll.ASAssetInfo($A3,HP$1)</f>
        <v>4.2800000000000005E-2</v>
      </c>
      <c r="HQ3" s="34" t="str" cm="1">
        <f t="array" ref="HQ3">_xll.ASAssetInfo($A3,HQ$1)</f>
        <v/>
      </c>
      <c r="HR3" s="37" t="str" cm="1">
        <f t="array" ref="HR3">_xll.ASAssetInfo($A3,HR$1)</f>
        <v/>
      </c>
      <c r="HS3" s="37" t="str" cm="1">
        <f t="array" ref="HS3">_xll.ASAssetInfo($A3,HS$1)</f>
        <v/>
      </c>
      <c r="HT3" s="37" t="str" cm="1">
        <f t="array" ref="HT3">_xll.ASAssetInfo($A3,HT$1)</f>
        <v>BBB-</v>
      </c>
      <c r="HU3" s="37" t="str" cm="1">
        <f t="array" ref="HU3">_xll.ASAssetInfo($A3,HU$1)</f>
        <v>E.U. &amp; U.K.</v>
      </c>
      <c r="HV3" s="37" t="str" cm="1">
        <f t="array" ref="HV3">_xll.ASAssetInfo($A3,HV$1)</f>
        <v/>
      </c>
      <c r="HW3" s="37" t="str" cm="1">
        <f t="array" ref="HW3">_xll.ASAssetInfo($A3,HW$1)</f>
        <v/>
      </c>
    </row>
    <row r="4" spans="1:231" s="11" customFormat="1" ht="13.9" customHeight="1" x14ac:dyDescent="0.25">
      <c r="A4" t="s">
        <v>288</v>
      </c>
      <c r="B4" cm="1">
        <f t="array" ref="B4">_xll.ASPortfolioWeights('PBA Summary'!$C$2,"OR",$A4)</f>
        <v>0</v>
      </c>
      <c r="C4" cm="1">
        <f t="array" ref="C4">_xll.ASAssetStatistic($A4,"Annualized Return since inception",,,,"m",_xll.ASAssetInfo($A4,"Start Date"),_xll.ASAssetInfo($A4,"Last Return Date"))</f>
        <v>0.11033261360754398</v>
      </c>
      <c r="D4" cm="1">
        <f t="array" ref="D4">_xll.ASAssetStatistic($A4,"Annualized Return",,,,"m",'PBA Summary'!$F$2,'PBA Summary'!$G$2)</f>
        <v>0.16800716788023706</v>
      </c>
      <c r="E4" s="19" cm="1">
        <f t="array" ref="E4">_xll.ASAssetStatistic($A4,"Equilibrium Annual Return",,,,"m",'PBA Summary'!$F$2,'PBA Summary'!$G$2)</f>
        <v>0.70038607665717878</v>
      </c>
      <c r="F4" cm="1">
        <f t="array" ref="F4">_xll.ASAssetStatistic($A4,"Annualized Volatility (Inception)",,,,"m",_xll.ASAssetInfo($A4,"Start Date"),_xll.ASAssetInfo($A4,"Last Return Date"))</f>
        <v>0.3174638928434198</v>
      </c>
      <c r="G4" cm="1">
        <f t="array" ref="G4">_xll.ASAssetStatistic($A4,"Annualized Volatility",,,,"m",'PBA Summary'!$F$2,'PBA Summary'!$G$2)</f>
        <v>0.30438403694851285</v>
      </c>
      <c r="H4" s="20" cm="1">
        <f t="array" ref="H4">_xll.ASAssetStatistic($A4,"Skewness",,,,"m",'PBA Summary'!$F$2,'PBA Summary'!$G$2)</f>
        <v>-4.2075306951023024E-2</v>
      </c>
      <c r="I4" s="20" cm="1">
        <f t="array" ref="I4">_xll.ASAssetStatistic($A4,"Excess kurtosis",,,,"m",'PBA Summary'!$F$2,'PBA Summary'!$G$2)</f>
        <v>-1.2614488046249113</v>
      </c>
      <c r="J4" s="19" cm="1">
        <f t="array" ref="J4">_xll.ASAssetStatistic($A4,"Return Last 1 month",,,,"m",'PBA Summary'!$F$2,'PBA Summary'!$G$2)</f>
        <v>-5.9601751930283831E-2</v>
      </c>
      <c r="K4" s="19" cm="1">
        <f t="array" ref="K4">_xll.ASAssetStatistic($A4,"Return Last 3 months",,,,"m",'PBA Summary'!$F$2,'PBA Summary'!$G$2)</f>
        <v>0.14000613053664179</v>
      </c>
      <c r="L4" s="19" cm="1">
        <f t="array" ref="L4">_xll.ASAssetStatistic($A4,"Return Last 1 year",,,,"m",'PBA Summary'!$F$2,'PBA Summary'!$G$2)</f>
        <v>0.24102466318279903</v>
      </c>
      <c r="M4" s="19" cm="1">
        <f t="array" ref="M4">_xll.ASAssetStatistic($A4,"Year-to-date Return",,,,"m",'PBA Summary'!$F$2,'PBA Summary'!$G$2)</f>
        <v>-5.9601751930283831E-2</v>
      </c>
      <c r="N4" s="19" cm="1">
        <f t="array" ref="N4">_xll.ASAssetStatistic($A4,"Annualized Return",,,,"m",EOMONTH('PBA Summary'!$G$2,-2),'PBA Summary'!$G$2)</f>
        <v>0.68899649093217574</v>
      </c>
      <c r="O4" s="19" t="str" cm="1">
        <f t="array" ref="O4">_xll.ASAssetStatistic($A4,"Annualized Return Last 3 years",,,,"m",'PBA Summary'!$F$2,'PBA Summary'!$G$2)</f>
        <v/>
      </c>
      <c r="P4" s="19" t="str" cm="1">
        <f t="array" ref="P4">_xll.ASAssetStatistic($A4,"Annualized Return Last 5 years",,,,"m",'PBA Summary'!$F$2,'PBA Summary'!$G$2)</f>
        <v/>
      </c>
      <c r="Q4" s="19" cm="1">
        <f t="array" ref="Q4">_xll.ASAssetStatistic($A4,"Annualized Volatility Last 1 year",,,,"m",'PBA Summary'!$F$2,'PBA Summary'!$G$2)</f>
        <v>0.27388341132624888</v>
      </c>
      <c r="R4" s="19" t="str" cm="1">
        <f t="array" ref="R4">_xll.ASAssetStatistic($A4,"Annualized Volatility Last 3 years",,,,"m",'PBA Summary'!$F$2,'PBA Summary'!$G$2)</f>
        <v/>
      </c>
      <c r="S4" s="19" t="str" cm="1">
        <f t="array" ref="S4">_xll.ASAssetStatistic($A4,"Annualized Volatility Last 5 years",,,,"m",'PBA Summary'!$F$2,'PBA Summary'!$G$2)</f>
        <v/>
      </c>
      <c r="T4" s="19" cm="1">
        <f t="array" ref="T4">_xll.ASAssetStatistic($A4,"Normal monthly VaR 99%",,,,"m",'PBA Summary'!$F$2,'PBA Summary'!$G$2)</f>
        <v>-0.18781841771728433</v>
      </c>
      <c r="U4" s="19" cm="1">
        <f t="array" ref="U4">_xll.ASAssetStatistic($A4,"Modified monthly VaR 99%",,,,"m",'PBA Summary'!$F$2,'PBA Summary'!$G$2)</f>
        <v>-0.16456510335512461</v>
      </c>
      <c r="V4" s="19" cm="1">
        <f t="array" ref="V4">_xll.ASAssetStatistic($A4,"Conditional monthly VaR 99%",,,,"m",'PBA Summary'!$F$2,'PBA Summary'!$G$2)</f>
        <v>-0.13735769965956235</v>
      </c>
      <c r="W4" s="19" cm="1">
        <f t="array" ref="W4">_xll.ASAssetStatistic($A4,"Normal monthly VaR 97%",,,,"m",'PBA Summary'!$F$2,'PBA Summary'!$G$2)</f>
        <v>-0.14866840966369219</v>
      </c>
      <c r="X4" s="19" cm="1">
        <f t="array" ref="X4">_xll.ASAssetStatistic($A4,"Modified monthly VaR 97%",,,,"m",'PBA Summary'!$F$2,'PBA Summary'!$G$2)</f>
        <v>-0.14554719245614467</v>
      </c>
      <c r="Y4" s="19" cm="1">
        <f t="array" ref="Y4">_xll.ASAssetStatistic($A4,"Conditional monthly VaR 97%",,,,"m",'PBA Summary'!$F$2,'PBA Summary'!$G$2)</f>
        <v>-0.13735769965956235</v>
      </c>
      <c r="Z4" s="19" cm="1">
        <f t="array" ref="Z4">_xll.ASAssetStatistic($A4,"Normal monthly VaR 95%",,,,"m",'PBA Summary'!$F$2,'PBA Summary'!$G$2)</f>
        <v>-0.1279368111328307</v>
      </c>
      <c r="AA4" s="19" cm="1">
        <f t="array" ref="AA4">_xll.ASAssetStatistic($A4,"Modified monthly VaR 95%",,,,"m",'PBA Summary'!$F$2,'PBA Summary'!$G$2)</f>
        <v>-0.13122166681672534</v>
      </c>
      <c r="AB4" s="19" cm="1">
        <f t="array" ref="AB4">_xll.ASAssetStatistic($A4,"Conditional monthly VaR 95%",,,,"m",'PBA Summary'!$F$2,'PBA Summary'!$G$2)</f>
        <v>-0.13735769965956235</v>
      </c>
      <c r="AC4" s="66" cm="1">
        <f t="array" ref="AC4">_xll.ASAssetStatistic($A4,"Correlation to Benchmark 1","MSCI ACWI Index",,,"m",'PBA Summary'!$F$2,'PBA Summary'!$G$2)</f>
        <v>0.75638554294524929</v>
      </c>
      <c r="AD4" s="38" cm="1">
        <f t="array" ref="AD4">IF('PBA Summary'!$D$3="","",_xll.ASAssetStatistic($A4,"Correlation to Benchmark 1",'PBA Summary'!$D$3,,,"m",'PBA Summary'!$F$2,'PBA Summary'!$G$2))</f>
        <v>0.74785794768461611</v>
      </c>
      <c r="AE4" s="21" cm="1">
        <f t="array" ref="AE4">IF('PBA Summary'!$D$2="","",_xll.ASAssetStatistic($A4,"Bull correlation to Benchmark 1",'PBA Summary'!$D$2,,,"m",'PBA Summary'!$F$2,'PBA Summary'!$G$2))</f>
        <v>0.56687257768661903</v>
      </c>
      <c r="AF4" s="21" cm="1">
        <f t="array" ref="AF4">IF('PBA Summary'!$D$2="","",_xll.ASAssetStatistic($A4,"Bear correlation to Benchmark 1",'PBA Summary'!$D$2,,,"m",'PBA Summary'!$F$2,'PBA Summary'!$G$2))</f>
        <v>0.76119936650306785</v>
      </c>
      <c r="AG4" s="21" cm="1">
        <f t="array" ref="AG4">IF('PBA Summary'!$D$3="","",_xll.ASAssetStatistic($A4,"Bull correlation to Benchmark 1",'PBA Summary'!$D$3,,,"m",'PBA Summary'!$F$2,'PBA Summary'!$G$2))</f>
        <v>0.56687257768661903</v>
      </c>
      <c r="AH4" s="21" cm="1">
        <f t="array" ref="AH4">IF('PBA Summary'!$D$3="","",_xll.ASAssetStatistic($A4,"Bear correlation to Benchmark 1",'PBA Summary'!$D$3,,,"m",'PBA Summary'!$F$2,'PBA Summary'!$G$2))</f>
        <v>0.76119936650306785</v>
      </c>
      <c r="AI4" s="24" cm="1">
        <f t="array" ref="AI4">IF('PBA Summary'!$D$2="","",_xll.ASAssetStatistic($A4,"Beta to Benchmark 1",'PBA Summary'!$D$2,,,"m",'PBA Summary'!$F$2,'PBA Summary'!$G$2))</f>
        <v>1.482739026100659</v>
      </c>
      <c r="AJ4" s="24" t="str" cm="1">
        <f t="array" ref="AJ4">IF('PBA Summary'!$D$2="","",_xll.ASAssetStatistic($A4,"Beta to Benchmark 1 Last 3 years",'PBA Summary'!$D$2,,,"m",'PBA Summary'!$F$2,'PBA Summary'!$G$2))</f>
        <v/>
      </c>
      <c r="AK4" s="24" t="str" cm="1">
        <f t="array" ref="AK4">IF('PBA Summary'!$D$2="","",_xll.ASAssetStatistic($A4,"Beta to Benchmark 1 Last 5 years",'PBA Summary'!$D$2,,,"m",'PBA Summary'!$F$2,'PBA Summary'!$G$2))</f>
        <v/>
      </c>
      <c r="AL4" s="25" cm="1">
        <f t="array" ref="AL4">IF('PBA Summary'!$D$3="","",_xll.ASAssetStatistic($A4,"Beta to Benchmark 1",'PBA Summary'!$D$3,,,"m",'PBA Summary'!$F$2,'PBA Summary'!$G$2))</f>
        <v>1.482739026100659</v>
      </c>
      <c r="AM4" s="25" t="str" cm="1">
        <f t="array" ref="AM4">IF('PBA Summary'!$D$3="","",_xll.ASAssetStatistic($A4,"Beta to Benchmark 1 Last 3 years",'PBA Summary'!$D$3,,,"m",'PBA Summary'!$F$2,'PBA Summary'!$G$2))</f>
        <v/>
      </c>
      <c r="AN4" s="25" t="str" cm="1">
        <f t="array" ref="AN4">IF('PBA Summary'!$D$3="","",_xll.ASAssetStatistic($A4,"Beta to Benchmark 1 Last 5 years",'PBA Summary'!$D$3,,,"m",'PBA Summary'!$F$2,'PBA Summary'!$G$2))</f>
        <v/>
      </c>
      <c r="AO4" s="25" cm="1">
        <f t="array" ref="AO4">IF('PBA Summary'!$D$2="","",_xll.ASAssetStatistic($A4,"Bull Beta to Benchmark 1",'PBA Summary'!$D$2,,,"m",'PBA Summary'!$F$2,'PBA Summary'!$G$2))</f>
        <v>2.0437314980816805</v>
      </c>
      <c r="AP4" s="25" cm="1">
        <f t="array" ref="AP4">IF('PBA Summary'!$D$2="","",_xll.ASAssetStatistic($A4,"Bear Beta to Benchmark 1",'PBA Summary'!$D$2,,,"m",'PBA Summary'!$F$2,'PBA Summary'!$G$2))</f>
        <v>0.87470811079845601</v>
      </c>
      <c r="AQ4" s="25" cm="1">
        <f t="array" ref="AQ4">IF('PBA Summary'!$D$3="","",_xll.ASAssetStatistic($A4,"Bull Beta to Benchmark 1",'PBA Summary'!$D$3,,,"m",'PBA Summary'!$F$2,'PBA Summary'!$G$2))</f>
        <v>2.0437314980816805</v>
      </c>
      <c r="AR4" s="25" cm="1">
        <f t="array" ref="AR4">IF('PBA Summary'!$D$3="","",_xll.ASAssetStatistic($A4,"Bear Beta to Benchmark 1",'PBA Summary'!$D$3,,,"m",'PBA Summary'!$F$2,'PBA Summary'!$G$2))</f>
        <v>0.87470811079845601</v>
      </c>
      <c r="AS4" s="25" cm="1">
        <f t="array" ref="AS4">_xll.ASAssetStatistic($A4,"Annual Sharpe Ratio (Rf)",,,'PBA Summary'!$H$2,"m",'PBA Summary'!$F$2,'PBA Summary'!$G$2)</f>
        <v>0.54374457195412296</v>
      </c>
      <c r="AT4" s="25" t="str" cm="1">
        <f t="array" ref="AT4">_xll.ASAssetStatistic($A4,"Annual Sharpe Ratio (Rf) Last 3 years",,,'PBA Summary'!$H$2,"m",'PBA Summary'!$F$2,'PBA Summary'!$G$2)</f>
        <v/>
      </c>
      <c r="AU4" s="25" t="str" cm="1">
        <f t="array" ref="AU4">_xll.ASAssetStatistic($A4,"Annual Sharpe Ratio (Rf) Last 5 years",,,'PBA Summary'!$H$2,"m",'PBA Summary'!$F$2,'PBA Summary'!$G$2)</f>
        <v/>
      </c>
      <c r="AV4" s="18" cm="1">
        <f t="array" ref="AV4">_xll.ASAssetStatistic($A4,"Ann. Downside Deviation (vs 0%)",,,'PBA Summary'!$H$2,"m",'PBA Summary'!$F$2,'PBA Summary'!$G$2)</f>
        <v>0.17117652341315259</v>
      </c>
      <c r="AW4" s="18" cm="1">
        <f t="array" ref="AW4">_xll.ASAssetStatistic($A4,"Ann. Downside Deviation (vs Rf)",,,'PBA Summary'!$H$2,"m",'PBA Summary'!$F$2,'PBA Summary'!$G$2)</f>
        <v>0.17160794019388176</v>
      </c>
      <c r="AX4" s="39" cm="1">
        <f t="array" ref="AX4">_xll.ASAssetStatistic($A4,"Annual Treynor ratio",,,'PBA Summary'!$H$2,"m",'PBA Summary'!$F$2,'PBA Summary'!$G$2)</f>
        <v>3.9014321202131948E-2</v>
      </c>
      <c r="AY4" s="26" cm="1">
        <f t="array" ref="AY4">_xll.ASAssetStatistic($A4,"Annual Sortino Ratio (vs 0%)",,,'PBA Summary'!$H$2,"m",'PBA Summary'!$F$2,'PBA Summary'!$G$2)</f>
        <v>0.98148487029809595</v>
      </c>
      <c r="AZ4" s="26" cm="1">
        <f t="array" ref="AZ4">_xll.ASAssetStatistic($A4,"Annual Sortino Ratio (vs Rf)",,,'PBA Summary'!$H$2,"m",'PBA Summary'!$F$2,'PBA Summary'!$G$2)</f>
        <v>0.96444935877237337</v>
      </c>
      <c r="BA4" s="26" cm="1">
        <f t="array" ref="BA4">_xll.ASAssetStatistic($A4,"Sterling ratio",,,'PBA Summary'!$H$2,"m",'PBA Summary'!$F$2,'PBA Summary'!$G$2)</f>
        <v>0.73785947611072178</v>
      </c>
      <c r="BB4" s="26" cm="1">
        <f t="array" ref="BB4">_xll.ASAssetStatistic($A4,"Calmar ratio",,,'PBA Summary'!$H$2,"m",'PBA Summary'!$F$2,'PBA Summary'!$G$2)</f>
        <v>1.1920381165754821</v>
      </c>
      <c r="BC4" s="26" cm="1">
        <f t="array" ref="BC4">_xll.ASAssetStatistic($A4,"Hurst index",,,'PBA Summary'!$H$2,"m",'PBA Summary'!$F$2,'PBA Summary'!$G$2)</f>
        <v>0.3987758241013466</v>
      </c>
      <c r="BD4" s="26" cm="1">
        <f t="array" ref="BD4">_xll.ASAssetStatistic($A4,"Omega (Threshold 1)",,,'PBA Summary'!$H$2,"m",'PBA Summary'!$F$2,'PBA Summary'!$G$2)</f>
        <v>1.5614403548805926</v>
      </c>
      <c r="BE4" s="26" cm="1">
        <f t="array" ref="BE4">_xll.ASAssetStatistic($A4,"Omega (Threshold 2)",,,'PBA Summary'!$H$2,"m",'PBA Summary'!$F$2,'PBA Summary'!$G$2)</f>
        <v>1.3598002882563422</v>
      </c>
      <c r="BF4" s="26" cm="1">
        <f t="array" ref="BF4">_xll.ASAssetStatistic($A4,"Omega (Threshold 3)",,,'PBA Summary'!$H$2,"m",'PBA Summary'!$F$2,'PBA Summary'!$G$2)</f>
        <v>1.1889846924380572</v>
      </c>
      <c r="BG4" s="26" cm="1">
        <f t="array" ref="BG4">_xll.ASAssetStatistic($A4,"Omega (Threshold 4)",,,'PBA Summary'!$H$2,"m",'PBA Summary'!$F$2,'PBA Summary'!$G$2)</f>
        <v>1.0424273067254803</v>
      </c>
      <c r="BH4" s="26" cm="1">
        <f t="array" ref="BH4">_xll.ASAssetStatistic($A4,"Omega (Threshold 5)",,,'PBA Summary'!$H$2,"m",'PBA Summary'!$F$2,'PBA Summary'!$G$2)</f>
        <v>0.91530322429105193</v>
      </c>
      <c r="BI4" s="26" t="str" cm="1">
        <f t="array" ref="BI4">_xll.ASAssetStatistic($A4,"Autocorrelated (illiquid)",,,'PBA Summary'!$H$2,"m",'PBA Summary'!$F$2,'PBA Summary'!$G$2)</f>
        <v>No</v>
      </c>
      <c r="BJ4" s="27" cm="1">
        <f t="array" ref="BJ4">_xll.ASAssetStatistic($A4,"% months in Run Up",,,'PBA Summary'!$H$2,"m",'PBA Summary'!$F$2,'PBA Summary'!$G$2)</f>
        <v>0.4</v>
      </c>
      <c r="BK4" s="27" cm="1">
        <f t="array" ref="BK4">_xll.ASAssetStatistic($A4,"% months in Drawdown",,,'PBA Summary'!$H$2,"m",'PBA Summary'!$F$2,'PBA Summary'!$G$2)</f>
        <v>0.6</v>
      </c>
      <c r="BL4" s="18" cm="1">
        <f t="array" ref="BL4">IF('PBA Summary'!$D$2="","",_xll.ASAssetStatistic($A4,"Bull Beta to Benchmark 1",'PBA Summary'!$D$2,,,"m",'PBA Summary'!$F$2,'PBA Summary'!$G$2))</f>
        <v>2.0437314980816805</v>
      </c>
      <c r="BM4" s="18" cm="1">
        <f t="array" ref="BM4">IF('PBA Summary'!$D$2="","",_xll.ASAssetStatistic($A4,"Average return during bear Benchmark 1",'PBA Summary'!$D$2,,,"m",'PBA Summary'!$F$2,'PBA Summary'!$G$2))</f>
        <v>-6.9380568747605231E-2</v>
      </c>
      <c r="BN4" s="18" cm="1">
        <f t="array" ref="BN4">IF('PBA Summary'!$D$3="","",_xll.ASAssetStatistic($A4,"Average return during bull Benchmark 1",'PBA Summary'!$D$3,,,"m",'PBA Summary'!$F$2,'PBA Summary'!$G$2))</f>
        <v>4.7856602055555843E-2</v>
      </c>
      <c r="BO4" s="18" cm="1">
        <f t="array" ref="BO4">IF('PBA Summary'!$D$3="","",_xll.ASAssetStatistic($A4,"Average return during bear Benchmark 1",'PBA Summary'!$D$3,,,"m",'PBA Summary'!$F$2,'PBA Summary'!$G$2))</f>
        <v>-6.9380568747605231E-2</v>
      </c>
      <c r="BP4" s="27" cm="1">
        <f t="array" ref="BP4">_xll.ASAssetStatistic($A4,"Maximum consecutive gain",,,'PBA Summary'!$H$2,"m",'PBA Summary'!$F$2,'PBA Summary'!$G$2)</f>
        <v>0.34016719564553188</v>
      </c>
      <c r="BQ4" s="27" cm="1">
        <f t="array" ref="BQ4">_xll.ASAssetStatistic($A4,"Maximum consecutive loss",,,'PBA Summary'!$H$2,"m",'PBA Summary'!$F$2,'PBA Summary'!$G$2)</f>
        <v>-0.14094110376511482</v>
      </c>
      <c r="BR4" s="27" cm="1">
        <f t="array" ref="BR4">_xll.ASAssetStatistic($A4,"Max monthly gain",,,'PBA Summary'!$H$2,"m",'PBA Summary'!$F$2,'PBA Summary'!$G$2)</f>
        <v>0.13894704694684368</v>
      </c>
      <c r="BS4" s="27" cm="1">
        <f t="array" ref="BS4">_xll.ASAssetStatistic($A4,"Max monthly loss",,,'PBA Summary'!$H$2,"m",'PBA Summary'!$F$2,'PBA Summary'!$G$2)</f>
        <v>-0.13735769965956235</v>
      </c>
      <c r="BT4" s="27" cm="1">
        <f t="array" ref="BT4">_xll.ASAssetStatistic($A4,"Max drawdown",,,'PBA Summary'!$H$2,"m",'PBA Summary'!$F$2,'PBA Summary'!$G$2)</f>
        <v>-0.14094110376511482</v>
      </c>
      <c r="BU4" s="28" cm="1">
        <f t="array" ref="BU4">_xll.ASAssetStatistic($A4,"Date Max drawdown",,,'PBA Summary'!$H$2,"m",'PBA Summary'!$F$2,'PBA Summary'!$G$2)</f>
        <v>43465</v>
      </c>
      <c r="BV4" s="28" cm="1">
        <f t="array" ref="BV4">_xll.ASAssetStatistic($A4,"Start Date Max Drawdown",,,'PBA Summary'!$H$2,"m",'PBA Summary'!$F$2,'PBA Summary'!$G$2)</f>
        <v>43434</v>
      </c>
      <c r="BW4" s="28" cm="1">
        <f t="array" ref="BW4">_xll.ASAssetStatistic($A4,"End Date Max Drawdown",,,'PBA Summary'!$H$2,"m",'PBA Summary'!$F$2,'PBA Summary'!$G$2)</f>
        <v>43496</v>
      </c>
      <c r="BX4" s="29" cm="1">
        <f t="array" ref="BX4">_xll.ASAssetStatistic($A4,"Max Time-under-water (months)",,,'PBA Summary'!$H$2,"m",'PBA Summary'!$F$2,'PBA Summary'!$G$2)</f>
        <v>7</v>
      </c>
      <c r="BY4" s="27" cm="1">
        <f t="array" ref="BY4">_xll.ASAssetStatistic($A4,"Max possible drawdown 99%",,,'PBA Summary'!$H$2,"m",'PBA Summary'!$F$2,'PBA Summary'!$G$2)</f>
        <v>-0.62953166560493812</v>
      </c>
      <c r="BZ4" s="27" cm="1">
        <f t="array" ref="BZ4">_xll.ASAssetStatistic($A4,"Max possible drawdown 99.9%",,,'PBA Summary'!$H$2,"m",'PBA Summary'!$F$2,'PBA Summary'!$G$2)</f>
        <v>-1</v>
      </c>
      <c r="CA4" s="30" cm="1">
        <f t="array" ref="CA4">_xll.ASAssetStatistic($A4,"Max Possible Time-under-water 99% (months)",,,'PBA Summary'!$H$2,"m",'PBA Summary'!$F$2,'PBA Summary'!$G$2)</f>
        <v>151.75511122169269</v>
      </c>
      <c r="CB4" s="30" cm="1">
        <f t="array" ref="CB4">_xll.ASAssetStatistic($A4,"Max Possible Time-under-water 99.9% (months)",,,'PBA Summary'!$H$2,"m",'PBA Summary'!$F$2,'PBA Summary'!$G$2)</f>
        <v>267.77884743584286</v>
      </c>
      <c r="CC4" s="17" cm="1">
        <f t="array" ref="CC4">_xll.ASPortfolioReturnAttribution('PBA Summary'!$C$2,"OR",A4,"Last 1m",'PBA Summary'!$F$2,'PBA Summary'!$G$2)</f>
        <v>0</v>
      </c>
      <c r="CD4" s="11" t="str" cm="1">
        <f t="array" ref="CD4">_xll.ASAssetInfo($A4,"Strategy")</f>
        <v>Funds - Healthcare Index Long Only</v>
      </c>
      <c r="CE4" s="14" cm="1">
        <f t="array" ref="CE4">_xll.ASAssetInfo($A4,"Start Date")</f>
        <v>42006</v>
      </c>
      <c r="CF4" s="14" t="str" cm="1">
        <f t="array" ref="CF4">_xll.ASAssetRatings($A4,"Quantitative",0,0,0,0,0,'PBA Summary'!$F$2,'PBA Summary'!$G$2)</f>
        <v/>
      </c>
      <c r="CG4" s="14" t="str" cm="1">
        <f t="array" ref="CG4">_xll.ASAssetRatings($A4,"Qualitative",0,0,0,0,0,'PBA Summary'!$F$2,'PBA Summary'!$G$2)</f>
        <v/>
      </c>
      <c r="CH4" s="14" t="str" cm="1">
        <f t="array" ref="CH4">_xll.ASAssetRatings($A4,"Final",0,0,0,0,0,'PBA Summary'!$F$2,'PBA Summary'!$G$2)</f>
        <v/>
      </c>
      <c r="CI4" s="14" cm="1">
        <f t="array" ref="CI4">_xll.ASAssetInfo($A4,"Last Return Date")</f>
        <v>44134</v>
      </c>
      <c r="CJ4" s="14" t="str" cm="1">
        <f t="array" ref="CJ4">_xll.ASAssetInfo($A4,"Company Name")</f>
        <v>ALPS ETFs/USA</v>
      </c>
      <c r="CK4" s="14" t="str" cm="1">
        <f t="array" ref="CK4">_xll.ASAssetInfo($A4,"Manager Name")</f>
        <v>Ryan Mischker</v>
      </c>
      <c r="CL4" s="14" t="str" cm="1">
        <f t="array" ref="CL4">_xll.ASAssetInfo($A4,"Address")</f>
        <v>ALPS ETF Trust. 1290 Broadway. Suite 1100. Denver, CO  80203. USA</v>
      </c>
      <c r="CM4" s="14" t="str" cm="1">
        <f t="array" ref="CM4">_xll.ASAssetInfo($A4,"Phone Number")</f>
        <v>1-866-759-5679</v>
      </c>
      <c r="CN4" s="14" t="str" cm="1">
        <f t="array" ref="CN4">_xll.ASAssetInfo($A4,"Email")</f>
        <v/>
      </c>
      <c r="CO4" s="14" t="str" cm="1">
        <f t="array" ref="CO4">_xll.ASAssetInfo($A4,"Asset Type")</f>
        <v>Equities</v>
      </c>
      <c r="CP4" s="14" t="str" cm="1">
        <f t="array" ref="CP4">_xll.ASAssetInfo($A4,"Proprietary ID")</f>
        <v/>
      </c>
      <c r="CQ4" s="14" t="str" cm="1">
        <f t="array" ref="CQ4">_xll.ASAssetInfo($A4,"Country")</f>
        <v>United States of America</v>
      </c>
      <c r="CR4" s="14" t="str" cm="1">
        <f t="array" ref="CR4">_xll.ASAssetInfo($A4,"Currency")</f>
        <v>USD</v>
      </c>
      <c r="CS4" s="14" t="str" cm="1">
        <f t="array" ref="CS4">_xll.ASAssetInfo($A4,"Sub-Strategy")</f>
        <v>Biotech</v>
      </c>
      <c r="CT4" s="31" cm="1">
        <f t="array" ref="CT4">_xll.ASAssetInfo($A4,"Fund AUM (m)")</f>
        <v>211.72669999999999</v>
      </c>
      <c r="CU4" s="31" t="str" cm="1">
        <f t="array" ref="CU4">_xll.ASAssetInfo($A4,"Status")</f>
        <v>Unknown</v>
      </c>
      <c r="CV4" s="31" t="str" cm="1">
        <f t="array" ref="CV4">_xll.ASAssetInfo($A4,"Redemption 1 Frequency")</f>
        <v>Daily</v>
      </c>
      <c r="CW4" s="31" t="str" cm="1">
        <f t="array" ref="CW4">_xll.ASAssetInfo($A4,"Redemption 2 Frequency")</f>
        <v>Unknown</v>
      </c>
      <c r="CX4" s="31" t="str" cm="1">
        <f t="array" ref="CX4">_xll.ASAssetInfo($A4,"Redemption 3 Frequency")</f>
        <v>Unknown</v>
      </c>
      <c r="CY4" s="31" t="str" cm="1">
        <f t="array" ref="CY4">_xll.ASAssetInfo($A4,"Notice Period")</f>
        <v/>
      </c>
      <c r="CZ4" s="15" t="str" cm="1">
        <f t="array" ref="CZ4">_xll.ASAssetInfo($A4,"Performance Fee")</f>
        <v/>
      </c>
      <c r="DA4" s="15" cm="1">
        <f t="array" ref="DA4">_xll.ASAssetInfo($A4,"Management Fee")</f>
        <v>5.0000000000000001E-3</v>
      </c>
      <c r="DB4" s="15" t="str" cm="1">
        <f t="array" ref="DB4">_xll.ASAssetInfo($A4,"ISIN")</f>
        <v>US00162Q5936</v>
      </c>
      <c r="DC4" s="16" cm="1">
        <f t="array" ref="DC4">_xll.ASAssetStatistic($A4,"Return during " &amp;YEAR(EOMONTH('PBA Summary'!$G$2,-60)),,,,"M",DATE(YEAR(EOMONTH('PBA Summary'!$G$2,-60)),1,31),DATE(YEAR(EOMONTH('PBA Summary'!$G$2,-60)),12,31))</f>
        <v>0.27863440557188279</v>
      </c>
      <c r="DD4" s="16" cm="1">
        <f t="array" ref="DD4">_xll.ASAssetStatistic($A4,"Return during " &amp;YEAR(EOMONTH('PBA Summary'!$G$2,-48)),,,,"M",DATE(YEAR(EOMONTH('PBA Summary'!$G$2,-48)),1,31),DATE(YEAR(EOMONTH('PBA Summary'!$G$2,-48)),12,31))</f>
        <v>-0.27833753148614648</v>
      </c>
      <c r="DE4" s="16" cm="1">
        <f t="array" ref="DE4">_xll.ASAssetStatistic($A4,"Return during " &amp;YEAR(EOMONTH('PBA Summary'!$G$2,-36)),,,,"M",DATE(YEAR(EOMONTH('PBA Summary'!$G$2,-36)),1,31),DATE(YEAR(EOMONTH('PBA Summary'!$G$2,-36)),12,31))</f>
        <v>0.45628708551483399</v>
      </c>
      <c r="DF4" s="16" cm="1">
        <f t="array" ref="DF4">_xll.ASAssetStatistic($A4,"Return during " &amp;YEAR(EOMONTH('PBA Summary'!$G$2,-24)),,,,"M",DATE(YEAR(EOMONTH('PBA Summary'!$G$2,-24)),1,31),DATE(YEAR(EOMONTH('PBA Summary'!$G$2,-24)),12,31))</f>
        <v>-0.1171007337146226</v>
      </c>
      <c r="DG4" s="16" cm="1">
        <f t="array" ref="DG4">_xll.ASAssetStatistic($A4,"Return during " &amp;YEAR(EOMONTH('PBA Summary'!$G$2,-12)),,,,"M",DATE(YEAR(EOMONTH('PBA Summary'!$G$2,-12)),1,31),DATE(YEAR(EOMONTH('PBA Summary'!$G$2,-12)),12,31))</f>
        <v>0.50304552164102279</v>
      </c>
      <c r="DH4" s="11" t="str" cm="1">
        <f t="array" ref="DH4">_xll.ASAssetInfo($A4,"Prime Broker")</f>
        <v/>
      </c>
      <c r="DI4" s="16" cm="1">
        <f t="array" ref="DI4">_xll.ASAssetStatistic($A4,"Return",,,,"m",'PBA Summary'!$F$2,'PBA Summary'!$G$2)</f>
        <v>0.21424656895325711</v>
      </c>
      <c r="DJ4" s="33" cm="1">
        <f t="array" ref="DJ4">IF('PBA Summary'!$D$2="","",_xll.ASAssetStatistic($A4,"Ann. Information Ratio vs Benchmark 1",'PBA Summary'!$D$2,,,"m",'PBA Summary'!$F$2,'PBA Summary'!$G$2))</f>
        <v>-2.0002604777374925E-2</v>
      </c>
      <c r="DK4" s="33" cm="1">
        <f t="array" ref="DK4">IF('PBA Summary'!$D$3="","",_xll.ASAssetStatistic($A4,"Ann. Information Ratio vs Benchmark 1",'PBA Summary'!$D$3,,,"m",'PBA Summary'!$F$2,'PBA Summary'!$G$2))</f>
        <v>-2.0002604777374925E-2</v>
      </c>
      <c r="DL4" s="33" cm="1">
        <f t="array" ref="DL4">IF('PBA Summary'!$D$2="","",_xll.ASAssetStatistic($A4,"Ann. Tracking Error vs Benchmark 1",'PBA Summary'!$D$2,,,"m",'PBA Summary'!$F$2,'PBA Summary'!$G$2))</f>
        <v>0.21523028597254448</v>
      </c>
      <c r="DM4" s="33" cm="1">
        <f t="array" ref="DM4">IF('PBA Summary'!$D$3="","",_xll.ASAssetStatistic($A4,"Ann. Tracking Error vs Benchmark 1",'PBA Summary'!$D$3,,,"m",'PBA Summary'!$F$2,'PBA Summary'!$G$2))</f>
        <v>0.21523028597254448</v>
      </c>
      <c r="DN4" s="33" cm="1">
        <f t="array" ref="DN4">IF('PBA Summary'!$D$2="","",_xll.ASAssetStatistic($A4,"R² vs Benchmark 1",'PBA Summary'!$D$2,,,"m",'PBA Summary'!$F$2,'PBA Summary'!$G$2))</f>
        <v>0.55929150991504606</v>
      </c>
      <c r="DO4" s="33" cm="1">
        <f t="array" ref="DO4">IF('PBA Summary'!$D$3="","",_xll.ASAssetStatistic($A4,"R² vs Benchmark 1",'PBA Summary'!$D$3,,,"m",'PBA Summary'!$F$2,'PBA Summary'!$G$2))</f>
        <v>0.55929150991504606</v>
      </c>
      <c r="DP4" s="11" t="str" cm="1">
        <f t="array" ref="DP4">_xll.ASAssetInfo($A4,"On-/Offshore")</f>
        <v>Unknown</v>
      </c>
      <c r="DQ4" s="16" cm="1">
        <f t="array" ref="DQ4">_xll.ASAssetStatistic($A4,"Quarter-to-date",,,,"m",'PBA Summary'!$F$2,'PBA Summary'!$G$2)</f>
        <v>-5.9601751930283831E-2</v>
      </c>
      <c r="DR4" s="16" cm="1">
        <f t="array" ref="DR4">_xll.ASAssetStatistic($A4,"Annualized Return Since inception",,,,"m",'PBA Summary'!$F$2,'PBA Summary'!$G$2)</f>
        <v>0.11033261360754398</v>
      </c>
      <c r="DS4" s="16" cm="1">
        <f t="array" ref="DS4">IF('PBA Summary'!$D$2="","",_xll.ASAssetStatistic($A4,"Ann. Bear Market Return vs Benchmark 1",'PBA Summary'!$D$2,,,"m",'PBA Summary'!$F$2,'PBA Summary'!$G$2))</f>
        <v>-0.58317072782530299</v>
      </c>
      <c r="DT4" s="16" cm="1">
        <f t="array" ref="DT4">IF('PBA Summary'!$D$2="","",_xll.ASAssetStatistic($A4,"Ann. Bull Market Return vs Benchmark 1",'PBA Summary'!$D$2,,,"m",'PBA Summary'!$F$2,'PBA Summary'!$G$2))</f>
        <v>0.69890135128334552</v>
      </c>
      <c r="DU4" s="16" cm="1">
        <f t="array" ref="DU4">IF('PBA Summary'!$D$3="","",_xll.ASAssetStatistic($A4,"Ann. Bear Market Return vs Benchmark 1",'PBA Summary'!$D$3,,,"m",'PBA Summary'!$F$2,'PBA Summary'!$G$2))</f>
        <v>-0.58317072782530299</v>
      </c>
      <c r="DV4" s="16" cm="1">
        <f t="array" ref="DV4">IF('PBA Summary'!$D$3="","",_xll.ASAssetStatistic($A4,"Ann. Bull Market Return vs Benchmark 1",'PBA Summary'!$D$3,,,"m",'PBA Summary'!$F$2,'PBA Summary'!$G$2))</f>
        <v>0.69890135128334552</v>
      </c>
      <c r="DW4" s="17" cm="1">
        <f t="array" ref="DW4">_xll.ASAssetStatistic($A4,"Average Positive Return",,,,"m",'PBA Summary'!$F$2,'PBA Summary'!$G$2)</f>
        <v>9.8889285068380711E-2</v>
      </c>
      <c r="DX4" s="17" cm="1">
        <f t="array" ref="DX4">_xll.ASAssetStatistic($A4,"Average Negative Return",,,,"m",'PBA Summary'!$F$2,'PBA Summary'!$G$2)</f>
        <v>-5.5415580982246457E-2</v>
      </c>
      <c r="DY4" s="16" cm="1">
        <f t="array" ref="DY4">IF('PBA Summary'!$D$2="","",_xll.ASAssetStatistic($A4,"Outperformance vs Benchmark 1",'PBA Summary'!$D$2,,,"m",'PBA Summary'!$F$2,'PBA Summary'!$G$2))</f>
        <v>-5.5970758554615418E-3</v>
      </c>
      <c r="DZ4" s="16" cm="1">
        <f t="array" ref="DZ4">IF('PBA Summary'!$D$3="","",_xll.ASAssetStatistic($A4,"Outperformance vs Benchmark 1",'PBA Summary'!$D$3,,,"m",'PBA Summary'!$F$2,'PBA Summary'!$G$2))</f>
        <v>-5.5970758554615418E-3</v>
      </c>
      <c r="EA4" s="16" cm="1">
        <f t="array" ref="EA4">IF('PBA Summary'!$D$2="","",_xll.ASAssetStatistic($A4,"Annual Outperformance vs Benchmark 1",'PBA Summary'!$D$2,,,"m",'PBA Summary'!$F$2,'PBA Summary'!$G$2))</f>
        <v>-4.3051663464301893E-3</v>
      </c>
      <c r="EB4" s="16" cm="1">
        <f t="array" ref="EB4">IF('PBA Summary'!$D$3="","",_xll.ASAssetStatistic($A4,"Annual Outperformance vs Benchmark 1",'PBA Summary'!$D$3,,,"m",'PBA Summary'!$F$2,'PBA Summary'!$G$2))</f>
        <v>-4.3051663464301893E-3</v>
      </c>
      <c r="EC4" s="32" cm="1">
        <f t="array" ref="EC4">_xll.ASAssetStatistic($A4,"Rachev Ratio 99%",,,,"m",'PBA Summary'!$F$2,'PBA Summary'!$G$2)</f>
        <v>-1.0115708641832273</v>
      </c>
      <c r="ED4" s="32" cm="1">
        <f t="array" ref="ED4">_xll.ASAssetStatistic($A4,"Rachev Ratio 97%",,,,"m",'PBA Summary'!$F$2,'PBA Summary'!$G$2)</f>
        <v>-1.0115708641832273</v>
      </c>
      <c r="EE4" s="32" cm="1">
        <f t="array" ref="EE4">_xll.ASAssetStatistic($A4,"Rachev Ratio 95%",,,,"m",'PBA Summary'!$F$2,'PBA Summary'!$G$2)</f>
        <v>-1.0115708641832273</v>
      </c>
      <c r="EF4" s="32" cm="1">
        <f t="array" ref="EF4">_xll.ASAssetStatistic($A4,"Rachev Ratio 90%",,,,"m",'PBA Summary'!$F$2,'PBA Summary'!$G$2)</f>
        <v>-1.2391559124312705</v>
      </c>
      <c r="EG4" s="34" cm="1">
        <f t="array" ref="EG4">IF('PBA Summary'!$D$2="","",_xll.ASAssetStatistic($A4,"Annual Up Capture vs Benchmark 1",'PBA Summary'!$D$2,,,"m",'PBA Summary'!$F$2,'PBA Summary'!$G$2))</f>
        <v>1.3806607865627003</v>
      </c>
      <c r="EH4" s="34" cm="1">
        <f t="array" ref="EH4">IF('PBA Summary'!$D$3="","",_xll.ASAssetStatistic($A4,"Annual Up Capture vs Benchmark 1",'PBA Summary'!$D$3,,,"m",'PBA Summary'!$F$2,'PBA Summary'!$G$2))</f>
        <v>1.3806607865627003</v>
      </c>
      <c r="EI4" s="34" cm="1">
        <f t="array" ref="EI4">IF('PBA Summary'!$D$2="","",_xll.ASAssetStatistic($A4,"Annual Down Capture vs Benchmark 1",'PBA Summary'!$D$2,,,"m",'PBA Summary'!$F$2,'PBA Summary'!$G$2))</f>
        <v>1.4171012910991756</v>
      </c>
      <c r="EJ4" s="34" cm="1">
        <f t="array" ref="EJ4">IF('PBA Summary'!$D$3="","",_xll.ASAssetStatistic($A4,"Annual Down Capture vs Benchmark 1",'PBA Summary'!$D$3,,,"m",'PBA Summary'!$F$2,'PBA Summary'!$G$2))</f>
        <v>1.4171012910991756</v>
      </c>
      <c r="EK4" s="16" cm="1">
        <f t="array" ref="EK4">IF('PBA Summary'!$D$2="","",_xll.ASAssetStatistic($A4,"Ann. Tracking Error vs Benchmark 1",'PBA Summary'!$D$2,,,"m",'PBA Summary'!$F$2,'PBA Summary'!$G$2))</f>
        <v>0.21523028597254448</v>
      </c>
      <c r="EL4" s="16" cm="1">
        <f t="array" ref="EL4">IF('PBA Summary'!$D$3="","",_xll.ASAssetStatistic($A4,"Ann. Tracking Error vs Benchmark 1",'PBA Summary'!$D$3,,,"m",'PBA Summary'!$F$2,'PBA Summary'!$G$2))</f>
        <v>0.21523028597254448</v>
      </c>
      <c r="EM4" s="16" cm="1">
        <f t="array" ref="EM4">IF('PBA Summary'!$D$2="","",_xll.ASAssetStatistic($A4,"Annual Jensen Alpha vs Benchmark 1 (Rf)",'PBA Summary'!$D$2,,,"m",'PBA Summary'!$F$2,'PBA Summary'!$G$2))</f>
        <v>-8.6280207190891134E-2</v>
      </c>
      <c r="EN4" s="16" cm="1">
        <f t="array" ref="EN4">IF('PBA Summary'!$D$3="","",_xll.ASAssetStatistic($A4,"Annual Jensen Alpha vs Benchmark 1 (Rf)",'PBA Summary'!$D$3,,,"m",'PBA Summary'!$F$2,'PBA Summary'!$G$2))</f>
        <v>-8.6280207190891134E-2</v>
      </c>
      <c r="EO4" s="33" cm="1">
        <f t="array" ref="EO4">IF('PBA Summary'!$D$2="","",_xll.ASAssetStatistic($A4,"Ann. Information Ratio vs Benchmark 1",'PBA Summary'!$D$2,,,"m",'PBA Summary'!$F$2,'PBA Summary'!$G$2))</f>
        <v>-2.0002604777374925E-2</v>
      </c>
      <c r="EP4" s="33" cm="1">
        <f t="array" ref="EP4">IF('PBA Summary'!$D$3="","",_xll.ASAssetStatistic($A4,"Ann. Information Ratio vs Benchmark 1",'PBA Summary'!$D$3,,,"m",'PBA Summary'!$F$2,'PBA Summary'!$G$2))</f>
        <v>-2.0002604777374925E-2</v>
      </c>
      <c r="EQ4" s="17" cm="1">
        <f t="array" ref="EQ4">IF('PBA Summary'!$D$2="","",_xll.ASAssetStatistic($A4,"Alpha Monthly vs Benchmark 1",'PBA Summary'!$D$2,,,"m",'PBA Summary'!$F$2,'PBA Summary'!$G$2))</f>
        <v>-4.5615883097021061E-3</v>
      </c>
      <c r="ER4" s="17" cm="1">
        <f t="array" ref="ER4">IF('PBA Summary'!$D$3="","",_xll.ASAssetStatistic($A4,"Alpha Monthly vs Benchmark 1",'PBA Summary'!$D$3,,,"m",'PBA Summary'!$F$2,'PBA Summary'!$G$2))</f>
        <v>-4.5615883097021061E-3</v>
      </c>
      <c r="ES4" s="11" t="str" cm="1">
        <f t="array" ref="ES4">_xll.ASAssetInfo($A4,"Company AUM (m)")</f>
        <v/>
      </c>
      <c r="ET4" s="16" cm="1">
        <f t="array" ref="ET4">_xll.ASAssetStatistic($A4,"Exponential Annualized Volatility",,,,"m",'PBA Summary'!$F$2,'PBA Summary'!$G$2)</f>
        <v>0.29928759793541121</v>
      </c>
      <c r="EU4" s="16" cm="1">
        <f t="array" ref="EU4">_xll.ASAssetStatistic($A4,"Exponential Annualized Volatility Last 1 year",,,,"m",'PBA Summary'!$F$2,'PBA Summary'!$G$2)</f>
        <v>0.28525802005709788</v>
      </c>
      <c r="EV4" s="16" t="str" cm="1">
        <f t="array" ref="EV4">_xll.ASAssetStatistic($A4,"Exponential Annualized Volatility Last 3 years",,,,"m",'PBA Summary'!$F$2,'PBA Summary'!$G$2)</f>
        <v/>
      </c>
      <c r="EW4" s="34" cm="1">
        <f t="array" ref="EW4">IF('PBA Summary'!$D$2="","",_xll.ASAssetStatistic($A4,"Exponential Correlation to Benchmark 1",'PBA Summary'!$D$2,,,"m",'PBA Summary'!$F$2,'PBA Summary'!$G$2))</f>
        <v>0.63410436769745671</v>
      </c>
      <c r="EX4" s="34" cm="1">
        <f t="array" ref="EX4">IF('PBA Summary'!$D$3="","",_xll.ASAssetStatistic($A4,"Exponential Correlation to Benchmark 1",'PBA Summary'!$D$3,,,"m",'PBA Summary'!$F$2,'PBA Summary'!$G$2))</f>
        <v>0.63410436769745671</v>
      </c>
      <c r="EY4" s="34" cm="1">
        <f t="array" ref="EY4">_xll.ASAssetStatistic($A4,"Exponential Annual Sharpe Ratio (Rf)",,,,"m",'PBA Summary'!$F$2,'PBA Summary'!$G$2)</f>
        <v>0.91263421104183085</v>
      </c>
      <c r="EZ4" s="34" cm="1">
        <f t="array" ref="EZ4">_xll.ASAssetStatistic($A4,"Exponential Normal Monthly VaR 99%",,,,"m",'PBA Summary'!$F$2,'PBA Summary'!$G$2)</f>
        <v>-0.18049468796874127</v>
      </c>
      <c r="FA4" s="34" cm="1">
        <f t="array" ref="FA4">_xll.ASAssetStatistic($A4,"Exponential Normal Monthly VaR 97%",,,,"m",'PBA Summary'!$F$2,'PBA Summary'!$G$2)</f>
        <v>-0.14200018613159807</v>
      </c>
      <c r="FB4" s="34" cm="1">
        <f t="array" ref="FB4">_xll.ASAssetStatistic($A4,"Exponential Normal Monthly VaR 95%",,,,"m",'PBA Summary'!$F$2,'PBA Summary'!$G$2)</f>
        <v>-0.12161570609162681</v>
      </c>
      <c r="FC4" s="34" cm="1">
        <f t="array" ref="FC4">_xll.ASAssetStatistic($A4,"Exponential Normal Monthly VaR 90%",,,,"m",'PBA Summary'!$F$2,'PBA Summary'!$G$2)</f>
        <v>-9.0227538721391609E-2</v>
      </c>
      <c r="FD4" s="34" t="str" cm="1">
        <f t="array" ref="FD4">_xll.ASAssetStatistic($A4,"Exponential Normal weekly VaR 99%",,,,"m",'PBA Summary'!$F$2,'PBA Summary'!$G$2)</f>
        <v/>
      </c>
      <c r="FE4" s="34" t="str" cm="1">
        <f t="array" ref="FE4">_xll.ASAssetStatistic($A4,"Exponential Normal weekly VaR 97%",,,,"m",'PBA Summary'!$F$2,'PBA Summary'!$G$2)</f>
        <v/>
      </c>
      <c r="FF4" s="34" t="str" cm="1">
        <f t="array" ref="FF4">_xll.ASAssetStatistic($A4,"Exponential Normal weekly VaR 95%",,,,"m",'PBA Summary'!$F$2,'PBA Summary'!$G$2)</f>
        <v/>
      </c>
      <c r="FG4" s="34" t="str" cm="1">
        <f t="array" ref="FG4">_xll.ASAssetStatistic($A4,"Exponential Normal weekly VaR 90%",,,,"m",'PBA Summary'!$F$2,'PBA Summary'!$G$2)</f>
        <v/>
      </c>
      <c r="FH4" s="34" t="str" cm="1">
        <f t="array" ref="FH4">_xll.ASAssetStatistic($A4,"Exponential Normal daily VaR 99%",,,,"m",'PBA Summary'!$F$2,'PBA Summary'!$G$2)</f>
        <v/>
      </c>
      <c r="FI4" s="34" t="str" cm="1">
        <f t="array" ref="FI4">_xll.ASAssetStatistic($A4,"Exponential Normal daily VaR 97%",,,,"m",'PBA Summary'!$F$2,'PBA Summary'!$G$2)</f>
        <v/>
      </c>
      <c r="FJ4" s="34" t="str" cm="1">
        <f t="array" ref="FJ4">_xll.ASAssetStatistic($A4,"Exponential Normal daily VaR 95%",,,,"m",'PBA Summary'!$F$2,'PBA Summary'!$G$2)</f>
        <v/>
      </c>
      <c r="FK4" s="34" t="str" cm="1">
        <f t="array" ref="FK4">_xll.ASAssetStatistic($A4,"Exponential Normal daily VaR 90%",,,,"m",'PBA Summary'!$F$2,'PBA Summary'!$G$2)</f>
        <v/>
      </c>
      <c r="FL4" s="34" cm="1">
        <f t="array" ref="FL4">_xll.ASAssetStatistic($A4,"Bias Ratio",,,,"m",'PBA Summary'!$F$2,'PBA Summary'!$G$2)</f>
        <v>0.375</v>
      </c>
      <c r="FM4" s="11" t="str" cm="1">
        <f t="array" ref="FM4">_xll.ASAssetInfo($A4,"Manager's Biography")</f>
        <v/>
      </c>
      <c r="FN4" s="11" cm="1">
        <f t="array" ref="FN4">_xll.ASAssetInfo($A4,"Investment Min")</f>
        <v>0</v>
      </c>
      <c r="FO4" s="11" t="str" cm="1">
        <f t="array" ref="FO4">_xll.ASAssetInfo($A4,"Auditor")</f>
        <v>Deloitte &amp; Touche LLP</v>
      </c>
      <c r="FP4" s="11" t="str" cm="1">
        <f t="array" ref="FP4">_xll.ASAssetInfo($A4,"Custodian")</f>
        <v>State Street Bank &amp; Trust Co</v>
      </c>
      <c r="FQ4" s="11" t="str" cm="1">
        <f t="array" ref="FQ4">_xll.ASAssetInfo($A4,"Administrator")</f>
        <v>ALPS Fund Services Inc</v>
      </c>
      <c r="FR4" s="14" t="str" cm="1">
        <f t="array" ref="FR4">_xll.ASAssetInfo($A4,"Proxy 1 Start Date")</f>
        <v/>
      </c>
      <c r="FS4" s="14" t="str" cm="1">
        <f t="array" ref="FS4">_xll.ASAssetInfo($A4,"Proxy 1 End Date")</f>
        <v/>
      </c>
      <c r="FT4" s="14" t="str" cm="1">
        <f t="array" ref="FT4">_xll.ASAssetInfo($A4,"Proxy 2 Start Date")</f>
        <v/>
      </c>
      <c r="FU4" s="14" t="str" cm="1">
        <f t="array" ref="FU4">_xll.ASAssetInfo($A4,"Proxy 2 End Date")</f>
        <v/>
      </c>
      <c r="FV4" s="14" t="str" cm="1">
        <f t="array" ref="FV4">_xll.ASAssetInfo($A4,"Proxy 3 Start Date")</f>
        <v/>
      </c>
      <c r="FW4" s="14" t="str" cm="1">
        <f t="array" ref="FW4">_xll.ASAssetInfo($A4,"Proxy 3 End Date")</f>
        <v/>
      </c>
      <c r="FX4" s="14" t="str" cm="1">
        <f t="array" ref="FX4">_xll.ASAssetInfo($A4,"Fund Domicile")</f>
        <v>US</v>
      </c>
      <c r="FY4" s="14" t="str" cm="1">
        <f t="array" ref="FY4">_xll.ASAssetInfo($A4,"Fund Contact")</f>
        <v/>
      </c>
      <c r="FZ4" s="14" t="str" cm="1">
        <f t="array" ref="FZ4">_xll.ASAssetInfo($A4,"Fund Contact Email")</f>
        <v/>
      </c>
      <c r="GA4" s="14" t="str" cm="1">
        <f t="array" ref="GA4">_xll.ASAssetInfo($A4,"Fund Contact Number")</f>
        <v/>
      </c>
      <c r="GB4" s="14" t="str" cm="1">
        <f t="array" ref="GB4">_xll.ASAssetInfo($A4,"City")</f>
        <v>Denver</v>
      </c>
      <c r="GC4" s="14" t="str" cm="1">
        <f t="array" ref="GC4">_xll.ASAssetInfo($A4,"Leverage")</f>
        <v>N</v>
      </c>
      <c r="GD4" s="14" t="str" cm="1">
        <f t="array" ref="GD4">_xll.ASAssetInfo($A4,"Lockup 1 Duration")</f>
        <v>0 Months</v>
      </c>
      <c r="GE4" s="14" t="str" cm="1">
        <f t="array" ref="GE4">_xll.ASAssetInfo($A4,"Lockup 2 Duration")</f>
        <v>0 Months</v>
      </c>
      <c r="GF4" s="14" t="str" cm="1">
        <f t="array" ref="GF4">_xll.ASAssetInfo($A4,"Lockup 3 Duration")</f>
        <v>0 Months</v>
      </c>
      <c r="GG4" s="31" t="str" cm="1">
        <f t="array" ref="GG4">_xll.ASAssetInfo($A4,"Fund Level Gate")</f>
        <v/>
      </c>
      <c r="GH4" s="31" t="str" cm="1">
        <f t="array" ref="GH4">_xll.ASAssetInfo($A4,"Fund Level Gate Frequency")</f>
        <v>Unknown</v>
      </c>
      <c r="GI4" s="35" cm="1">
        <f t="array" ref="GI4">_xll.ASAssetInfo($A4,"Payment 2 (%)")</f>
        <v>0</v>
      </c>
      <c r="GJ4" s="35" t="str" cm="1">
        <f t="array" ref="GJ4">_xll.ASAssetInfo($A4,"Payment 2 (days)")</f>
        <v/>
      </c>
      <c r="GK4" s="35" t="str" cm="1">
        <f t="array" ref="GK4">_xll.ASAssetInfo($A4,"Payment 2 (Paid After)")</f>
        <v>NAV Date</v>
      </c>
      <c r="GL4" s="35" cm="1">
        <f t="array" ref="GL4">_xll.ASAssetInfo($A4,"Payment 3 (%)")</f>
        <v>0</v>
      </c>
      <c r="GM4" s="36" t="str" cm="1">
        <f t="array" ref="GM4">_xll.ASAssetInfo($A4,"Payment 3 (Days)")</f>
        <v/>
      </c>
      <c r="GN4" s="35" t="str" cm="1">
        <f t="array" ref="GN4">_xll.ASAssetInfo($A4,"Payment 3 (Paid After)")</f>
        <v>NAV Date</v>
      </c>
      <c r="GO4" s="35" cm="1">
        <f t="array" ref="GO4">_xll.ASAssetInfo($A4,"Payment 4 (%)")</f>
        <v>0</v>
      </c>
      <c r="GP4" s="36" t="str" cm="1">
        <f t="array" ref="GP4">_xll.ASAssetInfo($A4,"Payment 4 (days)")</f>
        <v/>
      </c>
      <c r="GQ4" s="35" t="str" cm="1">
        <f t="array" ref="GQ4">_xll.ASAssetInfo($A4,"Payment 4 (Paid After)")</f>
        <v>NAV Date</v>
      </c>
      <c r="GR4" s="31" cm="1">
        <f t="array" ref="GR4">_xll.ASAssetInfo($A4,"Payment 1 (%)")</f>
        <v>1</v>
      </c>
      <c r="GS4" s="35" cm="1">
        <f t="array" ref="GS4">_xll.ASAssetInfo($A4,"Lockup 1 Fee")</f>
        <v>0</v>
      </c>
      <c r="GT4" s="35" cm="1">
        <f t="array" ref="GT4">_xll.ASAssetInfo($A4,"Lockup 2 Fee")</f>
        <v>0</v>
      </c>
      <c r="GU4" s="35" cm="1">
        <f t="array" ref="GU4">_xll.ASAssetInfo($A4,"Lockup 3 Fee")</f>
        <v>0</v>
      </c>
      <c r="GV4" s="35" t="str" cm="1">
        <f t="array" ref="GV4">_xll.ASAssetInfo($A4,"Lockup 1 type")</f>
        <v>None</v>
      </c>
      <c r="GW4" s="35" t="str" cm="1">
        <f t="array" ref="GW4">_xll.ASAssetInfo($A4,"Lockup 2 type")</f>
        <v>None</v>
      </c>
      <c r="GX4" s="35" t="str" cm="1">
        <f t="array" ref="GX4">_xll.ASAssetInfo($A4,"Lockup 3 type")</f>
        <v>None</v>
      </c>
      <c r="GY4" s="35" t="str" cm="1">
        <f t="array" ref="GY4">_xll.ASAssetInfo($A4,"Redemption 1 type")</f>
        <v>Calendar</v>
      </c>
      <c r="GZ4" s="35" t="str" cm="1">
        <f t="array" ref="GZ4">_xll.ASAssetInfo($A4,"Redemption 2 type")</f>
        <v>Calendar</v>
      </c>
      <c r="HA4" s="35" t="str" cm="1">
        <f t="array" ref="HA4">_xll.ASAssetInfo($A4,"Redemption 3 type")</f>
        <v>Calendar</v>
      </c>
      <c r="HB4" s="35" t="str" cm="1">
        <f t="array" ref="HB4">_xll.ASAssetInfo($A4,"Redemption 1 Fee")</f>
        <v/>
      </c>
      <c r="HC4" s="35" t="str" cm="1">
        <f t="array" ref="HC4">_xll.ASAssetInfo($A4,"Redemption 2 Fee")</f>
        <v/>
      </c>
      <c r="HD4" s="35" t="str" cm="1">
        <f t="array" ref="HD4">_xll.ASAssetInfo($A4,"Redemption 3 Fee")</f>
        <v/>
      </c>
      <c r="HE4" s="35" t="str" cm="1">
        <f t="array" ref="HE4">_xll.ASAssetInfo($A4,"Redemption 1 Frequency")</f>
        <v>Daily</v>
      </c>
      <c r="HF4" s="35" t="str" cm="1">
        <f t="array" ref="HF4">_xll.ASAssetInfo($A4,"Redemption 2 Frequency")</f>
        <v>Unknown</v>
      </c>
      <c r="HG4" s="35" t="str" cm="1">
        <f t="array" ref="HG4">_xll.ASAssetInfo($A4,"Redemption 3 Frequency")</f>
        <v>Unknown</v>
      </c>
      <c r="HH4" s="35" t="str" cm="1">
        <f t="array" ref="HH4">_xll.ASAssetInfo($A4,"Asset Calendar")</f>
        <v>[Default]</v>
      </c>
      <c r="HI4" s="16" cm="1">
        <f t="array" ref="HI4">_xll.ASAssetStatistic($A4,"Max Second Drawdown",,,,"m",'PBA Summary'!$F$2,'PBA Summary'!$G$2)</f>
        <v>-0.12769534487218015</v>
      </c>
      <c r="HJ4" s="37" cm="1">
        <f t="array" ref="HJ4">_xll.ASAssetStatistic($A4,"Date Max Second Drawdown",,,,"m",'PBA Summary'!$F$2,'PBA Summary'!$G$2)</f>
        <v>43738</v>
      </c>
      <c r="HK4" s="37" t="str" cm="1">
        <f t="array" ref="HK4">_xll.ASAssetInfo($A4,HK$1)</f>
        <v>SBIO US</v>
      </c>
      <c r="HL4" s="37" t="str" cm="1">
        <f t="array" ref="HL4">_xll.ASAssetInfo($A4,HL$1)</f>
        <v/>
      </c>
      <c r="HM4" s="34" t="str" cm="1">
        <f t="array" ref="HM4">_xll.ASAssetInfo($A4,HM$1)</f>
        <v/>
      </c>
      <c r="HN4" s="37" t="str" cm="1">
        <f t="array" ref="HN4">_xll.ASAssetInfo($A4,HN$1)</f>
        <v/>
      </c>
      <c r="HO4" s="15" cm="1">
        <f t="array" ref="HO4">_xll.ASAssetInfo($A4,HO$1)</f>
        <v>0</v>
      </c>
      <c r="HP4" s="15" t="str" cm="1">
        <f t="array" ref="HP4">_xll.ASAssetInfo($A4,HP$1)</f>
        <v/>
      </c>
      <c r="HQ4" s="34" t="str" cm="1">
        <f t="array" ref="HQ4">_xll.ASAssetInfo($A4,HQ$1)</f>
        <v/>
      </c>
      <c r="HR4" s="37" t="str" cm="1">
        <f t="array" ref="HR4">_xll.ASAssetInfo($A4,HR$1)</f>
        <v/>
      </c>
      <c r="HS4" s="37" t="str" cm="1">
        <f t="array" ref="HS4">_xll.ASAssetInfo($A4,HS$1)</f>
        <v/>
      </c>
      <c r="HT4" s="37" t="str" cm="1">
        <f t="array" ref="HT4">_xll.ASAssetInfo($A4,HT$1)</f>
        <v/>
      </c>
      <c r="HU4" s="37" t="str" cm="1">
        <f t="array" ref="HU4">_xll.ASAssetInfo($A4,HU$1)</f>
        <v>Americas</v>
      </c>
      <c r="HV4" s="37" t="str" cm="1">
        <f t="array" ref="HV4">_xll.ASAssetInfo($A4,HV$1)</f>
        <v>Health Care</v>
      </c>
      <c r="HW4" s="37" t="str" cm="1">
        <f t="array" ref="HW4">_xll.ASAssetInfo($A4,HW$1)</f>
        <v/>
      </c>
    </row>
    <row r="5" spans="1:231" s="11" customFormat="1" ht="13.9" customHeight="1" x14ac:dyDescent="0.25">
      <c r="A5" t="s">
        <v>317</v>
      </c>
      <c r="B5" cm="1">
        <f t="array" ref="B5">_xll.ASPortfolioWeights('PBA Summary'!$C$2,"OR",$A5)</f>
        <v>5.8909617495735242E-2</v>
      </c>
      <c r="C5" cm="1">
        <f t="array" ref="C5">_xll.ASAssetStatistic($A5,"Annualized Return since inception",,,,"m",_xll.ASAssetInfo($A5,"Start Date"),_xll.ASAssetInfo($A5,"Last Return Date"))</f>
        <v>6.5223308070115227E-2</v>
      </c>
      <c r="D5" cm="1">
        <f t="array" ref="D5">_xll.ASAssetStatistic($A5,"Annualized Return",,,,"m",'PBA Summary'!$F$2,'PBA Summary'!$G$2)</f>
        <v>0.12838475598753551</v>
      </c>
      <c r="E5" s="19" cm="1">
        <f t="array" ref="E5">_xll.ASAssetStatistic($A5,"Equilibrium Annual Return",,,,"m",'PBA Summary'!$F$2,'PBA Summary'!$G$2)</f>
        <v>3.9141355552705699</v>
      </c>
      <c r="F5" cm="1">
        <f t="array" ref="F5">_xll.ASAssetStatistic($A5,"Annualized Volatility (Inception)",,,,"m",_xll.ASAssetInfo($A5,"Start Date"),_xll.ASAssetInfo($A5,"Last Return Date"))</f>
        <v>0.15145666498464647</v>
      </c>
      <c r="G5" cm="1">
        <f t="array" ref="G5">_xll.ASAssetStatistic($A5,"Annualized Volatility",,,,"m",'PBA Summary'!$F$2,'PBA Summary'!$G$2)</f>
        <v>0.15269621149457907</v>
      </c>
      <c r="H5" s="20" cm="1">
        <f t="array" ref="H5">_xll.ASAssetStatistic($A5,"Skewness",,,,"m",'PBA Summary'!$F$2,'PBA Summary'!$G$2)</f>
        <v>-0.79299317080956744</v>
      </c>
      <c r="I5" s="20" cm="1">
        <f t="array" ref="I5">_xll.ASAssetStatistic($A5,"Excess kurtosis",,,,"m",'PBA Summary'!$F$2,'PBA Summary'!$G$2)</f>
        <v>1.0180352279465315</v>
      </c>
      <c r="J5" s="19" cm="1">
        <f t="array" ref="J5">_xll.ASAssetStatistic($A5,"Return Last 1 month",,,,"m",'PBA Summary'!$F$2,'PBA Summary'!$G$2)</f>
        <v>-3.3245438725809651E-3</v>
      </c>
      <c r="K5" s="19" cm="1">
        <f t="array" ref="K5">_xll.ASAssetStatistic($A5,"Return Last 3 months",,,,"m",'PBA Summary'!$F$2,'PBA Summary'!$G$2)</f>
        <v>0.10787521292920199</v>
      </c>
      <c r="L5" s="19" cm="1">
        <f t="array" ref="L5">_xll.ASAssetStatistic($A5,"Return Last 1 year",,,,"m",'PBA Summary'!$F$2,'PBA Summary'!$G$2)</f>
        <v>0.31112299572154112</v>
      </c>
      <c r="M5" s="19" cm="1">
        <f t="array" ref="M5">_xll.ASAssetStatistic($A5,"Year-to-date Return",,,,"m",'PBA Summary'!$F$2,'PBA Summary'!$G$2)</f>
        <v>-3.3245438725809651E-3</v>
      </c>
      <c r="N5" s="19" cm="1">
        <f t="array" ref="N5">_xll.ASAssetStatistic($A5,"Annualized Return",,,,"m",EOMONTH('PBA Summary'!$G$2,-2),'PBA Summary'!$G$2)</f>
        <v>0.50648004428236004</v>
      </c>
      <c r="O5" s="19" t="str" cm="1">
        <f t="array" ref="O5">_xll.ASAssetStatistic($A5,"Annualized Return Last 3 years",,,,"m",'PBA Summary'!$F$2,'PBA Summary'!$G$2)</f>
        <v/>
      </c>
      <c r="P5" s="19" t="str" cm="1">
        <f t="array" ref="P5">_xll.ASAssetStatistic($A5,"Annualized Return Last 5 years",,,,"m",'PBA Summary'!$F$2,'PBA Summary'!$G$2)</f>
        <v/>
      </c>
      <c r="Q5" s="19" cm="1">
        <f t="array" ref="Q5">_xll.ASAssetStatistic($A5,"Annualized Volatility Last 1 year",,,,"m",'PBA Summary'!$F$2,'PBA Summary'!$G$2)</f>
        <v>0.10937174833142464</v>
      </c>
      <c r="R5" s="19" t="str" cm="1">
        <f t="array" ref="R5">_xll.ASAssetStatistic($A5,"Annualized Volatility Last 3 years",,,,"m",'PBA Summary'!$F$2,'PBA Summary'!$G$2)</f>
        <v/>
      </c>
      <c r="S5" s="19" t="str" cm="1">
        <f t="array" ref="S5">_xll.ASAssetStatistic($A5,"Annualized Volatility Last 5 years",,,,"m",'PBA Summary'!$F$2,'PBA Summary'!$G$2)</f>
        <v/>
      </c>
      <c r="T5" s="19" cm="1">
        <f t="array" ref="T5">_xll.ASAssetStatistic($A5,"Normal monthly VaR 99%",,,,"m",'PBA Summary'!$F$2,'PBA Summary'!$G$2)</f>
        <v>-9.151089975348603E-2</v>
      </c>
      <c r="U5" s="19" cm="1">
        <f t="array" ref="U5">_xll.ASAssetStatistic($A5,"Modified monthly VaR 99%",,,,"m",'PBA Summary'!$F$2,'PBA Summary'!$G$2)</f>
        <v>-0.11727317594310464</v>
      </c>
      <c r="V5" s="19" cm="1">
        <f t="array" ref="V5">_xll.ASAssetStatistic($A5,"Conditional monthly VaR 99%",,,,"m",'PBA Summary'!$F$2,'PBA Summary'!$G$2)</f>
        <v>-9.362674910042168E-2</v>
      </c>
      <c r="W5" s="19" cm="1">
        <f t="array" ref="W5">_xll.ASAssetStatistic($A5,"Normal monthly VaR 97%",,,,"m",'PBA Summary'!$F$2,'PBA Summary'!$G$2)</f>
        <v>-7.1871046199743396E-2</v>
      </c>
      <c r="X5" s="19" cm="1">
        <f t="array" ref="X5">_xll.ASAssetStatistic($A5,"Modified monthly VaR 97%",,,,"m",'PBA Summary'!$F$2,'PBA Summary'!$G$2)</f>
        <v>-8.553856089715528E-2</v>
      </c>
      <c r="Y5" s="19" cm="1">
        <f t="array" ref="Y5">_xll.ASAssetStatistic($A5,"Conditional monthly VaR 97%",,,,"m",'PBA Summary'!$F$2,'PBA Summary'!$G$2)</f>
        <v>-9.362674910042168E-2</v>
      </c>
      <c r="Z5" s="19" cm="1">
        <f t="array" ref="Z5">_xll.ASAssetStatistic($A5,"Normal monthly VaR 95%",,,,"m",'PBA Summary'!$F$2,'PBA Summary'!$G$2)</f>
        <v>-6.1470906344759463E-2</v>
      </c>
      <c r="AA5" s="19" cm="1">
        <f t="array" ref="AA5">_xll.ASAssetStatistic($A5,"Modified monthly VaR 95%",,,,"m",'PBA Summary'!$F$2,'PBA Summary'!$G$2)</f>
        <v>-6.9980827938587772E-2</v>
      </c>
      <c r="AB5" s="19" cm="1">
        <f t="array" ref="AB5">_xll.ASAssetStatistic($A5,"Conditional monthly VaR 95%",,,,"m",'PBA Summary'!$F$2,'PBA Summary'!$G$2)</f>
        <v>-9.362674910042168E-2</v>
      </c>
      <c r="AC5" s="66" cm="1">
        <f t="array" ref="AC5">_xll.ASAssetStatistic($A5,"Correlation to Benchmark 1","MSCI ACWI Index",,,"m",'PBA Summary'!$F$2,'PBA Summary'!$G$2)</f>
        <v>0.13347135609068458</v>
      </c>
      <c r="AD5" s="38" cm="1">
        <f t="array" ref="AD5">IF('PBA Summary'!$D$3="","",_xll.ASAssetStatistic($A5,"Correlation to Benchmark 1",'PBA Summary'!$D$3,,,"m",'PBA Summary'!$F$2,'PBA Summary'!$G$2))</f>
        <v>0.20716552276778438</v>
      </c>
      <c r="AE5" s="21" cm="1">
        <f t="array" ref="AE5">IF('PBA Summary'!$D$2="","",_xll.ASAssetStatistic($A5,"Bull correlation to Benchmark 1",'PBA Summary'!$D$2,,,"m",'PBA Summary'!$F$2,'PBA Summary'!$G$2))</f>
        <v>-0.17155821450774419</v>
      </c>
      <c r="AF5" s="21" cm="1">
        <f t="array" ref="AF5">IF('PBA Summary'!$D$2="","",_xll.ASAssetStatistic($A5,"Bear correlation to Benchmark 1",'PBA Summary'!$D$2,,,"m",'PBA Summary'!$F$2,'PBA Summary'!$G$2))</f>
        <v>0.33718406261331146</v>
      </c>
      <c r="AG5" s="21" cm="1">
        <f t="array" ref="AG5">IF('PBA Summary'!$D$3="","",_xll.ASAssetStatistic($A5,"Bull correlation to Benchmark 1",'PBA Summary'!$D$3,,,"m",'PBA Summary'!$F$2,'PBA Summary'!$G$2))</f>
        <v>-0.17155821450774419</v>
      </c>
      <c r="AH5" s="21" cm="1">
        <f t="array" ref="AH5">IF('PBA Summary'!$D$3="","",_xll.ASAssetStatistic($A5,"Bear correlation to Benchmark 1",'PBA Summary'!$D$3,,,"m",'PBA Summary'!$F$2,'PBA Summary'!$G$2))</f>
        <v>0.33718406261331146</v>
      </c>
      <c r="AI5" s="24" cm="1">
        <f t="array" ref="AI5">IF('PBA Summary'!$D$2="","",_xll.ASAssetStatistic($A5,"Beta to Benchmark 1",'PBA Summary'!$D$2,,,"m",'PBA Summary'!$F$2,'PBA Summary'!$G$2))</f>
        <v>0.20604850826246163</v>
      </c>
      <c r="AJ5" s="24" t="str" cm="1">
        <f t="array" ref="AJ5">IF('PBA Summary'!$D$2="","",_xll.ASAssetStatistic($A5,"Beta to Benchmark 1 Last 3 years",'PBA Summary'!$D$2,,,"m",'PBA Summary'!$F$2,'PBA Summary'!$G$2))</f>
        <v/>
      </c>
      <c r="AK5" s="24" t="str" cm="1">
        <f t="array" ref="AK5">IF('PBA Summary'!$D$2="","",_xll.ASAssetStatistic($A5,"Beta to Benchmark 1 Last 5 years",'PBA Summary'!$D$2,,,"m",'PBA Summary'!$F$2,'PBA Summary'!$G$2))</f>
        <v/>
      </c>
      <c r="AL5" s="25" cm="1">
        <f t="array" ref="AL5">IF('PBA Summary'!$D$3="","",_xll.ASAssetStatistic($A5,"Beta to Benchmark 1",'PBA Summary'!$D$3,,,"m",'PBA Summary'!$F$2,'PBA Summary'!$G$2))</f>
        <v>0.20604850826246163</v>
      </c>
      <c r="AM5" s="25" t="str" cm="1">
        <f t="array" ref="AM5">IF('PBA Summary'!$D$3="","",_xll.ASAssetStatistic($A5,"Beta to Benchmark 1 Last 3 years",'PBA Summary'!$D$3,,,"m",'PBA Summary'!$F$2,'PBA Summary'!$G$2))</f>
        <v/>
      </c>
      <c r="AN5" s="25" t="str" cm="1">
        <f t="array" ref="AN5">IF('PBA Summary'!$D$3="","",_xll.ASAssetStatistic($A5,"Beta to Benchmark 1 Last 5 years",'PBA Summary'!$D$3,,,"m",'PBA Summary'!$F$2,'PBA Summary'!$G$2))</f>
        <v/>
      </c>
      <c r="AO5" s="25" cm="1">
        <f t="array" ref="AO5">IF('PBA Summary'!$D$2="","",_xll.ASAssetStatistic($A5,"Bull Beta to Benchmark 1",'PBA Summary'!$D$2,,,"m",'PBA Summary'!$F$2,'PBA Summary'!$G$2))</f>
        <v>-0.26547136302889679</v>
      </c>
      <c r="AP5" s="25" cm="1">
        <f t="array" ref="AP5">IF('PBA Summary'!$D$2="","",_xll.ASAssetStatistic($A5,"Bear Beta to Benchmark 1",'PBA Summary'!$D$2,,,"m",'PBA Summary'!$F$2,'PBA Summary'!$G$2))</f>
        <v>0.57423023177602817</v>
      </c>
      <c r="AQ5" s="25" cm="1">
        <f t="array" ref="AQ5">IF('PBA Summary'!$D$3="","",_xll.ASAssetStatistic($A5,"Bull Beta to Benchmark 1",'PBA Summary'!$D$3,,,"m",'PBA Summary'!$F$2,'PBA Summary'!$G$2))</f>
        <v>-0.26547136302889679</v>
      </c>
      <c r="AR5" s="25" cm="1">
        <f t="array" ref="AR5">IF('PBA Summary'!$D$3="","",_xll.ASAssetStatistic($A5,"Bear Beta to Benchmark 1",'PBA Summary'!$D$3,,,"m",'PBA Summary'!$F$2,'PBA Summary'!$G$2))</f>
        <v>0.57423023177602817</v>
      </c>
      <c r="AS5" s="25" cm="1">
        <f t="array" ref="AS5">_xll.ASAssetStatistic($A5,"Annual Sharpe Ratio (Rf)",,,'PBA Summary'!$H$2,"m",'PBA Summary'!$F$2,'PBA Summary'!$G$2)</f>
        <v>0.82441309286841469</v>
      </c>
      <c r="AT5" s="25" t="str" cm="1">
        <f t="array" ref="AT5">_xll.ASAssetStatistic($A5,"Annual Sharpe Ratio (Rf) Last 3 years",,,'PBA Summary'!$H$2,"m",'PBA Summary'!$F$2,'PBA Summary'!$G$2)</f>
        <v/>
      </c>
      <c r="AU5" s="25" t="str" cm="1">
        <f t="array" ref="AU5">_xll.ASAssetStatistic($A5,"Annual Sharpe Ratio (Rf) Last 5 years",,,'PBA Summary'!$H$2,"m",'PBA Summary'!$F$2,'PBA Summary'!$G$2)</f>
        <v/>
      </c>
      <c r="AV5" s="18" cm="1">
        <f t="array" ref="AV5">_xll.ASAssetStatistic($A5,"Ann. Downside Deviation (vs 0%)",,,'PBA Summary'!$H$2,"m",'PBA Summary'!$F$2,'PBA Summary'!$G$2)</f>
        <v>9.6203355605352259E-2</v>
      </c>
      <c r="AW5" s="18" cm="1">
        <f t="array" ref="AW5">_xll.ASAssetStatistic($A5,"Ann. Downside Deviation (vs Rf)",,,'PBA Summary'!$H$2,"m",'PBA Summary'!$F$2,'PBA Summary'!$G$2)</f>
        <v>9.6521454120039984E-2</v>
      </c>
      <c r="AX5" s="39" cm="1">
        <f t="array" ref="AX5">_xll.ASAssetStatistic($A5,"Annual Treynor ratio",,,'PBA Summary'!$H$2,"m",'PBA Summary'!$F$2,'PBA Summary'!$G$2)</f>
        <v>1.0260959471326083</v>
      </c>
      <c r="AY5" s="26" cm="1">
        <f t="array" ref="AY5">_xll.ASAssetStatistic($A5,"Annual Sortino Ratio (vs 0%)",,,'PBA Summary'!$H$2,"m",'PBA Summary'!$F$2,'PBA Summary'!$G$2)</f>
        <v>1.3345143231198564</v>
      </c>
      <c r="AZ5" s="26" cm="1">
        <f t="array" ref="AZ5">_xll.ASAssetStatistic($A5,"Annual Sortino Ratio (vs Rf)",,,'PBA Summary'!$H$2,"m",'PBA Summary'!$F$2,'PBA Summary'!$G$2)</f>
        <v>1.3042152870073582</v>
      </c>
      <c r="BA5" s="26" cm="1">
        <f t="array" ref="BA5">_xll.ASAssetStatistic($A5,"Sterling ratio",,,'PBA Summary'!$H$2,"m",'PBA Summary'!$F$2,'PBA Summary'!$G$2)</f>
        <v>1.0142677250003904</v>
      </c>
      <c r="BB5" s="26" cm="1">
        <f t="array" ref="BB5">_xll.ASAssetStatistic($A5,"Calmar ratio",,,'PBA Summary'!$H$2,"m",'PBA Summary'!$F$2,'PBA Summary'!$G$2)</f>
        <v>0.81060194989705137</v>
      </c>
      <c r="BC5" s="26" cm="1">
        <f t="array" ref="BC5">_xll.ASAssetStatistic($A5,"Hurst index",,,'PBA Summary'!$H$2,"m",'PBA Summary'!$F$2,'PBA Summary'!$G$2)</f>
        <v>0.57743227515234108</v>
      </c>
      <c r="BD5" s="26" cm="1">
        <f t="array" ref="BD5">_xll.ASAssetStatistic($A5,"Omega (Threshold 1)",,,'PBA Summary'!$H$2,"m",'PBA Summary'!$F$2,'PBA Summary'!$G$2)</f>
        <v>1.9019140468359121</v>
      </c>
      <c r="BE5" s="26" cm="1">
        <f t="array" ref="BE5">_xll.ASAssetStatistic($A5,"Omega (Threshold 2)",,,'PBA Summary'!$H$2,"m",'PBA Summary'!$F$2,'PBA Summary'!$G$2)</f>
        <v>1.4238995725152157</v>
      </c>
      <c r="BF5" s="26" cm="1">
        <f t="array" ref="BF5">_xll.ASAssetStatistic($A5,"Omega (Threshold 3)",,,'PBA Summary'!$H$2,"m",'PBA Summary'!$F$2,'PBA Summary'!$G$2)</f>
        <v>1.0636696586131613</v>
      </c>
      <c r="BG5" s="26" cm="1">
        <f t="array" ref="BG5">_xll.ASAssetStatistic($A5,"Omega (Threshold 4)",,,'PBA Summary'!$H$2,"m",'PBA Summary'!$F$2,'PBA Summary'!$G$2)</f>
        <v>0.7850427060512517</v>
      </c>
      <c r="BH5" s="26" cm="1">
        <f t="array" ref="BH5">_xll.ASAssetStatistic($A5,"Omega (Threshold 5)",,,'PBA Summary'!$H$2,"m",'PBA Summary'!$F$2,'PBA Summary'!$G$2)</f>
        <v>0.5714699539713306</v>
      </c>
      <c r="BI5" s="26" t="str" cm="1">
        <f t="array" ref="BI5">_xll.ASAssetStatistic($A5,"Autocorrelated (illiquid)",,,'PBA Summary'!$H$2,"m",'PBA Summary'!$F$2,'PBA Summary'!$G$2)</f>
        <v>No</v>
      </c>
      <c r="BJ5" s="27" cm="1">
        <f t="array" ref="BJ5">_xll.ASAssetStatistic($A5,"% months in Run Up",,,'PBA Summary'!$H$2,"m",'PBA Summary'!$F$2,'PBA Summary'!$G$2)</f>
        <v>0.6</v>
      </c>
      <c r="BK5" s="27" cm="1">
        <f t="array" ref="BK5">_xll.ASAssetStatistic($A5,"% months in Drawdown",,,'PBA Summary'!$H$2,"m",'PBA Summary'!$F$2,'PBA Summary'!$G$2)</f>
        <v>0.4</v>
      </c>
      <c r="BL5" s="18" cm="1">
        <f t="array" ref="BL5">IF('PBA Summary'!$D$2="","",_xll.ASAssetStatistic($A5,"Bull Beta to Benchmark 1",'PBA Summary'!$D$2,,,"m",'PBA Summary'!$F$2,'PBA Summary'!$G$2))</f>
        <v>-0.26547136302889679</v>
      </c>
      <c r="BM5" s="18" cm="1">
        <f t="array" ref="BM5">IF('PBA Summary'!$D$2="","",_xll.ASAssetStatistic($A5,"Average return during bear Benchmark 1",'PBA Summary'!$D$2,,,"m",'PBA Summary'!$F$2,'PBA Summary'!$G$2))</f>
        <v>-1.6089470923182636E-3</v>
      </c>
      <c r="BN5" s="18" cm="1">
        <f t="array" ref="BN5">IF('PBA Summary'!$D$3="","",_xll.ASAssetStatistic($A5,"Average return during bull Benchmark 1",'PBA Summary'!$D$3,,,"m",'PBA Summary'!$F$2,'PBA Summary'!$G$2))</f>
        <v>1.5630866140354693E-2</v>
      </c>
      <c r="BO5" s="18" cm="1">
        <f t="array" ref="BO5">IF('PBA Summary'!$D$3="","",_xll.ASAssetStatistic($A5,"Average return during bear Benchmark 1",'PBA Summary'!$D$3,,,"m",'PBA Summary'!$F$2,'PBA Summary'!$G$2))</f>
        <v>-1.6089470923182636E-3</v>
      </c>
      <c r="BP5" s="27" cm="1">
        <f t="array" ref="BP5">_xll.ASAssetStatistic($A5,"Maximum consecutive gain",,,'PBA Summary'!$H$2,"m",'PBA Summary'!$F$2,'PBA Summary'!$G$2)</f>
        <v>0.23273936566238151</v>
      </c>
      <c r="BQ5" s="27" cm="1">
        <f t="array" ref="BQ5">_xll.ASAssetStatistic($A5,"Maximum consecutive loss",,,'PBA Summary'!$H$2,"m",'PBA Summary'!$F$2,'PBA Summary'!$G$2)</f>
        <v>-0.15838199748204485</v>
      </c>
      <c r="BR5" s="27" cm="1">
        <f t="array" ref="BR5">_xll.ASAssetStatistic($A5,"Max monthly gain",,,'PBA Summary'!$H$2,"m",'PBA Summary'!$F$2,'PBA Summary'!$G$2)</f>
        <v>7.8794492355444445E-2</v>
      </c>
      <c r="BS5" s="27" cm="1">
        <f t="array" ref="BS5">_xll.ASAssetStatistic($A5,"Max monthly loss",,,'PBA Summary'!$H$2,"m",'PBA Summary'!$F$2,'PBA Summary'!$G$2)</f>
        <v>-9.362674910042168E-2</v>
      </c>
      <c r="BT5" s="27" cm="1">
        <f t="array" ref="BT5">_xll.ASAssetStatistic($A5,"Max drawdown",,,'PBA Summary'!$H$2,"m",'PBA Summary'!$F$2,'PBA Summary'!$G$2)</f>
        <v>-0.15838199748204496</v>
      </c>
      <c r="BU5" s="28" cm="1">
        <f t="array" ref="BU5">_xll.ASAssetStatistic($A5,"Date Max drawdown",,,'PBA Summary'!$H$2,"m",'PBA Summary'!$F$2,'PBA Summary'!$G$2)</f>
        <v>43555</v>
      </c>
      <c r="BV5" s="28" cm="1">
        <f t="array" ref="BV5">_xll.ASAssetStatistic($A5,"Start Date Max Drawdown",,,'PBA Summary'!$H$2,"m",'PBA Summary'!$F$2,'PBA Summary'!$G$2)</f>
        <v>43465</v>
      </c>
      <c r="BW5" s="28" cm="1">
        <f t="array" ref="BW5">_xll.ASAssetStatistic($A5,"End Date Max Drawdown",,,'PBA Summary'!$H$2,"m",'PBA Summary'!$F$2,'PBA Summary'!$G$2)</f>
        <v>43677</v>
      </c>
      <c r="BX5" s="29" cm="1">
        <f t="array" ref="BX5">_xll.ASAssetStatistic($A5,"Max Time-under-water (months)",,,'PBA Summary'!$H$2,"m",'PBA Summary'!$F$2,'PBA Summary'!$G$2)</f>
        <v>8</v>
      </c>
      <c r="BY5" s="27" cm="1">
        <f t="array" ref="BY5">_xll.ASAssetStatistic($A5,"Max possible drawdown 99%",,,'PBA Summary'!$H$2,"m",'PBA Summary'!$F$2,'PBA Summary'!$G$2)</f>
        <v>-0.23825830724367147</v>
      </c>
      <c r="BZ5" s="27" cm="1">
        <f t="array" ref="BZ5">_xll.ASAssetStatistic($A5,"Max possible drawdown 99.9%",,,'PBA Summary'!$H$2,"m",'PBA Summary'!$F$2,'PBA Summary'!$G$2)</f>
        <v>-0.42041770054467387</v>
      </c>
      <c r="CA5" s="30" cm="1">
        <f t="array" ref="CA5">_xll.ASAssetStatistic($A5,"Max Possible Time-under-water 99% (months)",,,'PBA Summary'!$H$2,"m",'PBA Summary'!$F$2,'PBA Summary'!$G$2)</f>
        <v>86.375682542958302</v>
      </c>
      <c r="CB5" s="30" cm="1">
        <f t="array" ref="CB5">_xll.ASAssetStatistic($A5,"Max Possible Time-under-water 99.9% (months)",,,'PBA Summary'!$H$2,"m",'PBA Summary'!$F$2,'PBA Summary'!$G$2)</f>
        <v>152.41384973220829</v>
      </c>
      <c r="CC5" s="17" cm="1">
        <f t="array" ref="CC5">_xll.ASPortfolioReturnAttribution('PBA Summary'!$C$2,"OR",A5,"Last 1m",'PBA Summary'!$F$2,'PBA Summary'!$G$2)</f>
        <v>-1.9584758279855925E-4</v>
      </c>
      <c r="CD5" s="11" t="str" cm="1">
        <f t="array" ref="CD5">_xll.ASAssetInfo($A5,"Strategy")</f>
        <v>Direct Holdings - Stocks</v>
      </c>
      <c r="CE5" s="14" cm="1">
        <f t="array" ref="CE5">_xll.ASAssetInfo($A5,"Start Date")</f>
        <v>41628</v>
      </c>
      <c r="CF5" s="14" t="str" cm="1">
        <f t="array" ref="CF5">_xll.ASAssetRatings($A5,"Quantitative",0,0,0,0,0,'PBA Summary'!$F$2,'PBA Summary'!$G$2)</f>
        <v/>
      </c>
      <c r="CG5" s="14" t="str" cm="1">
        <f t="array" ref="CG5">_xll.ASAssetRatings($A5,"Qualitative",0,0,0,0,0,'PBA Summary'!$F$2,'PBA Summary'!$G$2)</f>
        <v/>
      </c>
      <c r="CH5" s="14" t="str" cm="1">
        <f t="array" ref="CH5">_xll.ASAssetRatings($A5,"Final",0,0,0,0,0,'PBA Summary'!$F$2,'PBA Summary'!$G$2)</f>
        <v/>
      </c>
      <c r="CI5" s="14" cm="1">
        <f t="array" ref="CI5">_xll.ASAssetInfo($A5,"Last Return Date")</f>
        <v>44125</v>
      </c>
      <c r="CJ5" s="14" t="str" cm="1">
        <f t="array" ref="CJ5">_xll.ASAssetInfo($A5,"Company Name")</f>
        <v/>
      </c>
      <c r="CK5" s="14" t="str" cm="1">
        <f t="array" ref="CK5">_xll.ASAssetInfo($A5,"Manager Name")</f>
        <v/>
      </c>
      <c r="CL5" s="14" t="str" cm="1">
        <f t="array" ref="CL5">_xll.ASAssetInfo($A5,"Address")</f>
        <v/>
      </c>
      <c r="CM5" s="14" t="str" cm="1">
        <f t="array" ref="CM5">_xll.ASAssetInfo($A5,"Phone Number")</f>
        <v/>
      </c>
      <c r="CN5" s="14" t="str" cm="1">
        <f t="array" ref="CN5">_xll.ASAssetInfo($A5,"Email")</f>
        <v/>
      </c>
      <c r="CO5" s="14" t="str" cm="1">
        <f t="array" ref="CO5">_xll.ASAssetInfo($A5,"Asset Type")</f>
        <v>Equities</v>
      </c>
      <c r="CP5" s="14" t="str" cm="1">
        <f t="array" ref="CP5">_xll.ASAssetInfo($A5,"Proprietary ID")</f>
        <v/>
      </c>
      <c r="CQ5" s="14" t="str" cm="1">
        <f t="array" ref="CQ5">_xll.ASAssetInfo($A5,"Country")</f>
        <v>[Not Classified]</v>
      </c>
      <c r="CR5" s="14" t="str" cm="1">
        <f t="array" ref="CR5">_xll.ASAssetInfo($A5,"Currency")</f>
        <v>USD</v>
      </c>
      <c r="CS5" s="14" t="str" cm="1">
        <f t="array" ref="CS5">_xll.ASAssetInfo($A5,"Sub-Strategy")</f>
        <v/>
      </c>
      <c r="CT5" s="31" t="str" cm="1">
        <f t="array" ref="CT5">_xll.ASAssetInfo($A5,"Fund AUM (m)")</f>
        <v/>
      </c>
      <c r="CU5" s="31" t="str" cm="1">
        <f t="array" ref="CU5">_xll.ASAssetInfo($A5,"Status")</f>
        <v>Unknown</v>
      </c>
      <c r="CV5" s="31" t="str" cm="1">
        <f t="array" ref="CV5">_xll.ASAssetInfo($A5,"Redemption 1 Frequency")</f>
        <v>Unknown</v>
      </c>
      <c r="CW5" s="31" t="str" cm="1">
        <f t="array" ref="CW5">_xll.ASAssetInfo($A5,"Redemption 2 Frequency")</f>
        <v>Unknown</v>
      </c>
      <c r="CX5" s="31" t="str" cm="1">
        <f t="array" ref="CX5">_xll.ASAssetInfo($A5,"Redemption 3 Frequency")</f>
        <v>Unknown</v>
      </c>
      <c r="CY5" s="31" t="str" cm="1">
        <f t="array" ref="CY5">_xll.ASAssetInfo($A5,"Notice Period")</f>
        <v/>
      </c>
      <c r="CZ5" s="15" t="str" cm="1">
        <f t="array" ref="CZ5">_xll.ASAssetInfo($A5,"Performance Fee")</f>
        <v/>
      </c>
      <c r="DA5" s="15" t="str" cm="1">
        <f t="array" ref="DA5">_xll.ASAssetInfo($A5,"Management Fee")</f>
        <v/>
      </c>
      <c r="DB5" s="15" t="str" cm="1">
        <f t="array" ref="DB5">_xll.ASAssetInfo($A5,"ISIN")</f>
        <v>GB0022569080</v>
      </c>
      <c r="DC5" s="16" cm="1">
        <f t="array" ref="DC5">_xll.ASAssetStatistic($A5,"Return during " &amp;YEAR(EOMONTH('PBA Summary'!$G$2,-60)),,,,"M",DATE(YEAR(EOMONTH('PBA Summary'!$G$2,-60)),1,31),DATE(YEAR(EOMONTH('PBA Summary'!$G$2,-60)),12,31))</f>
        <v>0.18399991566696916</v>
      </c>
      <c r="DD5" s="16" cm="1">
        <f t="array" ref="DD5">_xll.ASAssetStatistic($A5,"Return during " &amp;YEAR(EOMONTH('PBA Summary'!$G$2,-48)),,,,"M",DATE(YEAR(EOMONTH('PBA Summary'!$G$2,-48)),1,31),DATE(YEAR(EOMONTH('PBA Summary'!$G$2,-48)),12,31))</f>
        <v>8.1884601207658392E-2</v>
      </c>
      <c r="DE5" s="16" cm="1">
        <f t="array" ref="DE5">_xll.ASAssetStatistic($A5,"Return during " &amp;YEAR(EOMONTH('PBA Summary'!$G$2,-36)),,,,"M",DATE(YEAR(EOMONTH('PBA Summary'!$G$2,-36)),1,31),DATE(YEAR(EOMONTH('PBA Summary'!$G$2,-36)),12,31))</f>
        <v>0.1396749005872604</v>
      </c>
      <c r="DF5" s="16" cm="1">
        <f t="array" ref="DF5">_xll.ASAssetStatistic($A5,"Return during " &amp;YEAR(EOMONTH('PBA Summary'!$G$2,-24)),,,,"M",DATE(YEAR(EOMONTH('PBA Summary'!$G$2,-24)),1,31),DATE(YEAR(EOMONTH('PBA Summary'!$G$2,-24)),12,31))</f>
        <v>-9.1291538494865931E-2</v>
      </c>
      <c r="DG5" s="16" cm="1">
        <f t="array" ref="DG5">_xll.ASAssetStatistic($A5,"Return during " &amp;YEAR(EOMONTH('PBA Summary'!$G$2,-12)),,,,"M",DATE(YEAR(EOMONTH('PBA Summary'!$G$2,-12)),1,31),DATE(YEAR(EOMONTH('PBA Summary'!$G$2,-12)),12,31))</f>
        <v>0.25486437906159631</v>
      </c>
      <c r="DH5" s="11" t="str" cm="1">
        <f t="array" ref="DH5">_xll.ASAssetInfo($A5,"Prime Broker")</f>
        <v/>
      </c>
      <c r="DI5" s="16" cm="1">
        <f t="array" ref="DI5">_xll.ASAssetStatistic($A5,"Return",,,,"m",'PBA Summary'!$F$2,'PBA Summary'!$G$2)</f>
        <v>0.16297803669122723</v>
      </c>
      <c r="DJ5" s="33" cm="1">
        <f t="array" ref="DJ5">IF('PBA Summary'!$D$2="","",_xll.ASAssetStatistic($A5,"Ann. Information Ratio vs Benchmark 1",'PBA Summary'!$D$2,,,"m",'PBA Summary'!$F$2,'PBA Summary'!$G$2))</f>
        <v>-0.22783725084287709</v>
      </c>
      <c r="DK5" s="33" cm="1">
        <f t="array" ref="DK5">IF('PBA Summary'!$D$3="","",_xll.ASAssetStatistic($A5,"Ann. Information Ratio vs Benchmark 1",'PBA Summary'!$D$3,,,"m",'PBA Summary'!$F$2,'PBA Summary'!$G$2))</f>
        <v>-0.22783725084287709</v>
      </c>
      <c r="DL5" s="33" cm="1">
        <f t="array" ref="DL5">IF('PBA Summary'!$D$2="","",_xll.ASAssetStatistic($A5,"Ann. Tracking Error vs Benchmark 1",'PBA Summary'!$D$2,,,"m",'PBA Summary'!$F$2,'PBA Summary'!$G$2))</f>
        <v>0.19280244155256868</v>
      </c>
      <c r="DM5" s="33" cm="1">
        <f t="array" ref="DM5">IF('PBA Summary'!$D$3="","",_xll.ASAssetStatistic($A5,"Ann. Tracking Error vs Benchmark 1",'PBA Summary'!$D$3,,,"m",'PBA Summary'!$F$2,'PBA Summary'!$G$2))</f>
        <v>0.19280244155256868</v>
      </c>
      <c r="DN5" s="33" cm="1">
        <f t="array" ref="DN5">IF('PBA Summary'!$D$2="","",_xll.ASAssetStatistic($A5,"R² vs Benchmark 1",'PBA Summary'!$D$2,,,"m",'PBA Summary'!$F$2,'PBA Summary'!$G$2))</f>
        <v>4.2917553823649389E-2</v>
      </c>
      <c r="DO5" s="33" cm="1">
        <f t="array" ref="DO5">IF('PBA Summary'!$D$3="","",_xll.ASAssetStatistic($A5,"R² vs Benchmark 1",'PBA Summary'!$D$3,,,"m",'PBA Summary'!$F$2,'PBA Summary'!$G$2))</f>
        <v>4.2917553823649389E-2</v>
      </c>
      <c r="DP5" s="11" t="str" cm="1">
        <f t="array" ref="DP5">_xll.ASAssetInfo($A5,"On-/Offshore")</f>
        <v>Unknown</v>
      </c>
      <c r="DQ5" s="16" cm="1">
        <f t="array" ref="DQ5">_xll.ASAssetStatistic($A5,"Quarter-to-date",,,,"m",'PBA Summary'!$F$2,'PBA Summary'!$G$2)</f>
        <v>-3.3245438725809651E-3</v>
      </c>
      <c r="DR5" s="16" cm="1">
        <f t="array" ref="DR5">_xll.ASAssetStatistic($A5,"Annualized Return Since inception",,,,"m",'PBA Summary'!$F$2,'PBA Summary'!$G$2)</f>
        <v>6.5223308070115227E-2</v>
      </c>
      <c r="DS5" s="16" cm="1">
        <f t="array" ref="DS5">IF('PBA Summary'!$D$2="","",_xll.ASAssetStatistic($A5,"Ann. Bear Market Return vs Benchmark 1",'PBA Summary'!$D$2,,,"m",'PBA Summary'!$F$2,'PBA Summary'!$G$2))</f>
        <v>-4.1524531039136336E-2</v>
      </c>
      <c r="DT5" s="16" cm="1">
        <f t="array" ref="DT5">IF('PBA Summary'!$D$2="","",_xll.ASAssetStatistic($A5,"Ann. Bull Market Return vs Benchmark 1",'PBA Summary'!$D$2,,,"m",'PBA Summary'!$F$2,'PBA Summary'!$G$2))</f>
        <v>0.19737552594486063</v>
      </c>
      <c r="DU5" s="16" cm="1">
        <f t="array" ref="DU5">IF('PBA Summary'!$D$3="","",_xll.ASAssetStatistic($A5,"Ann. Bear Market Return vs Benchmark 1",'PBA Summary'!$D$3,,,"m",'PBA Summary'!$F$2,'PBA Summary'!$G$2))</f>
        <v>-4.1524531039136336E-2</v>
      </c>
      <c r="DV5" s="16" cm="1">
        <f t="array" ref="DV5">IF('PBA Summary'!$D$3="","",_xll.ASAssetStatistic($A5,"Ann. Bull Market Return vs Benchmark 1",'PBA Summary'!$D$3,,,"m",'PBA Summary'!$F$2,'PBA Summary'!$G$2))</f>
        <v>0.19737552594486063</v>
      </c>
      <c r="DW5" s="17" cm="1">
        <f t="array" ref="DW5">_xll.ASAssetStatistic($A5,"Average Positive Return",,,,"m",'PBA Summary'!$F$2,'PBA Summary'!$G$2)</f>
        <v>3.8778502655224117E-2</v>
      </c>
      <c r="DX5" s="17" cm="1">
        <f t="array" ref="DX5">_xll.ASAssetStatistic($A5,"Average Negative Return",,,,"m",'PBA Summary'!$F$2,'PBA Summary'!$G$2)</f>
        <v>-3.0583797453731409E-2</v>
      </c>
      <c r="DY5" s="16" cm="1">
        <f t="array" ref="DY5">IF('PBA Summary'!$D$2="","",_xll.ASAssetStatistic($A5,"Outperformance vs Benchmark 1",'PBA Summary'!$D$2,,,"m",'PBA Summary'!$F$2,'PBA Summary'!$G$2))</f>
        <v>-5.6865608117491417E-2</v>
      </c>
      <c r="DZ5" s="16" cm="1">
        <f t="array" ref="DZ5">IF('PBA Summary'!$D$3="","",_xll.ASAssetStatistic($A5,"Outperformance vs Benchmark 1",'PBA Summary'!$D$3,,,"m",'PBA Summary'!$F$2,'PBA Summary'!$G$2))</f>
        <v>-5.6865608117491417E-2</v>
      </c>
      <c r="EA5" s="16" cm="1">
        <f t="array" ref="EA5">IF('PBA Summary'!$D$2="","",_xll.ASAssetStatistic($A5,"Annual Outperformance vs Benchmark 1",'PBA Summary'!$D$2,,,"m",'PBA Summary'!$F$2,'PBA Summary'!$G$2))</f>
        <v>-4.3927578239131737E-2</v>
      </c>
      <c r="EB5" s="16" cm="1">
        <f t="array" ref="EB5">IF('PBA Summary'!$D$3="","",_xll.ASAssetStatistic($A5,"Annual Outperformance vs Benchmark 1",'PBA Summary'!$D$3,,,"m",'PBA Summary'!$F$2,'PBA Summary'!$G$2))</f>
        <v>-4.3927578239131737E-2</v>
      </c>
      <c r="EC5" s="32" cm="1">
        <f t="array" ref="EC5">_xll.ASAssetStatistic($A5,"Rachev Ratio 99%",,,,"m",'PBA Summary'!$F$2,'PBA Summary'!$G$2)</f>
        <v>-0.84158099167719114</v>
      </c>
      <c r="ED5" s="32" cm="1">
        <f t="array" ref="ED5">_xll.ASAssetStatistic($A5,"Rachev Ratio 97%",,,,"m",'PBA Summary'!$F$2,'PBA Summary'!$G$2)</f>
        <v>-0.84158099167719114</v>
      </c>
      <c r="EE5" s="32" cm="1">
        <f t="array" ref="EE5">_xll.ASAssetStatistic($A5,"Rachev Ratio 95%",,,,"m",'PBA Summary'!$F$2,'PBA Summary'!$G$2)</f>
        <v>-0.84158099167719114</v>
      </c>
      <c r="EF5" s="32" cm="1">
        <f t="array" ref="EF5">_xll.ASAssetStatistic($A5,"Rachev Ratio 90%",,,,"m",'PBA Summary'!$F$2,'PBA Summary'!$G$2)</f>
        <v>-1.0140324317295293</v>
      </c>
      <c r="EG5" s="34" cm="1">
        <f t="array" ref="EG5">IF('PBA Summary'!$D$2="","",_xll.ASAssetStatistic($A5,"Annual Up Capture vs Benchmark 1",'PBA Summary'!$D$2,,,"m",'PBA Summary'!$F$2,'PBA Summary'!$G$2))</f>
        <v>0.38991003293793702</v>
      </c>
      <c r="EH5" s="34" cm="1">
        <f t="array" ref="EH5">IF('PBA Summary'!$D$3="","",_xll.ASAssetStatistic($A5,"Annual Up Capture vs Benchmark 1",'PBA Summary'!$D$3,,,"m",'PBA Summary'!$F$2,'PBA Summary'!$G$2))</f>
        <v>0.38991003293793702</v>
      </c>
      <c r="EI5" s="34" cm="1">
        <f t="array" ref="EI5">IF('PBA Summary'!$D$2="","",_xll.ASAssetStatistic($A5,"Annual Down Capture vs Benchmark 1",'PBA Summary'!$D$2,,,"m",'PBA Summary'!$F$2,'PBA Summary'!$G$2))</f>
        <v>0.10090435568891513</v>
      </c>
      <c r="EJ5" s="34" cm="1">
        <f t="array" ref="EJ5">IF('PBA Summary'!$D$3="","",_xll.ASAssetStatistic($A5,"Annual Down Capture vs Benchmark 1",'PBA Summary'!$D$3,,,"m",'PBA Summary'!$F$2,'PBA Summary'!$G$2))</f>
        <v>0.10090435568891513</v>
      </c>
      <c r="EK5" s="16" cm="1">
        <f t="array" ref="EK5">IF('PBA Summary'!$D$2="","",_xll.ASAssetStatistic($A5,"Ann. Tracking Error vs Benchmark 1",'PBA Summary'!$D$2,,,"m",'PBA Summary'!$F$2,'PBA Summary'!$G$2))</f>
        <v>0.19280244155256868</v>
      </c>
      <c r="EL5" s="16" cm="1">
        <f t="array" ref="EL5">IF('PBA Summary'!$D$3="","",_xll.ASAssetStatistic($A5,"Ann. Tracking Error vs Benchmark 1",'PBA Summary'!$D$3,,,"m",'PBA Summary'!$F$2,'PBA Summary'!$G$2))</f>
        <v>0.19280244155256868</v>
      </c>
      <c r="EM5" s="16" cm="1">
        <f t="array" ref="EM5">IF('PBA Summary'!$D$2="","",_xll.ASAssetStatistic($A5,"Annual Jensen Alpha vs Benchmark 1 (Rf)",'PBA Summary'!$D$2,,,"m",'PBA Summary'!$F$2,'PBA Summary'!$G$2))</f>
        <v>9.0895177835564167E-2</v>
      </c>
      <c r="EN5" s="16" cm="1">
        <f t="array" ref="EN5">IF('PBA Summary'!$D$3="","",_xll.ASAssetStatistic($A5,"Annual Jensen Alpha vs Benchmark 1 (Rf)",'PBA Summary'!$D$3,,,"m",'PBA Summary'!$F$2,'PBA Summary'!$G$2))</f>
        <v>9.0895177835564167E-2</v>
      </c>
      <c r="EO5" s="33" cm="1">
        <f t="array" ref="EO5">IF('PBA Summary'!$D$2="","",_xll.ASAssetStatistic($A5,"Ann. Information Ratio vs Benchmark 1",'PBA Summary'!$D$2,,,"m",'PBA Summary'!$F$2,'PBA Summary'!$G$2))</f>
        <v>-0.22783725084287709</v>
      </c>
      <c r="EP5" s="33" cm="1">
        <f t="array" ref="EP5">IF('PBA Summary'!$D$3="","",_xll.ASAssetStatistic($A5,"Ann. Information Ratio vs Benchmark 1",'PBA Summary'!$D$3,,,"m",'PBA Summary'!$F$2,'PBA Summary'!$G$2))</f>
        <v>-0.22783725084287709</v>
      </c>
      <c r="EQ5" s="17" cm="1">
        <f t="array" ref="EQ5">IF('PBA Summary'!$D$2="","",_xll.ASAssetStatistic($A5,"Alpha Monthly vs Benchmark 1",'PBA Summary'!$D$2,,,"m",'PBA Summary'!$F$2,'PBA Summary'!$G$2))</f>
        <v>8.0937902777643844E-3</v>
      </c>
      <c r="ER5" s="17" cm="1">
        <f t="array" ref="ER5">IF('PBA Summary'!$D$3="","",_xll.ASAssetStatistic($A5,"Alpha Monthly vs Benchmark 1",'PBA Summary'!$D$3,,,"m",'PBA Summary'!$F$2,'PBA Summary'!$G$2))</f>
        <v>8.0937902777643844E-3</v>
      </c>
      <c r="ES5" s="11" t="str" cm="1">
        <f t="array" ref="ES5">_xll.ASAssetInfo($A5,"Company AUM (m)")</f>
        <v/>
      </c>
      <c r="ET5" s="16" cm="1">
        <f t="array" ref="ET5">_xll.ASAssetStatistic($A5,"Exponential Annualized Volatility",,,,"m",'PBA Summary'!$F$2,'PBA Summary'!$G$2)</f>
        <v>0.13310380946457973</v>
      </c>
      <c r="EU5" s="16" cm="1">
        <f t="array" ref="EU5">_xll.ASAssetStatistic($A5,"Exponential Annualized Volatility Last 1 year",,,,"m",'PBA Summary'!$F$2,'PBA Summary'!$G$2)</f>
        <v>0.10664442640775135</v>
      </c>
      <c r="EV5" s="16" t="str" cm="1">
        <f t="array" ref="EV5">_xll.ASAssetStatistic($A5,"Exponential Annualized Volatility Last 3 years",,,,"m",'PBA Summary'!$F$2,'PBA Summary'!$G$2)</f>
        <v/>
      </c>
      <c r="EW5" s="34" cm="1">
        <f t="array" ref="EW5">IF('PBA Summary'!$D$2="","",_xll.ASAssetStatistic($A5,"Exponential Correlation to Benchmark 1",'PBA Summary'!$D$2,,,"m",'PBA Summary'!$F$2,'PBA Summary'!$G$2))</f>
        <v>0.16682250765302353</v>
      </c>
      <c r="EX5" s="34" cm="1">
        <f t="array" ref="EX5">IF('PBA Summary'!$D$3="","",_xll.ASAssetStatistic($A5,"Exponential Correlation to Benchmark 1",'PBA Summary'!$D$3,,,"m",'PBA Summary'!$F$2,'PBA Summary'!$G$2))</f>
        <v>0.16682250765302353</v>
      </c>
      <c r="EY5" s="34" cm="1">
        <f t="array" ref="EY5">_xll.ASAssetStatistic($A5,"Exponential Annual Sharpe Ratio (Rf)",,,,"m",'PBA Summary'!$F$2,'PBA Summary'!$G$2)</f>
        <v>1.7816153729817357</v>
      </c>
      <c r="EZ5" s="34" cm="1">
        <f t="array" ref="EZ5">_xll.ASAssetStatistic($A5,"Exponential Normal Monthly VaR 99%",,,,"m",'PBA Summary'!$F$2,'PBA Summary'!$G$2)</f>
        <v>-7.1324098752445039E-2</v>
      </c>
      <c r="FA5" s="34" cm="1">
        <f t="array" ref="FA5">_xll.ASAssetStatistic($A5,"Exponential Normal Monthly VaR 97%",,,,"m",'PBA Summary'!$F$2,'PBA Summary'!$G$2)</f>
        <v>-5.4204228522904907E-2</v>
      </c>
      <c r="FB5" s="34" cm="1">
        <f t="array" ref="FB5">_xll.ASAssetStatistic($A5,"Exponential Normal Monthly VaR 95%",,,,"m",'PBA Summary'!$F$2,'PBA Summary'!$G$2)</f>
        <v>-4.5138527284391147E-2</v>
      </c>
      <c r="FC5" s="34" cm="1">
        <f t="array" ref="FC5">_xll.ASAssetStatistic($A5,"Exponential Normal Monthly VaR 90%",,,,"m",'PBA Summary'!$F$2,'PBA Summary'!$G$2)</f>
        <v>-3.1179096028600372E-2</v>
      </c>
      <c r="FD5" s="34" t="str" cm="1">
        <f t="array" ref="FD5">_xll.ASAssetStatistic($A5,"Exponential Normal weekly VaR 99%",,,,"m",'PBA Summary'!$F$2,'PBA Summary'!$G$2)</f>
        <v/>
      </c>
      <c r="FE5" s="34" t="str" cm="1">
        <f t="array" ref="FE5">_xll.ASAssetStatistic($A5,"Exponential Normal weekly VaR 97%",,,,"m",'PBA Summary'!$F$2,'PBA Summary'!$G$2)</f>
        <v/>
      </c>
      <c r="FF5" s="34" t="str" cm="1">
        <f t="array" ref="FF5">_xll.ASAssetStatistic($A5,"Exponential Normal weekly VaR 95%",,,,"m",'PBA Summary'!$F$2,'PBA Summary'!$G$2)</f>
        <v/>
      </c>
      <c r="FG5" s="34" t="str" cm="1">
        <f t="array" ref="FG5">_xll.ASAssetStatistic($A5,"Exponential Normal weekly VaR 90%",,,,"m",'PBA Summary'!$F$2,'PBA Summary'!$G$2)</f>
        <v/>
      </c>
      <c r="FH5" s="34" t="str" cm="1">
        <f t="array" ref="FH5">_xll.ASAssetStatistic($A5,"Exponential Normal daily VaR 99%",,,,"m",'PBA Summary'!$F$2,'PBA Summary'!$G$2)</f>
        <v/>
      </c>
      <c r="FI5" s="34" t="str" cm="1">
        <f t="array" ref="FI5">_xll.ASAssetStatistic($A5,"Exponential Normal daily VaR 97%",,,,"m",'PBA Summary'!$F$2,'PBA Summary'!$G$2)</f>
        <v/>
      </c>
      <c r="FJ5" s="34" t="str" cm="1">
        <f t="array" ref="FJ5">_xll.ASAssetStatistic($A5,"Exponential Normal daily VaR 95%",,,,"m",'PBA Summary'!$F$2,'PBA Summary'!$G$2)</f>
        <v/>
      </c>
      <c r="FK5" s="34" t="str" cm="1">
        <f t="array" ref="FK5">_xll.ASAssetStatistic($A5,"Exponential Normal daily VaR 90%",,,,"m",'PBA Summary'!$F$2,'PBA Summary'!$G$2)</f>
        <v/>
      </c>
      <c r="FL5" s="34" cm="1">
        <f t="array" ref="FL5">_xll.ASAssetStatistic($A5,"Bias Ratio",,,,"m",'PBA Summary'!$F$2,'PBA Summary'!$G$2)</f>
        <v>1</v>
      </c>
      <c r="FM5" s="11" t="str" cm="1">
        <f t="array" ref="FM5">_xll.ASAssetInfo($A5,"Manager's Biography")</f>
        <v/>
      </c>
      <c r="FN5" s="11" cm="1">
        <f t="array" ref="FN5">_xll.ASAssetInfo($A5,"Investment Min")</f>
        <v>0</v>
      </c>
      <c r="FO5" s="11" t="str" cm="1">
        <f t="array" ref="FO5">_xll.ASAssetInfo($A5,"Auditor")</f>
        <v/>
      </c>
      <c r="FP5" s="11" t="str" cm="1">
        <f t="array" ref="FP5">_xll.ASAssetInfo($A5,"Custodian")</f>
        <v/>
      </c>
      <c r="FQ5" s="11" t="str" cm="1">
        <f t="array" ref="FQ5">_xll.ASAssetInfo($A5,"Administrator")</f>
        <v/>
      </c>
      <c r="FR5" s="14" t="str" cm="1">
        <f t="array" ref="FR5">_xll.ASAssetInfo($A5,"Proxy 1 Start Date")</f>
        <v/>
      </c>
      <c r="FS5" s="14" t="str" cm="1">
        <f t="array" ref="FS5">_xll.ASAssetInfo($A5,"Proxy 1 End Date")</f>
        <v/>
      </c>
      <c r="FT5" s="14" t="str" cm="1">
        <f t="array" ref="FT5">_xll.ASAssetInfo($A5,"Proxy 2 Start Date")</f>
        <v/>
      </c>
      <c r="FU5" s="14" t="str" cm="1">
        <f t="array" ref="FU5">_xll.ASAssetInfo($A5,"Proxy 2 End Date")</f>
        <v/>
      </c>
      <c r="FV5" s="14" t="str" cm="1">
        <f t="array" ref="FV5">_xll.ASAssetInfo($A5,"Proxy 3 Start Date")</f>
        <v/>
      </c>
      <c r="FW5" s="14" t="str" cm="1">
        <f t="array" ref="FW5">_xll.ASAssetInfo($A5,"Proxy 3 End Date")</f>
        <v/>
      </c>
      <c r="FX5" s="14" t="str" cm="1">
        <f t="array" ref="FX5">_xll.ASAssetInfo($A5,"Fund Domicile")</f>
        <v/>
      </c>
      <c r="FY5" s="14" t="str" cm="1">
        <f t="array" ref="FY5">_xll.ASAssetInfo($A5,"Fund Contact")</f>
        <v/>
      </c>
      <c r="FZ5" s="14" t="str" cm="1">
        <f t="array" ref="FZ5">_xll.ASAssetInfo($A5,"Fund Contact Email")</f>
        <v/>
      </c>
      <c r="GA5" s="14" t="str" cm="1">
        <f t="array" ref="GA5">_xll.ASAssetInfo($A5,"Fund Contact Number")</f>
        <v/>
      </c>
      <c r="GB5" s="14" t="str" cm="1">
        <f t="array" ref="GB5">_xll.ASAssetInfo($A5,"City")</f>
        <v/>
      </c>
      <c r="GC5" s="14" t="str" cm="1">
        <f t="array" ref="GC5">_xll.ASAssetInfo($A5,"Leverage")</f>
        <v/>
      </c>
      <c r="GD5" s="14" t="str" cm="1">
        <f t="array" ref="GD5">_xll.ASAssetInfo($A5,"Lockup 1 Duration")</f>
        <v>0 Months</v>
      </c>
      <c r="GE5" s="14" t="str" cm="1">
        <f t="array" ref="GE5">_xll.ASAssetInfo($A5,"Lockup 2 Duration")</f>
        <v>0 Months</v>
      </c>
      <c r="GF5" s="14" t="str" cm="1">
        <f t="array" ref="GF5">_xll.ASAssetInfo($A5,"Lockup 3 Duration")</f>
        <v>0 Months</v>
      </c>
      <c r="GG5" s="31" t="str" cm="1">
        <f t="array" ref="GG5">_xll.ASAssetInfo($A5,"Fund Level Gate")</f>
        <v/>
      </c>
      <c r="GH5" s="31" t="str" cm="1">
        <f t="array" ref="GH5">_xll.ASAssetInfo($A5,"Fund Level Gate Frequency")</f>
        <v>Unknown</v>
      </c>
      <c r="GI5" s="35" cm="1">
        <f t="array" ref="GI5">_xll.ASAssetInfo($A5,"Payment 2 (%)")</f>
        <v>0</v>
      </c>
      <c r="GJ5" s="35" t="str" cm="1">
        <f t="array" ref="GJ5">_xll.ASAssetInfo($A5,"Payment 2 (days)")</f>
        <v/>
      </c>
      <c r="GK5" s="35" t="str" cm="1">
        <f t="array" ref="GK5">_xll.ASAssetInfo($A5,"Payment 2 (Paid After)")</f>
        <v>NAV Date</v>
      </c>
      <c r="GL5" s="35" cm="1">
        <f t="array" ref="GL5">_xll.ASAssetInfo($A5,"Payment 3 (%)")</f>
        <v>0</v>
      </c>
      <c r="GM5" s="36" t="str" cm="1">
        <f t="array" ref="GM5">_xll.ASAssetInfo($A5,"Payment 3 (Days)")</f>
        <v/>
      </c>
      <c r="GN5" s="35" t="str" cm="1">
        <f t="array" ref="GN5">_xll.ASAssetInfo($A5,"Payment 3 (Paid After)")</f>
        <v>NAV Date</v>
      </c>
      <c r="GO5" s="35" cm="1">
        <f t="array" ref="GO5">_xll.ASAssetInfo($A5,"Payment 4 (%)")</f>
        <v>0</v>
      </c>
      <c r="GP5" s="36" t="str" cm="1">
        <f t="array" ref="GP5">_xll.ASAssetInfo($A5,"Payment 4 (days)")</f>
        <v/>
      </c>
      <c r="GQ5" s="35" t="str" cm="1">
        <f t="array" ref="GQ5">_xll.ASAssetInfo($A5,"Payment 4 (Paid After)")</f>
        <v>NAV Date</v>
      </c>
      <c r="GR5" s="31" cm="1">
        <f t="array" ref="GR5">_xll.ASAssetInfo($A5,"Payment 1 (%)")</f>
        <v>1</v>
      </c>
      <c r="GS5" s="35" cm="1">
        <f t="array" ref="GS5">_xll.ASAssetInfo($A5,"Lockup 1 Fee")</f>
        <v>0</v>
      </c>
      <c r="GT5" s="35" cm="1">
        <f t="array" ref="GT5">_xll.ASAssetInfo($A5,"Lockup 2 Fee")</f>
        <v>0</v>
      </c>
      <c r="GU5" s="35" cm="1">
        <f t="array" ref="GU5">_xll.ASAssetInfo($A5,"Lockup 3 Fee")</f>
        <v>0</v>
      </c>
      <c r="GV5" s="35" t="str" cm="1">
        <f t="array" ref="GV5">_xll.ASAssetInfo($A5,"Lockup 1 type")</f>
        <v>None</v>
      </c>
      <c r="GW5" s="35" t="str" cm="1">
        <f t="array" ref="GW5">_xll.ASAssetInfo($A5,"Lockup 2 type")</f>
        <v>None</v>
      </c>
      <c r="GX5" s="35" t="str" cm="1">
        <f t="array" ref="GX5">_xll.ASAssetInfo($A5,"Lockup 3 type")</f>
        <v>None</v>
      </c>
      <c r="GY5" s="35" t="str" cm="1">
        <f t="array" ref="GY5">_xll.ASAssetInfo($A5,"Redemption 1 type")</f>
        <v>Calendar</v>
      </c>
      <c r="GZ5" s="35" t="str" cm="1">
        <f t="array" ref="GZ5">_xll.ASAssetInfo($A5,"Redemption 2 type")</f>
        <v>Calendar</v>
      </c>
      <c r="HA5" s="35" t="str" cm="1">
        <f t="array" ref="HA5">_xll.ASAssetInfo($A5,"Redemption 3 type")</f>
        <v>Calendar</v>
      </c>
      <c r="HB5" s="35" t="str" cm="1">
        <f t="array" ref="HB5">_xll.ASAssetInfo($A5,"Redemption 1 Fee")</f>
        <v/>
      </c>
      <c r="HC5" s="35" t="str" cm="1">
        <f t="array" ref="HC5">_xll.ASAssetInfo($A5,"Redemption 2 Fee")</f>
        <v/>
      </c>
      <c r="HD5" s="35" t="str" cm="1">
        <f t="array" ref="HD5">_xll.ASAssetInfo($A5,"Redemption 3 Fee")</f>
        <v/>
      </c>
      <c r="HE5" s="35" t="str" cm="1">
        <f t="array" ref="HE5">_xll.ASAssetInfo($A5,"Redemption 1 Frequency")</f>
        <v>Unknown</v>
      </c>
      <c r="HF5" s="35" t="str" cm="1">
        <f t="array" ref="HF5">_xll.ASAssetInfo($A5,"Redemption 2 Frequency")</f>
        <v>Unknown</v>
      </c>
      <c r="HG5" s="35" t="str" cm="1">
        <f t="array" ref="HG5">_xll.ASAssetInfo($A5,"Redemption 3 Frequency")</f>
        <v>Unknown</v>
      </c>
      <c r="HH5" s="35" t="str" cm="1">
        <f t="array" ref="HH5">_xll.ASAssetInfo($A5,"Asset Calendar")</f>
        <v>[Default]</v>
      </c>
      <c r="HI5" s="16" cm="1">
        <f t="array" ref="HI5">_xll.ASAssetStatistic($A5,"Max Second Drawdown",,,,"m",'PBA Summary'!$F$2,'PBA Summary'!$G$2)</f>
        <v>-1.3764779713541286E-2</v>
      </c>
      <c r="HJ5" s="37" cm="1">
        <f t="array" ref="HJ5">_xll.ASAssetStatistic($A5,"Date Max Second Drawdown",,,,"m",'PBA Summary'!$F$2,'PBA Summary'!$G$2)</f>
        <v>43769</v>
      </c>
      <c r="HK5" s="37" t="str" cm="1">
        <f t="array" ref="HK5">_xll.ASAssetInfo($A5,HK$1)</f>
        <v>DOX UW</v>
      </c>
      <c r="HL5" s="37" t="str" cm="1">
        <f t="array" ref="HL5">_xll.ASAssetInfo($A5,HL$1)</f>
        <v/>
      </c>
      <c r="HM5" s="34" cm="1">
        <f t="array" ref="HM5">_xll.ASAssetInfo($A5,HM$1)</f>
        <v>57.08</v>
      </c>
      <c r="HN5" s="37" t="str" cm="1">
        <f t="array" ref="HN5">_xll.ASAssetInfo($A5,HN$1)</f>
        <v/>
      </c>
      <c r="HO5" s="15" cm="1">
        <f t="array" ref="HO5">_xll.ASAssetInfo($A5,HO$1)</f>
        <v>0</v>
      </c>
      <c r="HP5" s="15" t="str" cm="1">
        <f t="array" ref="HP5">_xll.ASAssetInfo($A5,HP$1)</f>
        <v/>
      </c>
      <c r="HQ5" s="34" t="str" cm="1">
        <f t="array" ref="HQ5">_xll.ASAssetInfo($A5,HQ$1)</f>
        <v/>
      </c>
      <c r="HR5" s="37" t="str" cm="1">
        <f t="array" ref="HR5">_xll.ASAssetInfo($A5,HR$1)</f>
        <v/>
      </c>
      <c r="HS5" s="37" t="str" cm="1">
        <f t="array" ref="HS5">_xll.ASAssetInfo($A5,HS$1)</f>
        <v/>
      </c>
      <c r="HT5" s="37" t="str" cm="1">
        <f t="array" ref="HT5">_xll.ASAssetInfo($A5,HT$1)</f>
        <v/>
      </c>
      <c r="HU5" s="37" t="str" cm="1">
        <f t="array" ref="HU5">_xll.ASAssetInfo($A5,HU$1)</f>
        <v>U.S.</v>
      </c>
      <c r="HV5" s="37" t="str" cm="1">
        <f t="array" ref="HV5">_xll.ASAssetInfo($A5,HV$1)</f>
        <v/>
      </c>
      <c r="HW5" s="37" t="str" cm="1">
        <f t="array" ref="HW5">_xll.ASAssetInfo($A5,HW$1)</f>
        <v/>
      </c>
    </row>
    <row r="6" spans="1:231" s="11" customFormat="1" ht="13.9" customHeight="1" x14ac:dyDescent="0.25">
      <c r="A6" t="s">
        <v>289</v>
      </c>
      <c r="B6" cm="1">
        <f t="array" ref="B6">_xll.ASPortfolioWeights('PBA Summary'!$C$2,"OR",$A6)</f>
        <v>0</v>
      </c>
      <c r="C6" cm="1">
        <f t="array" ref="C6">_xll.ASAssetStatistic($A6,"Annualized Return since inception",,,,"m",_xll.ASAssetInfo($A6,"Start Date"),_xll.ASAssetInfo($A6,"Last Return Date"))</f>
        <v>0.29784787293988146</v>
      </c>
      <c r="D6" cm="1">
        <f t="array" ref="D6">_xll.ASAssetStatistic($A6,"Annualized Return",,,,"m",'PBA Summary'!$F$2,'PBA Summary'!$G$2)</f>
        <v>0.20328650111326785</v>
      </c>
      <c r="E6" s="19" cm="1">
        <f t="array" ref="E6">_xll.ASAssetStatistic($A6,"Equilibrium Annual Return",,,,"m",'PBA Summary'!$F$2,'PBA Summary'!$G$2)</f>
        <v>0.12765739257749642</v>
      </c>
      <c r="F6" cm="1">
        <f t="array" ref="F6">_xll.ASAssetStatistic($A6,"Annualized Volatility (Inception)",,,,"m",_xll.ASAssetInfo($A6,"Start Date"),_xll.ASAssetInfo($A6,"Last Return Date"))</f>
        <v>0.28425883192040047</v>
      </c>
      <c r="G6" cm="1">
        <f t="array" ref="G6">_xll.ASAssetStatistic($A6,"Annualized Volatility",,,,"m",'PBA Summary'!$F$2,'PBA Summary'!$G$2)</f>
        <v>0.33017403408150231</v>
      </c>
      <c r="H6" s="20" cm="1">
        <f t="array" ref="H6">_xll.ASAssetStatistic($A6,"Skewness",,,,"m",'PBA Summary'!$F$2,'PBA Summary'!$G$2)</f>
        <v>-4.1306933720465275E-2</v>
      </c>
      <c r="I6" s="20" cm="1">
        <f t="array" ref="I6">_xll.ASAssetStatistic($A6,"Excess kurtosis",,,,"m",'PBA Summary'!$F$2,'PBA Summary'!$G$2)</f>
        <v>-0.37451803929711541</v>
      </c>
      <c r="J6" s="19" cm="1">
        <f t="array" ref="J6">_xll.ASAssetStatistic($A6,"Return Last 1 month",,,,"m",'PBA Summary'!$F$2,'PBA Summary'!$G$2)</f>
        <v>3.4965842465601193E-2</v>
      </c>
      <c r="K6" s="19" cm="1">
        <f t="array" ref="K6">_xll.ASAssetStatistic($A6,"Return Last 3 months",,,,"m",'PBA Summary'!$F$2,'PBA Summary'!$G$2)</f>
        <v>0.17551567818212344</v>
      </c>
      <c r="L6" s="19" cm="1">
        <f t="array" ref="L6">_xll.ASAssetStatistic($A6,"Return Last 1 year",,,,"m",'PBA Summary'!$F$2,'PBA Summary'!$G$2)</f>
        <v>0.20773719613574948</v>
      </c>
      <c r="M6" s="19" cm="1">
        <f t="array" ref="M6">_xll.ASAssetStatistic($A6,"Year-to-date Return",,,,"m",'PBA Summary'!$F$2,'PBA Summary'!$G$2)</f>
        <v>3.4965842465601193E-2</v>
      </c>
      <c r="N6" s="19" cm="1">
        <f t="array" ref="N6">_xll.ASAssetStatistic($A6,"Annualized Return",,,,"m",EOMONTH('PBA Summary'!$G$2,-2),'PBA Summary'!$G$2)</f>
        <v>0.90947379761133162</v>
      </c>
      <c r="O6" s="19" t="str" cm="1">
        <f t="array" ref="O6">_xll.ASAssetStatistic($A6,"Annualized Return Last 3 years",,,,"m",'PBA Summary'!$F$2,'PBA Summary'!$G$2)</f>
        <v/>
      </c>
      <c r="P6" s="19" t="str" cm="1">
        <f t="array" ref="P6">_xll.ASAssetStatistic($A6,"Annualized Return Last 5 years",,,,"m",'PBA Summary'!$F$2,'PBA Summary'!$G$2)</f>
        <v/>
      </c>
      <c r="Q6" s="19" cm="1">
        <f t="array" ref="Q6">_xll.ASAssetStatistic($A6,"Annualized Volatility Last 1 year",,,,"m",'PBA Summary'!$F$2,'PBA Summary'!$G$2)</f>
        <v>0.30126660568730229</v>
      </c>
      <c r="R6" s="19" t="str" cm="1">
        <f t="array" ref="R6">_xll.ASAssetStatistic($A6,"Annualized Volatility Last 3 years",,,,"m",'PBA Summary'!$F$2,'PBA Summary'!$G$2)</f>
        <v/>
      </c>
      <c r="S6" s="19" t="str" cm="1">
        <f t="array" ref="S6">_xll.ASAssetStatistic($A6,"Annualized Volatility Last 5 years",,,,"m",'PBA Summary'!$F$2,'PBA Summary'!$G$2)</f>
        <v/>
      </c>
      <c r="T6" s="19" cm="1">
        <f t="array" ref="T6">_xll.ASAssetStatistic($A6,"Normal monthly VaR 99%",,,,"m",'PBA Summary'!$F$2,'PBA Summary'!$G$2)</f>
        <v>-0.20199137071424764</v>
      </c>
      <c r="U6" s="19" cm="1">
        <f t="array" ref="U6">_xll.ASAssetStatistic($A6,"Modified monthly VaR 99%",,,,"m",'PBA Summary'!$F$2,'PBA Summary'!$G$2)</f>
        <v>-0.19647977880306458</v>
      </c>
      <c r="V6" s="19" cm="1">
        <f t="array" ref="V6">_xll.ASAssetStatistic($A6,"Conditional monthly VaR 99%",,,,"m",'PBA Summary'!$F$2,'PBA Summary'!$G$2)</f>
        <v>-0.13744243922930011</v>
      </c>
      <c r="W6" s="19" cm="1">
        <f t="array" ref="W6">_xll.ASAssetStatistic($A6,"Normal monthly VaR 97%",,,,"m",'PBA Summary'!$F$2,'PBA Summary'!$G$2)</f>
        <v>-0.15952424194177414</v>
      </c>
      <c r="X6" s="19" cm="1">
        <f t="array" ref="X6">_xll.ASAssetStatistic($A6,"Modified monthly VaR 97%",,,,"m",'PBA Summary'!$F$2,'PBA Summary'!$G$2)</f>
        <v>-0.15966831777389923</v>
      </c>
      <c r="Y6" s="19" cm="1">
        <f t="array" ref="Y6">_xll.ASAssetStatistic($A6,"Conditional monthly VaR 97%",,,,"m",'PBA Summary'!$F$2,'PBA Summary'!$G$2)</f>
        <v>-0.13744243922930011</v>
      </c>
      <c r="Z6" s="19" cm="1">
        <f t="array" ref="Z6">_xll.ASAssetStatistic($A6,"Normal monthly VaR 95%",,,,"m",'PBA Summary'!$F$2,'PBA Summary'!$G$2)</f>
        <v>-0.13703608655585114</v>
      </c>
      <c r="AA6" s="19" cm="1">
        <f t="array" ref="AA6">_xll.ASAssetStatistic($A6,"Modified monthly VaR 95%",,,,"m",'PBA Summary'!$F$2,'PBA Summary'!$G$2)</f>
        <v>-0.13887255907036658</v>
      </c>
      <c r="AB6" s="19" cm="1">
        <f t="array" ref="AB6">_xll.ASAssetStatistic($A6,"Conditional monthly VaR 95%",,,,"m",'PBA Summary'!$F$2,'PBA Summary'!$G$2)</f>
        <v>-0.13744243922930011</v>
      </c>
      <c r="AC6" s="66" cm="1">
        <f t="array" ref="AC6">_xll.ASAssetStatistic($A6,"Correlation to Benchmark 1","MSCI ACWI Index",,,"m",'PBA Summary'!$F$2,'PBA Summary'!$G$2)</f>
        <v>0.86643695964265699</v>
      </c>
      <c r="AD6" s="38" cm="1">
        <f t="array" ref="AD6">IF('PBA Summary'!$D$3="","",_xll.ASAssetStatistic($A6,"Correlation to Benchmark 1",'PBA Summary'!$D$3,,,"m",'PBA Summary'!$F$2,'PBA Summary'!$G$2))</f>
        <v>0.8885108948057584</v>
      </c>
      <c r="AE6" s="21" cm="1">
        <f t="array" ref="AE6">IF('PBA Summary'!$D$2="","",_xll.ASAssetStatistic($A6,"Bull correlation to Benchmark 1",'PBA Summary'!$D$2,,,"m",'PBA Summary'!$F$2,'PBA Summary'!$G$2))</f>
        <v>0.81369283618964305</v>
      </c>
      <c r="AF6" s="21" cm="1">
        <f t="array" ref="AF6">IF('PBA Summary'!$D$2="","",_xll.ASAssetStatistic($A6,"Bear correlation to Benchmark 1",'PBA Summary'!$D$2,,,"m",'PBA Summary'!$F$2,'PBA Summary'!$G$2))</f>
        <v>0.84823859524443379</v>
      </c>
      <c r="AG6" s="21" cm="1">
        <f t="array" ref="AG6">IF('PBA Summary'!$D$3="","",_xll.ASAssetStatistic($A6,"Bull correlation to Benchmark 1",'PBA Summary'!$D$3,,,"m",'PBA Summary'!$F$2,'PBA Summary'!$G$2))</f>
        <v>0.81369283618964305</v>
      </c>
      <c r="AH6" s="21" cm="1">
        <f t="array" ref="AH6">IF('PBA Summary'!$D$3="","",_xll.ASAssetStatistic($A6,"Bear correlation to Benchmark 1",'PBA Summary'!$D$3,,,"m",'PBA Summary'!$F$2,'PBA Summary'!$G$2))</f>
        <v>0.84823859524443379</v>
      </c>
      <c r="AI6" s="24" cm="1">
        <f t="array" ref="AI6">IF('PBA Summary'!$D$2="","",_xll.ASAssetStatistic($A6,"Beta to Benchmark 1",'PBA Summary'!$D$2,,,"m",'PBA Summary'!$F$2,'PBA Summary'!$G$2))</f>
        <v>1.9108623602043449</v>
      </c>
      <c r="AJ6" s="24" t="str" cm="1">
        <f t="array" ref="AJ6">IF('PBA Summary'!$D$2="","",_xll.ASAssetStatistic($A6,"Beta to Benchmark 1 Last 3 years",'PBA Summary'!$D$2,,,"m",'PBA Summary'!$F$2,'PBA Summary'!$G$2))</f>
        <v/>
      </c>
      <c r="AK6" s="24" t="str" cm="1">
        <f t="array" ref="AK6">IF('PBA Summary'!$D$2="","",_xll.ASAssetStatistic($A6,"Beta to Benchmark 1 Last 5 years",'PBA Summary'!$D$2,,,"m",'PBA Summary'!$F$2,'PBA Summary'!$G$2))</f>
        <v/>
      </c>
      <c r="AL6" s="25" cm="1">
        <f t="array" ref="AL6">IF('PBA Summary'!$D$3="","",_xll.ASAssetStatistic($A6,"Beta to Benchmark 1",'PBA Summary'!$D$3,,,"m",'PBA Summary'!$F$2,'PBA Summary'!$G$2))</f>
        <v>1.9108623602043449</v>
      </c>
      <c r="AM6" s="25" t="str" cm="1">
        <f t="array" ref="AM6">IF('PBA Summary'!$D$3="","",_xll.ASAssetStatistic($A6,"Beta to Benchmark 1 Last 3 years",'PBA Summary'!$D$3,,,"m",'PBA Summary'!$F$2,'PBA Summary'!$G$2))</f>
        <v/>
      </c>
      <c r="AN6" s="25" t="str" cm="1">
        <f t="array" ref="AN6">IF('PBA Summary'!$D$3="","",_xll.ASAssetStatistic($A6,"Beta to Benchmark 1 Last 5 years",'PBA Summary'!$D$3,,,"m",'PBA Summary'!$F$2,'PBA Summary'!$G$2))</f>
        <v/>
      </c>
      <c r="AO6" s="25" cm="1">
        <f t="array" ref="AO6">IF('PBA Summary'!$D$2="","",_xll.ASAssetStatistic($A6,"Bull Beta to Benchmark 1",'PBA Summary'!$D$2,,,"m",'PBA Summary'!$F$2,'PBA Summary'!$G$2))</f>
        <v>2.7107531115824384</v>
      </c>
      <c r="AP6" s="25" cm="1">
        <f t="array" ref="AP6">IF('PBA Summary'!$D$2="","",_xll.ASAssetStatistic($A6,"Bear Beta to Benchmark 1",'PBA Summary'!$D$2,,,"m",'PBA Summary'!$F$2,'PBA Summary'!$G$2))</f>
        <v>1.6505780726864161</v>
      </c>
      <c r="AQ6" s="25" cm="1">
        <f t="array" ref="AQ6">IF('PBA Summary'!$D$3="","",_xll.ASAssetStatistic($A6,"Bull Beta to Benchmark 1",'PBA Summary'!$D$3,,,"m",'PBA Summary'!$F$2,'PBA Summary'!$G$2))</f>
        <v>2.7107531115824384</v>
      </c>
      <c r="AR6" s="25" cm="1">
        <f t="array" ref="AR6">IF('PBA Summary'!$D$3="","",_xll.ASAssetStatistic($A6,"Bear Beta to Benchmark 1",'PBA Summary'!$D$3,,,"m",'PBA Summary'!$F$2,'PBA Summary'!$G$2))</f>
        <v>1.6505780726864161</v>
      </c>
      <c r="AS6" s="25" cm="1">
        <f t="array" ref="AS6">_xll.ASAssetStatistic($A6,"Annual Sharpe Ratio (Rf)",,,'PBA Summary'!$H$2,"m",'PBA Summary'!$F$2,'PBA Summary'!$G$2)</f>
        <v>0.60812323316649541</v>
      </c>
      <c r="AT6" s="25" t="str" cm="1">
        <f t="array" ref="AT6">_xll.ASAssetStatistic($A6,"Annual Sharpe Ratio (Rf) Last 3 years",,,'PBA Summary'!$H$2,"m",'PBA Summary'!$F$2,'PBA Summary'!$G$2)</f>
        <v/>
      </c>
      <c r="AU6" s="25" t="str" cm="1">
        <f t="array" ref="AU6">_xll.ASAssetStatistic($A6,"Annual Sharpe Ratio (Rf) Last 5 years",,,'PBA Summary'!$H$2,"m",'PBA Summary'!$F$2,'PBA Summary'!$G$2)</f>
        <v/>
      </c>
      <c r="AV6" s="18" cm="1">
        <f t="array" ref="AV6">_xll.ASAssetStatistic($A6,"Ann. Downside Deviation (vs 0%)",,,'PBA Summary'!$H$2,"m",'PBA Summary'!$F$2,'PBA Summary'!$G$2)</f>
        <v>0.19156020096753304</v>
      </c>
      <c r="AW6" s="18" cm="1">
        <f t="array" ref="AW6">_xll.ASAssetStatistic($A6,"Ann. Downside Deviation (vs Rf)",,,'PBA Summary'!$H$2,"m",'PBA Summary'!$F$2,'PBA Summary'!$G$2)</f>
        <v>0.19190400957387835</v>
      </c>
      <c r="AX6" s="39" cm="1">
        <f t="array" ref="AX6">_xll.ASAssetStatistic($A6,"Annual Treynor ratio",,,'PBA Summary'!$H$2,"m",'PBA Summary'!$F$2,'PBA Summary'!$G$2)</f>
        <v>0.10506061597457501</v>
      </c>
      <c r="AY6" s="26" cm="1">
        <f t="array" ref="AY6">_xll.ASAssetStatistic($A6,"Annual Sortino Ratio (vs 0%)",,,'PBA Summary'!$H$2,"m",'PBA Summary'!$F$2,'PBA Summary'!$G$2)</f>
        <v>1.0612146995383569</v>
      </c>
      <c r="AZ6" s="26" cm="1">
        <f t="array" ref="AZ6">_xll.ASAssetStatistic($A6,"Annual Sortino Ratio (vs Rf)",,,'PBA Summary'!$H$2,"m",'PBA Summary'!$F$2,'PBA Summary'!$G$2)</f>
        <v>1.0462861175184042</v>
      </c>
      <c r="BA6" s="26" cm="1">
        <f t="array" ref="BA6">_xll.ASAssetStatistic($A6,"Sterling ratio",,,'PBA Summary'!$H$2,"m",'PBA Summary'!$F$2,'PBA Summary'!$G$2)</f>
        <v>0.85615066023202535</v>
      </c>
      <c r="BB6" s="26" cm="1">
        <f t="array" ref="BB6">_xll.ASAssetStatistic($A6,"Calmar ratio",,,'PBA Summary'!$H$2,"m",'PBA Summary'!$F$2,'PBA Summary'!$G$2)</f>
        <v>1.4790664532235036</v>
      </c>
      <c r="BC6" s="26" cm="1">
        <f t="array" ref="BC6">_xll.ASAssetStatistic($A6,"Hurst index",,,'PBA Summary'!$H$2,"m",'PBA Summary'!$F$2,'PBA Summary'!$G$2)</f>
        <v>0.27298712789755269</v>
      </c>
      <c r="BD6" s="26" cm="1">
        <f t="array" ref="BD6">_xll.ASAssetStatistic($A6,"Omega (Threshold 1)",,,'PBA Summary'!$H$2,"m",'PBA Summary'!$F$2,'PBA Summary'!$G$2)</f>
        <v>1.7487680042634266</v>
      </c>
      <c r="BE6" s="26" cm="1">
        <f t="array" ref="BE6">_xll.ASAssetStatistic($A6,"Omega (Threshold 2)",,,'PBA Summary'!$H$2,"m",'PBA Summary'!$F$2,'PBA Summary'!$G$2)</f>
        <v>1.5241831731214728</v>
      </c>
      <c r="BF6" s="26" cm="1">
        <f t="array" ref="BF6">_xll.ASAssetStatistic($A6,"Omega (Threshold 3)",,,'PBA Summary'!$H$2,"m",'PBA Summary'!$F$2,'PBA Summary'!$G$2)</f>
        <v>1.3233725674260155</v>
      </c>
      <c r="BG6" s="26" cm="1">
        <f t="array" ref="BG6">_xll.ASAssetStatistic($A6,"Omega (Threshold 4)",,,'PBA Summary'!$H$2,"m",'PBA Summary'!$F$2,'PBA Summary'!$G$2)</f>
        <v>1.1447136497245545</v>
      </c>
      <c r="BH6" s="26" cm="1">
        <f t="array" ref="BH6">_xll.ASAssetStatistic($A6,"Omega (Threshold 5)",,,'PBA Summary'!$H$2,"m",'PBA Summary'!$F$2,'PBA Summary'!$G$2)</f>
        <v>0.99265683558933271</v>
      </c>
      <c r="BI6" s="26" t="str" cm="1">
        <f t="array" ref="BI6">_xll.ASAssetStatistic($A6,"Autocorrelated (illiquid)",,,'PBA Summary'!$H$2,"m",'PBA Summary'!$F$2,'PBA Summary'!$G$2)</f>
        <v>No</v>
      </c>
      <c r="BJ6" s="27" cm="1">
        <f t="array" ref="BJ6">_xll.ASAssetStatistic($A6,"% months in Run Up",,,'PBA Summary'!$H$2,"m",'PBA Summary'!$F$2,'PBA Summary'!$G$2)</f>
        <v>0.66666666666666674</v>
      </c>
      <c r="BK6" s="27" cm="1">
        <f t="array" ref="BK6">_xll.ASAssetStatistic($A6,"% months in Drawdown",,,'PBA Summary'!$H$2,"m",'PBA Summary'!$F$2,'PBA Summary'!$G$2)</f>
        <v>0.33333333333333331</v>
      </c>
      <c r="BL6" s="18" cm="1">
        <f t="array" ref="BL6">IF('PBA Summary'!$D$2="","",_xll.ASAssetStatistic($A6,"Bull Beta to Benchmark 1",'PBA Summary'!$D$2,,,"m",'PBA Summary'!$F$2,'PBA Summary'!$G$2))</f>
        <v>2.7107531115824384</v>
      </c>
      <c r="BM6" s="18" cm="1">
        <f t="array" ref="BM6">IF('PBA Summary'!$D$2="","",_xll.ASAssetStatistic($A6,"Average return during bear Benchmark 1",'PBA Summary'!$D$2,,,"m",'PBA Summary'!$F$2,'PBA Summary'!$G$2))</f>
        <v>-8.1094777419512182E-2</v>
      </c>
      <c r="BN6" s="18" cm="1">
        <f t="array" ref="BN6">IF('PBA Summary'!$D$3="","",_xll.ASAssetStatistic($A6,"Average return during bull Benchmark 1",'PBA Summary'!$D$3,,,"m",'PBA Summary'!$F$2,'PBA Summary'!$G$2))</f>
        <v>5.64070590630638E-2</v>
      </c>
      <c r="BO6" s="18" cm="1">
        <f t="array" ref="BO6">IF('PBA Summary'!$D$3="","",_xll.ASAssetStatistic($A6,"Average return during bear Benchmark 1",'PBA Summary'!$D$3,,,"m",'PBA Summary'!$F$2,'PBA Summary'!$G$2))</f>
        <v>-8.1094777419512182E-2</v>
      </c>
      <c r="BP6" s="27" cm="1">
        <f t="array" ref="BP6">_xll.ASAssetStatistic($A6,"Maximum consecutive gain",,,'PBA Summary'!$H$2,"m",'PBA Summary'!$F$2,'PBA Summary'!$G$2)</f>
        <v>0.26969639029495429</v>
      </c>
      <c r="BQ6" s="27" cm="1">
        <f t="array" ref="BQ6">_xll.ASAssetStatistic($A6,"Maximum consecutive loss",,,'PBA Summary'!$H$2,"m",'PBA Summary'!$F$2,'PBA Summary'!$G$2)</f>
        <v>-0.13744243922930011</v>
      </c>
      <c r="BR6" s="27" cm="1">
        <f t="array" ref="BR6">_xll.ASAssetStatistic($A6,"Max monthly gain",,,'PBA Summary'!$H$2,"m",'PBA Summary'!$F$2,'PBA Summary'!$G$2)</f>
        <v>0.17800050078218455</v>
      </c>
      <c r="BS6" s="27" cm="1">
        <f t="array" ref="BS6">_xll.ASAssetStatistic($A6,"Max monthly loss",,,'PBA Summary'!$H$2,"m",'PBA Summary'!$F$2,'PBA Summary'!$G$2)</f>
        <v>-0.13744243922930011</v>
      </c>
      <c r="BT6" s="27" cm="1">
        <f t="array" ref="BT6">_xll.ASAssetStatistic($A6,"Max drawdown",,,'PBA Summary'!$H$2,"m",'PBA Summary'!$F$2,'PBA Summary'!$G$2)</f>
        <v>-0.13744243922930011</v>
      </c>
      <c r="BU6" s="28" cm="1">
        <f t="array" ref="BU6">_xll.ASAssetStatistic($A6,"Date Max drawdown",,,'PBA Summary'!$H$2,"m",'PBA Summary'!$F$2,'PBA Summary'!$G$2)</f>
        <v>43616</v>
      </c>
      <c r="BV6" s="28" cm="1">
        <f t="array" ref="BV6">_xll.ASAssetStatistic($A6,"Start Date Max Drawdown",,,'PBA Summary'!$H$2,"m",'PBA Summary'!$F$2,'PBA Summary'!$G$2)</f>
        <v>43616</v>
      </c>
      <c r="BW6" s="28" cm="1">
        <f t="array" ref="BW6">_xll.ASAssetStatistic($A6,"End Date Max Drawdown",,,'PBA Summary'!$H$2,"m",'PBA Summary'!$F$2,'PBA Summary'!$G$2)</f>
        <v>43616</v>
      </c>
      <c r="BX6" s="29" cm="1">
        <f t="array" ref="BX6">_xll.ASAssetStatistic($A6,"Max Time-under-water (months)",,,'PBA Summary'!$H$2,"m",'PBA Summary'!$F$2,'PBA Summary'!$G$2)</f>
        <v>3</v>
      </c>
      <c r="BY6" s="27" cm="1">
        <f t="array" ref="BY6">_xll.ASAssetStatistic($A6,"Max possible drawdown 99%",,,'PBA Summary'!$H$2,"m",'PBA Summary'!$F$2,'PBA Summary'!$G$2)</f>
        <v>-0.6226570417189341</v>
      </c>
      <c r="BZ6" s="27" cm="1">
        <f t="array" ref="BZ6">_xll.ASAssetStatistic($A6,"Max possible drawdown 99.9%",,,'PBA Summary'!$H$2,"m",'PBA Summary'!$F$2,'PBA Summary'!$G$2)</f>
        <v>-1</v>
      </c>
      <c r="CA6" s="30" cm="1">
        <f t="array" ref="CA6">_xll.ASAssetStatistic($A6,"Max Possible Time-under-water 99% (months)",,,'PBA Summary'!$H$2,"m",'PBA Summary'!$F$2,'PBA Summary'!$G$2)</f>
        <v>126.17226177866686</v>
      </c>
      <c r="CB6" s="30" cm="1">
        <f t="array" ref="CB6">_xll.ASAssetStatistic($A6,"Max Possible Time-under-water 99.9% (months)",,,'PBA Summary'!$H$2,"m",'PBA Summary'!$F$2,'PBA Summary'!$G$2)</f>
        <v>222.63673734262514</v>
      </c>
      <c r="CC6" s="17" cm="1">
        <f t="array" ref="CC6">_xll.ASPortfolioReturnAttribution('PBA Summary'!$C$2,"OR",A6,"Last 1m",'PBA Summary'!$F$2,'PBA Summary'!$G$2)</f>
        <v>0</v>
      </c>
      <c r="CD6" s="11" t="str" cm="1">
        <f t="array" ref="CD6">_xll.ASAssetInfo($A6,"Strategy")</f>
        <v>Funds - Equities Long Only</v>
      </c>
      <c r="CE6" s="14" cm="1">
        <f t="array" ref="CE6">_xll.ASAssetInfo($A6,"Start Date")</f>
        <v>41946</v>
      </c>
      <c r="CF6" s="14" t="str" cm="1">
        <f t="array" ref="CF6">_xll.ASAssetRatings($A6,"Quantitative",0,0,0,0,0,'PBA Summary'!$F$2,'PBA Summary'!$G$2)</f>
        <v/>
      </c>
      <c r="CG6" s="14" t="str" cm="1">
        <f t="array" ref="CG6">_xll.ASAssetRatings($A6,"Qualitative",0,0,0,0,0,'PBA Summary'!$F$2,'PBA Summary'!$G$2)</f>
        <v/>
      </c>
      <c r="CH6" s="14" t="str" cm="1">
        <f t="array" ref="CH6">_xll.ASAssetRatings($A6,"Final",0,0,0,0,0,'PBA Summary'!$F$2,'PBA Summary'!$G$2)</f>
        <v/>
      </c>
      <c r="CI6" s="14" cm="1">
        <f t="array" ref="CI6">_xll.ASAssetInfo($A6,"Last Return Date")</f>
        <v>44134</v>
      </c>
      <c r="CJ6" s="14" t="str" cm="1">
        <f t="array" ref="CJ6">_xll.ASAssetInfo($A6,"Company Name")</f>
        <v>ARK ETF Trust</v>
      </c>
      <c r="CK6" s="14" t="str" cm="1">
        <f t="array" ref="CK6">_xll.ASAssetInfo($A6,"Manager Name")</f>
        <v>Catherine D Wood "Cathie"</v>
      </c>
      <c r="CL6" s="14" t="str" cm="1">
        <f t="array" ref="CL6">_xll.ASAssetInfo($A6,"Address")</f>
        <v>ARK Investment Management LLC. 155 West 19th Street. 5th Floor. New York, NY 10011. USA</v>
      </c>
      <c r="CM6" s="14" t="str" cm="1">
        <f t="array" ref="CM6">_xll.ASAssetInfo($A6,"Phone Number")</f>
        <v>+1-(212)-426-7040</v>
      </c>
      <c r="CN6" s="14" t="str" cm="1">
        <f t="array" ref="CN6">_xll.ASAssetInfo($A6,"Email")</f>
        <v/>
      </c>
      <c r="CO6" s="14" t="str" cm="1">
        <f t="array" ref="CO6">_xll.ASAssetInfo($A6,"Asset Type")</f>
        <v>Equities</v>
      </c>
      <c r="CP6" s="14" t="str" cm="1">
        <f t="array" ref="CP6">_xll.ASAssetInfo($A6,"Proprietary ID")</f>
        <v/>
      </c>
      <c r="CQ6" s="14" t="str" cm="1">
        <f t="array" ref="CQ6">_xll.ASAssetInfo($A6,"Country")</f>
        <v>United States of America</v>
      </c>
      <c r="CR6" s="14" t="str" cm="1">
        <f t="array" ref="CR6">_xll.ASAssetInfo($A6,"Currency")</f>
        <v>USD</v>
      </c>
      <c r="CS6" s="14" t="str" cm="1">
        <f t="array" ref="CS6">_xll.ASAssetInfo($A6,"Sub-Strategy")</f>
        <v>Disruptive Tech</v>
      </c>
      <c r="CT6" s="31" cm="1">
        <f t="array" ref="CT6">_xll.ASAssetInfo($A6,"Fund AUM (m)")</f>
        <v>8831.5959999999995</v>
      </c>
      <c r="CU6" s="31" t="str" cm="1">
        <f t="array" ref="CU6">_xll.ASAssetInfo($A6,"Status")</f>
        <v>Unknown</v>
      </c>
      <c r="CV6" s="31" t="str" cm="1">
        <f t="array" ref="CV6">_xll.ASAssetInfo($A6,"Redemption 1 Frequency")</f>
        <v>Daily</v>
      </c>
      <c r="CW6" s="31" t="str" cm="1">
        <f t="array" ref="CW6">_xll.ASAssetInfo($A6,"Redemption 2 Frequency")</f>
        <v>Unknown</v>
      </c>
      <c r="CX6" s="31" t="str" cm="1">
        <f t="array" ref="CX6">_xll.ASAssetInfo($A6,"Redemption 3 Frequency")</f>
        <v>Unknown</v>
      </c>
      <c r="CY6" s="31" t="str" cm="1">
        <f t="array" ref="CY6">_xll.ASAssetInfo($A6,"Notice Period")</f>
        <v/>
      </c>
      <c r="CZ6" s="15" t="str" cm="1">
        <f t="array" ref="CZ6">_xll.ASAssetInfo($A6,"Performance Fee")</f>
        <v/>
      </c>
      <c r="DA6" s="15" cm="1">
        <f t="array" ref="DA6">_xll.ASAssetInfo($A6,"Management Fee")</f>
        <v>6.5000000000000006E-3</v>
      </c>
      <c r="DB6" s="15" t="str" cm="1">
        <f t="array" ref="DB6">_xll.ASAssetInfo($A6,"ISIN")</f>
        <v>US00214Q1040</v>
      </c>
      <c r="DC6" s="16" cm="1">
        <f t="array" ref="DC6">_xll.ASAssetStatistic($A6,"Return during " &amp;YEAR(EOMONTH('PBA Summary'!$G$2,-60)),,,,"M",DATE(YEAR(EOMONTH('PBA Summary'!$G$2,-60)),1,31),DATE(YEAR(EOMONTH('PBA Summary'!$G$2,-60)),12,31))</f>
        <v>3.7495039682540199E-2</v>
      </c>
      <c r="DD6" s="16" cm="1">
        <f t="array" ref="DD6">_xll.ASAssetStatistic($A6,"Return during " &amp;YEAR(EOMONTH('PBA Summary'!$G$2,-48)),,,,"M",DATE(YEAR(EOMONTH('PBA Summary'!$G$2,-48)),1,31),DATE(YEAR(EOMONTH('PBA Summary'!$G$2,-48)),12,31))</f>
        <v>-2.0046949928045121E-2</v>
      </c>
      <c r="DE6" s="16" cm="1">
        <f t="array" ref="DE6">_xll.ASAssetStatistic($A6,"Return during " &amp;YEAR(EOMONTH('PBA Summary'!$G$2,-36)),,,,"M",DATE(YEAR(EOMONTH('PBA Summary'!$G$2,-36)),1,31),DATE(YEAR(EOMONTH('PBA Summary'!$G$2,-36)),12,31))</f>
        <v>0.87339363601768016</v>
      </c>
      <c r="DF6" s="16" cm="1">
        <f t="array" ref="DF6">_xll.ASAssetStatistic($A6,"Return during " &amp;YEAR(EOMONTH('PBA Summary'!$G$2,-24)),,,,"M",DATE(YEAR(EOMONTH('PBA Summary'!$G$2,-24)),1,31),DATE(YEAR(EOMONTH('PBA Summary'!$G$2,-24)),12,31))</f>
        <v>3.5163106603957051E-2</v>
      </c>
      <c r="DG6" s="16" cm="1">
        <f t="array" ref="DG6">_xll.ASAssetStatistic($A6,"Return during " &amp;YEAR(EOMONTH('PBA Summary'!$G$2,-12)),,,,"M",DATE(YEAR(EOMONTH('PBA Summary'!$G$2,-12)),1,31),DATE(YEAR(EOMONTH('PBA Summary'!$G$2,-12)),12,31))</f>
        <v>0.35080657334634857</v>
      </c>
      <c r="DH6" s="11" t="str" cm="1">
        <f t="array" ref="DH6">_xll.ASAssetInfo($A6,"Prime Broker")</f>
        <v/>
      </c>
      <c r="DI6" s="16" cm="1">
        <f t="array" ref="DI6">_xll.ASAssetStatistic($A6,"Return",,,,"m",'PBA Summary'!$F$2,'PBA Summary'!$G$2)</f>
        <v>0.26026334768153481</v>
      </c>
      <c r="DJ6" s="33" cm="1">
        <f t="array" ref="DJ6">IF('PBA Summary'!$D$2="","",_xll.ASAssetStatistic($A6,"Ann. Information Ratio vs Benchmark 1",'PBA Summary'!$D$2,,,"m",'PBA Summary'!$F$2,'PBA Summary'!$G$2))</f>
        <v>0.15023278038356658</v>
      </c>
      <c r="DK6" s="33" cm="1">
        <f t="array" ref="DK6">IF('PBA Summary'!$D$3="","",_xll.ASAssetStatistic($A6,"Ann. Information Ratio vs Benchmark 1",'PBA Summary'!$D$3,,,"m",'PBA Summary'!$F$2,'PBA Summary'!$G$2))</f>
        <v>0.15023278038356658</v>
      </c>
      <c r="DL6" s="33" cm="1">
        <f t="array" ref="DL6">IF('PBA Summary'!$D$2="","",_xll.ASAssetStatistic($A6,"Ann. Tracking Error vs Benchmark 1",'PBA Summary'!$D$2,,,"m",'PBA Summary'!$F$2,'PBA Summary'!$G$2))</f>
        <v>0.20617449006481109</v>
      </c>
      <c r="DM6" s="33" cm="1">
        <f t="array" ref="DM6">IF('PBA Summary'!$D$3="","",_xll.ASAssetStatistic($A6,"Ann. Tracking Error vs Benchmark 1",'PBA Summary'!$D$3,,,"m",'PBA Summary'!$F$2,'PBA Summary'!$G$2))</f>
        <v>0.20617449006481109</v>
      </c>
      <c r="DN6" s="33" cm="1">
        <f t="array" ref="DN6">IF('PBA Summary'!$D$2="","",_xll.ASAssetStatistic($A6,"R² vs Benchmark 1",'PBA Summary'!$D$2,,,"m",'PBA Summary'!$F$2,'PBA Summary'!$G$2))</f>
        <v>0.7894516101885295</v>
      </c>
      <c r="DO6" s="33" cm="1">
        <f t="array" ref="DO6">IF('PBA Summary'!$D$3="","",_xll.ASAssetStatistic($A6,"R² vs Benchmark 1",'PBA Summary'!$D$3,,,"m",'PBA Summary'!$F$2,'PBA Summary'!$G$2))</f>
        <v>0.7894516101885295</v>
      </c>
      <c r="DP6" s="11" t="str" cm="1">
        <f t="array" ref="DP6">_xll.ASAssetInfo($A6,"On-/Offshore")</f>
        <v>Unknown</v>
      </c>
      <c r="DQ6" s="16" cm="1">
        <f t="array" ref="DQ6">_xll.ASAssetStatistic($A6,"Quarter-to-date",,,,"m",'PBA Summary'!$F$2,'PBA Summary'!$G$2)</f>
        <v>3.4965842465601193E-2</v>
      </c>
      <c r="DR6" s="16" cm="1">
        <f t="array" ref="DR6">_xll.ASAssetStatistic($A6,"Annualized Return Since inception",,,,"m",'PBA Summary'!$F$2,'PBA Summary'!$G$2)</f>
        <v>0.29784787293988146</v>
      </c>
      <c r="DS6" s="16" cm="1">
        <f t="array" ref="DS6">IF('PBA Summary'!$D$2="","",_xll.ASAssetStatistic($A6,"Ann. Bear Market Return vs Benchmark 1",'PBA Summary'!$D$2,,,"m",'PBA Summary'!$F$2,'PBA Summary'!$G$2))</f>
        <v>-0.64955346792985647</v>
      </c>
      <c r="DT6" s="16" cm="1">
        <f t="array" ref="DT6">IF('PBA Summary'!$D$2="","",_xll.ASAssetStatistic($A6,"Ann. Bull Market Return vs Benchmark 1",'PBA Summary'!$D$2,,,"m",'PBA Summary'!$F$2,'PBA Summary'!$G$2))</f>
        <v>0.88445701994637282</v>
      </c>
      <c r="DU6" s="16" cm="1">
        <f t="array" ref="DU6">IF('PBA Summary'!$D$3="","",_xll.ASAssetStatistic($A6,"Ann. Bear Market Return vs Benchmark 1",'PBA Summary'!$D$3,,,"m",'PBA Summary'!$F$2,'PBA Summary'!$G$2))</f>
        <v>-0.64955346792985647</v>
      </c>
      <c r="DV6" s="16" cm="1">
        <f t="array" ref="DV6">IF('PBA Summary'!$D$3="","",_xll.ASAssetStatistic($A6,"Ann. Bull Market Return vs Benchmark 1",'PBA Summary'!$D$3,,,"m",'PBA Summary'!$F$2,'PBA Summary'!$G$2))</f>
        <v>0.88445701994637282</v>
      </c>
      <c r="DW6" s="17" cm="1">
        <f t="array" ref="DW6">_xll.ASAssetStatistic($A6,"Average Positive Return",,,,"m",'PBA Summary'!$F$2,'PBA Summary'!$G$2)</f>
        <v>6.9154617977815774E-2</v>
      </c>
      <c r="DX6" s="17" cm="1">
        <f t="array" ref="DX6">_xll.ASAssetStatistic($A6,"Average Negative Return",,,,"m",'PBA Summary'!$F$2,'PBA Summary'!$G$2)</f>
        <v>-7.9089527952500932E-2</v>
      </c>
      <c r="DY6" s="16" cm="1">
        <f t="array" ref="DY6">IF('PBA Summary'!$D$2="","",_xll.ASAssetStatistic($A6,"Outperformance vs Benchmark 1",'PBA Summary'!$D$2,,,"m",'PBA Summary'!$F$2,'PBA Summary'!$G$2))</f>
        <v>4.0419702872816154E-2</v>
      </c>
      <c r="DZ6" s="16" cm="1">
        <f t="array" ref="DZ6">IF('PBA Summary'!$D$3="","",_xll.ASAssetStatistic($A6,"Outperformance vs Benchmark 1",'PBA Summary'!$D$3,,,"m",'PBA Summary'!$F$2,'PBA Summary'!$G$2))</f>
        <v>4.0419702872816154E-2</v>
      </c>
      <c r="EA6" s="16" cm="1">
        <f t="array" ref="EA6">IF('PBA Summary'!$D$2="","",_xll.ASAssetStatistic($A6,"Annual Outperformance vs Benchmark 1",'PBA Summary'!$D$2,,,"m",'PBA Summary'!$F$2,'PBA Summary'!$G$2))</f>
        <v>3.0974166886600596E-2</v>
      </c>
      <c r="EB6" s="16" cm="1">
        <f t="array" ref="EB6">IF('PBA Summary'!$D$3="","",_xll.ASAssetStatistic($A6,"Annual Outperformance vs Benchmark 1",'PBA Summary'!$D$3,,,"m",'PBA Summary'!$F$2,'PBA Summary'!$G$2))</f>
        <v>3.0974166886600596E-2</v>
      </c>
      <c r="EC6" s="32" cm="1">
        <f t="array" ref="EC6">_xll.ASAssetStatistic($A6,"Rachev Ratio 99%",,,,"m",'PBA Summary'!$F$2,'PBA Summary'!$G$2)</f>
        <v>-1.295091252602262</v>
      </c>
      <c r="ED6" s="32" cm="1">
        <f t="array" ref="ED6">_xll.ASAssetStatistic($A6,"Rachev Ratio 97%",,,,"m",'PBA Summary'!$F$2,'PBA Summary'!$G$2)</f>
        <v>-1.295091252602262</v>
      </c>
      <c r="EE6" s="32" cm="1">
        <f t="array" ref="EE6">_xll.ASAssetStatistic($A6,"Rachev Ratio 95%",,,,"m",'PBA Summary'!$F$2,'PBA Summary'!$G$2)</f>
        <v>-1.295091252602262</v>
      </c>
      <c r="EF6" s="32" cm="1">
        <f t="array" ref="EF6">_xll.ASAssetStatistic($A6,"Rachev Ratio 90%",,,,"m",'PBA Summary'!$F$2,'PBA Summary'!$G$2)</f>
        <v>-1.2250905744436056</v>
      </c>
      <c r="EG6" s="34" cm="1">
        <f t="array" ref="EG6">IF('PBA Summary'!$D$2="","",_xll.ASAssetStatistic($A6,"Annual Up Capture vs Benchmark 1",'PBA Summary'!$D$2,,,"m",'PBA Summary'!$F$2,'PBA Summary'!$G$2))</f>
        <v>1.7472210099433529</v>
      </c>
      <c r="EH6" s="34" cm="1">
        <f t="array" ref="EH6">IF('PBA Summary'!$D$3="","",_xll.ASAssetStatistic($A6,"Annual Up Capture vs Benchmark 1",'PBA Summary'!$D$3,,,"m",'PBA Summary'!$F$2,'PBA Summary'!$G$2))</f>
        <v>1.7472210099433529</v>
      </c>
      <c r="EI6" s="34" cm="1">
        <f t="array" ref="EI6">IF('PBA Summary'!$D$2="","",_xll.ASAssetStatistic($A6,"Annual Down Capture vs Benchmark 1",'PBA Summary'!$D$2,,,"m",'PBA Summary'!$F$2,'PBA Summary'!$G$2))</f>
        <v>1.5784109423220058</v>
      </c>
      <c r="EJ6" s="34" cm="1">
        <f t="array" ref="EJ6">IF('PBA Summary'!$D$3="","",_xll.ASAssetStatistic($A6,"Annual Down Capture vs Benchmark 1",'PBA Summary'!$D$3,,,"m",'PBA Summary'!$F$2,'PBA Summary'!$G$2))</f>
        <v>1.5784109423220058</v>
      </c>
      <c r="EK6" s="16" cm="1">
        <f t="array" ref="EK6">IF('PBA Summary'!$D$2="","",_xll.ASAssetStatistic($A6,"Ann. Tracking Error vs Benchmark 1",'PBA Summary'!$D$2,,,"m",'PBA Summary'!$F$2,'PBA Summary'!$G$2))</f>
        <v>0.20617449006481109</v>
      </c>
      <c r="EL6" s="16" cm="1">
        <f t="array" ref="EL6">IF('PBA Summary'!$D$3="","",_xll.ASAssetStatistic($A6,"Ann. Tracking Error vs Benchmark 1",'PBA Summary'!$D$3,,,"m",'PBA Summary'!$F$2,'PBA Summary'!$G$2))</f>
        <v>0.20617449006481109</v>
      </c>
      <c r="EM6" s="16" cm="1">
        <f t="array" ref="EM6">IF('PBA Summary'!$D$2="","",_xll.ASAssetStatistic($A6,"Annual Jensen Alpha vs Benchmark 1 (Rf)",'PBA Summary'!$D$2,,,"m",'PBA Summary'!$F$2,'PBA Summary'!$G$2))</f>
        <v>-0.12370149665891061</v>
      </c>
      <c r="EN6" s="16" cm="1">
        <f t="array" ref="EN6">IF('PBA Summary'!$D$3="","",_xll.ASAssetStatistic($A6,"Annual Jensen Alpha vs Benchmark 1 (Rf)",'PBA Summary'!$D$3,,,"m",'PBA Summary'!$F$2,'PBA Summary'!$G$2))</f>
        <v>-0.12370149665891061</v>
      </c>
      <c r="EO6" s="33" cm="1">
        <f t="array" ref="EO6">IF('PBA Summary'!$D$2="","",_xll.ASAssetStatistic($A6,"Ann. Information Ratio vs Benchmark 1",'PBA Summary'!$D$2,,,"m",'PBA Summary'!$F$2,'PBA Summary'!$G$2))</f>
        <v>0.15023278038356658</v>
      </c>
      <c r="EP6" s="33" cm="1">
        <f t="array" ref="EP6">IF('PBA Summary'!$D$3="","",_xll.ASAssetStatistic($A6,"Ann. Information Ratio vs Benchmark 1",'PBA Summary'!$D$3,,,"m",'PBA Summary'!$F$2,'PBA Summary'!$G$2))</f>
        <v>0.15023278038356658</v>
      </c>
      <c r="EQ6" s="17" cm="1">
        <f t="array" ref="EQ6">IF('PBA Summary'!$D$2="","",_xll.ASAssetStatistic($A6,"Alpha Monthly vs Benchmark 1",'PBA Summary'!$D$2,,,"m",'PBA Summary'!$F$2,'PBA Summary'!$G$2))</f>
        <v>-7.5232819337929455E-3</v>
      </c>
      <c r="ER6" s="17" cm="1">
        <f t="array" ref="ER6">IF('PBA Summary'!$D$3="","",_xll.ASAssetStatistic($A6,"Alpha Monthly vs Benchmark 1",'PBA Summary'!$D$3,,,"m",'PBA Summary'!$F$2,'PBA Summary'!$G$2))</f>
        <v>-7.5232819337929455E-3</v>
      </c>
      <c r="ES6" s="11" t="str" cm="1">
        <f t="array" ref="ES6">_xll.ASAssetInfo($A6,"Company AUM (m)")</f>
        <v/>
      </c>
      <c r="ET6" s="16" cm="1">
        <f t="array" ref="ET6">_xll.ASAssetStatistic($A6,"Exponential Annualized Volatility",,,,"m",'PBA Summary'!$F$2,'PBA Summary'!$G$2)</f>
        <v>0.3046596512085975</v>
      </c>
      <c r="EU6" s="16" cm="1">
        <f t="array" ref="EU6">_xll.ASAssetStatistic($A6,"Exponential Annualized Volatility Last 1 year",,,,"m",'PBA Summary'!$F$2,'PBA Summary'!$G$2)</f>
        <v>0.28767283838958274</v>
      </c>
      <c r="EV6" s="16" t="str" cm="1">
        <f t="array" ref="EV6">_xll.ASAssetStatistic($A6,"Exponential Annualized Volatility Last 3 years",,,,"m",'PBA Summary'!$F$2,'PBA Summary'!$G$2)</f>
        <v/>
      </c>
      <c r="EW6" s="34" cm="1">
        <f t="array" ref="EW6">IF('PBA Summary'!$D$2="","",_xll.ASAssetStatistic($A6,"Exponential Correlation to Benchmark 1",'PBA Summary'!$D$2,,,"m",'PBA Summary'!$F$2,'PBA Summary'!$G$2))</f>
        <v>0.77083277406905248</v>
      </c>
      <c r="EX6" s="34" cm="1">
        <f t="array" ref="EX6">IF('PBA Summary'!$D$3="","",_xll.ASAssetStatistic($A6,"Exponential Correlation to Benchmark 1",'PBA Summary'!$D$3,,,"m",'PBA Summary'!$F$2,'PBA Summary'!$G$2))</f>
        <v>0.77083277406905248</v>
      </c>
      <c r="EY6" s="34" cm="1">
        <f t="array" ref="EY6">_xll.ASAssetStatistic($A6,"Exponential Annual Sharpe Ratio (Rf)",,,,"m",'PBA Summary'!$F$2,'PBA Summary'!$G$2)</f>
        <v>0.99390140496055579</v>
      </c>
      <c r="EZ6" s="34" cm="1">
        <f t="array" ref="EZ6">_xll.ASAssetStatistic($A6,"Exponential Normal Monthly VaR 99%",,,,"m",'PBA Summary'!$F$2,'PBA Summary'!$G$2)</f>
        <v>-0.18214570050818937</v>
      </c>
      <c r="FA6" s="34" cm="1">
        <f t="array" ref="FA6">_xll.ASAssetStatistic($A6,"Exponential Normal Monthly VaR 97%",,,,"m",'PBA Summary'!$F$2,'PBA Summary'!$G$2)</f>
        <v>-0.14296024282783568</v>
      </c>
      <c r="FB6" s="34" cm="1">
        <f t="array" ref="FB6">_xll.ASAssetStatistic($A6,"Exponential Normal Monthly VaR 95%",,,,"m",'PBA Summary'!$F$2,'PBA Summary'!$G$2)</f>
        <v>-0.12220987220811325</v>
      </c>
      <c r="FC6" s="34" cm="1">
        <f t="array" ref="FC6">_xll.ASAssetStatistic($A6,"Exponential Normal Monthly VaR 90%",,,,"m",'PBA Summary'!$F$2,'PBA Summary'!$G$2)</f>
        <v>-9.0258303920420113E-2</v>
      </c>
      <c r="FD6" s="34" t="str" cm="1">
        <f t="array" ref="FD6">_xll.ASAssetStatistic($A6,"Exponential Normal weekly VaR 99%",,,,"m",'PBA Summary'!$F$2,'PBA Summary'!$G$2)</f>
        <v/>
      </c>
      <c r="FE6" s="34" t="str" cm="1">
        <f t="array" ref="FE6">_xll.ASAssetStatistic($A6,"Exponential Normal weekly VaR 97%",,,,"m",'PBA Summary'!$F$2,'PBA Summary'!$G$2)</f>
        <v/>
      </c>
      <c r="FF6" s="34" t="str" cm="1">
        <f t="array" ref="FF6">_xll.ASAssetStatistic($A6,"Exponential Normal weekly VaR 95%",,,,"m",'PBA Summary'!$F$2,'PBA Summary'!$G$2)</f>
        <v/>
      </c>
      <c r="FG6" s="34" t="str" cm="1">
        <f t="array" ref="FG6">_xll.ASAssetStatistic($A6,"Exponential Normal weekly VaR 90%",,,,"m",'PBA Summary'!$F$2,'PBA Summary'!$G$2)</f>
        <v/>
      </c>
      <c r="FH6" s="34" t="str" cm="1">
        <f t="array" ref="FH6">_xll.ASAssetStatistic($A6,"Exponential Normal daily VaR 99%",,,,"m",'PBA Summary'!$F$2,'PBA Summary'!$G$2)</f>
        <v/>
      </c>
      <c r="FI6" s="34" t="str" cm="1">
        <f t="array" ref="FI6">_xll.ASAssetStatistic($A6,"Exponential Normal daily VaR 97%",,,,"m",'PBA Summary'!$F$2,'PBA Summary'!$G$2)</f>
        <v/>
      </c>
      <c r="FJ6" s="34" t="str" cm="1">
        <f t="array" ref="FJ6">_xll.ASAssetStatistic($A6,"Exponential Normal daily VaR 95%",,,,"m",'PBA Summary'!$F$2,'PBA Summary'!$G$2)</f>
        <v/>
      </c>
      <c r="FK6" s="34" t="str" cm="1">
        <f t="array" ref="FK6">_xll.ASAssetStatistic($A6,"Exponential Normal daily VaR 90%",,,,"m",'PBA Summary'!$F$2,'PBA Summary'!$G$2)</f>
        <v/>
      </c>
      <c r="FL6" s="34" cm="1">
        <f t="array" ref="FL6">_xll.ASAssetStatistic($A6,"Bias Ratio",,,,"m",'PBA Summary'!$F$2,'PBA Summary'!$G$2)</f>
        <v>1.75</v>
      </c>
      <c r="FM6" s="11" t="str" cm="1">
        <f t="array" ref="FM6">_xll.ASAssetInfo($A6,"Manager's Biography")</f>
        <v/>
      </c>
      <c r="FN6" s="11" cm="1">
        <f t="array" ref="FN6">_xll.ASAssetInfo($A6,"Investment Min")</f>
        <v>0</v>
      </c>
      <c r="FO6" s="11" t="str" cm="1">
        <f t="array" ref="FO6">_xll.ASAssetInfo($A6,"Auditor")</f>
        <v>Tait Weller &amp; Baker LLP</v>
      </c>
      <c r="FP6" s="11" t="str" cm="1">
        <f t="array" ref="FP6">_xll.ASAssetInfo($A6,"Custodian")</f>
        <v>Bank of New York Mellon/The</v>
      </c>
      <c r="FQ6" s="11" t="str" cm="1">
        <f t="array" ref="FQ6">_xll.ASAssetInfo($A6,"Administrator")</f>
        <v>Bank of New York Mellon/The</v>
      </c>
      <c r="FR6" s="14" t="str" cm="1">
        <f t="array" ref="FR6">_xll.ASAssetInfo($A6,"Proxy 1 Start Date")</f>
        <v/>
      </c>
      <c r="FS6" s="14" t="str" cm="1">
        <f t="array" ref="FS6">_xll.ASAssetInfo($A6,"Proxy 1 End Date")</f>
        <v/>
      </c>
      <c r="FT6" s="14" t="str" cm="1">
        <f t="array" ref="FT6">_xll.ASAssetInfo($A6,"Proxy 2 Start Date")</f>
        <v/>
      </c>
      <c r="FU6" s="14" t="str" cm="1">
        <f t="array" ref="FU6">_xll.ASAssetInfo($A6,"Proxy 2 End Date")</f>
        <v/>
      </c>
      <c r="FV6" s="14" t="str" cm="1">
        <f t="array" ref="FV6">_xll.ASAssetInfo($A6,"Proxy 3 Start Date")</f>
        <v/>
      </c>
      <c r="FW6" s="14" t="str" cm="1">
        <f t="array" ref="FW6">_xll.ASAssetInfo($A6,"Proxy 3 End Date")</f>
        <v/>
      </c>
      <c r="FX6" s="14" t="str" cm="1">
        <f t="array" ref="FX6">_xll.ASAssetInfo($A6,"Fund Domicile")</f>
        <v>US</v>
      </c>
      <c r="FY6" s="14" t="str" cm="1">
        <f t="array" ref="FY6">_xll.ASAssetInfo($A6,"Fund Contact")</f>
        <v/>
      </c>
      <c r="FZ6" s="14" t="str" cm="1">
        <f t="array" ref="FZ6">_xll.ASAssetInfo($A6,"Fund Contact Email")</f>
        <v/>
      </c>
      <c r="GA6" s="14" t="str" cm="1">
        <f t="array" ref="GA6">_xll.ASAssetInfo($A6,"Fund Contact Number")</f>
        <v/>
      </c>
      <c r="GB6" s="14" t="str" cm="1">
        <f t="array" ref="GB6">_xll.ASAssetInfo($A6,"City")</f>
        <v>New York</v>
      </c>
      <c r="GC6" s="14" t="str" cm="1">
        <f t="array" ref="GC6">_xll.ASAssetInfo($A6,"Leverage")</f>
        <v>N</v>
      </c>
      <c r="GD6" s="14" t="str" cm="1">
        <f t="array" ref="GD6">_xll.ASAssetInfo($A6,"Lockup 1 Duration")</f>
        <v>0 Months</v>
      </c>
      <c r="GE6" s="14" t="str" cm="1">
        <f t="array" ref="GE6">_xll.ASAssetInfo($A6,"Lockup 2 Duration")</f>
        <v>0 Months</v>
      </c>
      <c r="GF6" s="14" t="str" cm="1">
        <f t="array" ref="GF6">_xll.ASAssetInfo($A6,"Lockup 3 Duration")</f>
        <v>0 Months</v>
      </c>
      <c r="GG6" s="31" t="str" cm="1">
        <f t="array" ref="GG6">_xll.ASAssetInfo($A6,"Fund Level Gate")</f>
        <v/>
      </c>
      <c r="GH6" s="31" t="str" cm="1">
        <f t="array" ref="GH6">_xll.ASAssetInfo($A6,"Fund Level Gate Frequency")</f>
        <v>Unknown</v>
      </c>
      <c r="GI6" s="35" cm="1">
        <f t="array" ref="GI6">_xll.ASAssetInfo($A6,"Payment 2 (%)")</f>
        <v>0</v>
      </c>
      <c r="GJ6" s="35" t="str" cm="1">
        <f t="array" ref="GJ6">_xll.ASAssetInfo($A6,"Payment 2 (days)")</f>
        <v/>
      </c>
      <c r="GK6" s="35" t="str" cm="1">
        <f t="array" ref="GK6">_xll.ASAssetInfo($A6,"Payment 2 (Paid After)")</f>
        <v>NAV Date</v>
      </c>
      <c r="GL6" s="35" cm="1">
        <f t="array" ref="GL6">_xll.ASAssetInfo($A6,"Payment 3 (%)")</f>
        <v>0</v>
      </c>
      <c r="GM6" s="36" t="str" cm="1">
        <f t="array" ref="GM6">_xll.ASAssetInfo($A6,"Payment 3 (Days)")</f>
        <v/>
      </c>
      <c r="GN6" s="35" t="str" cm="1">
        <f t="array" ref="GN6">_xll.ASAssetInfo($A6,"Payment 3 (Paid After)")</f>
        <v>NAV Date</v>
      </c>
      <c r="GO6" s="35" cm="1">
        <f t="array" ref="GO6">_xll.ASAssetInfo($A6,"Payment 4 (%)")</f>
        <v>0</v>
      </c>
      <c r="GP6" s="36" t="str" cm="1">
        <f t="array" ref="GP6">_xll.ASAssetInfo($A6,"Payment 4 (days)")</f>
        <v/>
      </c>
      <c r="GQ6" s="35" t="str" cm="1">
        <f t="array" ref="GQ6">_xll.ASAssetInfo($A6,"Payment 4 (Paid After)")</f>
        <v>NAV Date</v>
      </c>
      <c r="GR6" s="31" cm="1">
        <f t="array" ref="GR6">_xll.ASAssetInfo($A6,"Payment 1 (%)")</f>
        <v>1</v>
      </c>
      <c r="GS6" s="35" cm="1">
        <f t="array" ref="GS6">_xll.ASAssetInfo($A6,"Lockup 1 Fee")</f>
        <v>0</v>
      </c>
      <c r="GT6" s="35" cm="1">
        <f t="array" ref="GT6">_xll.ASAssetInfo($A6,"Lockup 2 Fee")</f>
        <v>0</v>
      </c>
      <c r="GU6" s="35" cm="1">
        <f t="array" ref="GU6">_xll.ASAssetInfo($A6,"Lockup 3 Fee")</f>
        <v>0</v>
      </c>
      <c r="GV6" s="35" t="str" cm="1">
        <f t="array" ref="GV6">_xll.ASAssetInfo($A6,"Lockup 1 type")</f>
        <v>None</v>
      </c>
      <c r="GW6" s="35" t="str" cm="1">
        <f t="array" ref="GW6">_xll.ASAssetInfo($A6,"Lockup 2 type")</f>
        <v>None</v>
      </c>
      <c r="GX6" s="35" t="str" cm="1">
        <f t="array" ref="GX6">_xll.ASAssetInfo($A6,"Lockup 3 type")</f>
        <v>None</v>
      </c>
      <c r="GY6" s="35" t="str" cm="1">
        <f t="array" ref="GY6">_xll.ASAssetInfo($A6,"Redemption 1 type")</f>
        <v>Calendar</v>
      </c>
      <c r="GZ6" s="35" t="str" cm="1">
        <f t="array" ref="GZ6">_xll.ASAssetInfo($A6,"Redemption 2 type")</f>
        <v>Calendar</v>
      </c>
      <c r="HA6" s="35" t="str" cm="1">
        <f t="array" ref="HA6">_xll.ASAssetInfo($A6,"Redemption 3 type")</f>
        <v>Calendar</v>
      </c>
      <c r="HB6" s="35" t="str" cm="1">
        <f t="array" ref="HB6">_xll.ASAssetInfo($A6,"Redemption 1 Fee")</f>
        <v/>
      </c>
      <c r="HC6" s="35" t="str" cm="1">
        <f t="array" ref="HC6">_xll.ASAssetInfo($A6,"Redemption 2 Fee")</f>
        <v/>
      </c>
      <c r="HD6" s="35" t="str" cm="1">
        <f t="array" ref="HD6">_xll.ASAssetInfo($A6,"Redemption 3 Fee")</f>
        <v/>
      </c>
      <c r="HE6" s="35" t="str" cm="1">
        <f t="array" ref="HE6">_xll.ASAssetInfo($A6,"Redemption 1 Frequency")</f>
        <v>Daily</v>
      </c>
      <c r="HF6" s="35" t="str" cm="1">
        <f t="array" ref="HF6">_xll.ASAssetInfo($A6,"Redemption 2 Frequency")</f>
        <v>Unknown</v>
      </c>
      <c r="HG6" s="35" t="str" cm="1">
        <f t="array" ref="HG6">_xll.ASAssetInfo($A6,"Redemption 3 Frequency")</f>
        <v>Unknown</v>
      </c>
      <c r="HH6" s="35" t="str" cm="1">
        <f t="array" ref="HH6">_xll.ASAssetInfo($A6,"Asset Calendar")</f>
        <v>[Default]</v>
      </c>
      <c r="HI6" s="16" cm="1">
        <f t="array" ref="HI6">_xll.ASAssetStatistic($A6,"Max Second Drawdown",,,,"m",'PBA Summary'!$F$2,'PBA Summary'!$G$2)</f>
        <v>-0.13647127320758989</v>
      </c>
      <c r="HJ6" s="37" cm="1">
        <f t="array" ref="HJ6">_xll.ASAssetStatistic($A6,"Date Max Second Drawdown",,,,"m",'PBA Summary'!$F$2,'PBA Summary'!$G$2)</f>
        <v>43465</v>
      </c>
      <c r="HK6" s="37" t="str" cm="1">
        <f t="array" ref="HK6">_xll.ASAssetInfo($A6,HK$1)</f>
        <v>ARKK US</v>
      </c>
      <c r="HL6" s="37" t="str" cm="1">
        <f t="array" ref="HL6">_xll.ASAssetInfo($A6,HL$1)</f>
        <v/>
      </c>
      <c r="HM6" s="34" t="str" cm="1">
        <f t="array" ref="HM6">_xll.ASAssetInfo($A6,HM$1)</f>
        <v/>
      </c>
      <c r="HN6" s="37" t="str" cm="1">
        <f t="array" ref="HN6">_xll.ASAssetInfo($A6,HN$1)</f>
        <v/>
      </c>
      <c r="HO6" s="15" cm="1">
        <f t="array" ref="HO6">_xll.ASAssetInfo($A6,HO$1)</f>
        <v>0</v>
      </c>
      <c r="HP6" s="15" t="str" cm="1">
        <f t="array" ref="HP6">_xll.ASAssetInfo($A6,HP$1)</f>
        <v/>
      </c>
      <c r="HQ6" s="34" t="str" cm="1">
        <f t="array" ref="HQ6">_xll.ASAssetInfo($A6,HQ$1)</f>
        <v/>
      </c>
      <c r="HR6" s="37" t="str" cm="1">
        <f t="array" ref="HR6">_xll.ASAssetInfo($A6,HR$1)</f>
        <v/>
      </c>
      <c r="HS6" s="37" t="str" cm="1">
        <f t="array" ref="HS6">_xll.ASAssetInfo($A6,HS$1)</f>
        <v/>
      </c>
      <c r="HT6" s="37" t="str" cm="1">
        <f t="array" ref="HT6">_xll.ASAssetInfo($A6,HT$1)</f>
        <v/>
      </c>
      <c r="HU6" s="37" t="str" cm="1">
        <f t="array" ref="HU6">_xll.ASAssetInfo($A6,HU$1)</f>
        <v>Global</v>
      </c>
      <c r="HV6" s="37" t="str" cm="1">
        <f t="array" ref="HV6">_xll.ASAssetInfo($A6,HV$1)</f>
        <v>Thematic</v>
      </c>
      <c r="HW6" s="37" t="str" cm="1">
        <f t="array" ref="HW6">_xll.ASAssetInfo($A6,HW$1)</f>
        <v/>
      </c>
    </row>
    <row r="7" spans="1:231" s="11" customFormat="1" ht="13.9" customHeight="1" x14ac:dyDescent="0.25">
      <c r="A7" t="s">
        <v>290</v>
      </c>
      <c r="B7" cm="1">
        <f t="array" ref="B7">_xll.ASPortfolioWeights('PBA Summary'!$C$2,"OR",$A7)</f>
        <v>0</v>
      </c>
      <c r="C7" cm="1">
        <f t="array" ref="C7">_xll.ASAssetStatistic($A7,"Annualized Return since inception",,,,"m",_xll.ASAssetInfo($A7,"Start Date"),_xll.ASAssetInfo($A7,"Last Return Date"))</f>
        <v>9.740022144816507E-2</v>
      </c>
      <c r="D7" cm="1">
        <f t="array" ref="D7">_xll.ASAssetStatistic($A7,"Annualized Return",,,,"m",'PBA Summary'!$F$2,'PBA Summary'!$G$2)</f>
        <v>3.3617399522986258E-2</v>
      </c>
      <c r="E7" s="19" cm="1">
        <f t="array" ref="E7">_xll.ASAssetStatistic($A7,"Equilibrium Annual Return",,,,"m",'PBA Summary'!$F$2,'PBA Summary'!$G$2)</f>
        <v>4.3725371011789749E-2</v>
      </c>
      <c r="F7" cm="1">
        <f t="array" ref="F7">_xll.ASAssetStatistic($A7,"Annualized Volatility (Inception)",,,,"m",_xll.ASAssetInfo($A7,"Start Date"),_xll.ASAssetInfo($A7,"Last Return Date"))</f>
        <v>5.2992736874373718E-2</v>
      </c>
      <c r="G7" cm="1">
        <f t="array" ref="G7">_xll.ASAssetStatistic($A7,"Annualized Volatility",,,,"m",'PBA Summary'!$F$2,'PBA Summary'!$G$2)</f>
        <v>1.3869802758922935E-2</v>
      </c>
      <c r="H7" s="20" cm="1">
        <f t="array" ref="H7">_xll.ASAssetStatistic($A7,"Skewness",,,,"m",'PBA Summary'!$F$2,'PBA Summary'!$G$2)</f>
        <v>-0.91723464515003794</v>
      </c>
      <c r="I7" s="20" cm="1">
        <f t="array" ref="I7">_xll.ASAssetStatistic($A7,"Excess kurtosis",,,,"m",'PBA Summary'!$F$2,'PBA Summary'!$G$2)</f>
        <v>1.6100027424744014</v>
      </c>
      <c r="J7" s="19" cm="1">
        <f t="array" ref="J7">_xll.ASAssetStatistic($A7,"Return Last 1 month",,,,"m",'PBA Summary'!$F$2,'PBA Summary'!$G$2)</f>
        <v>4.4999999999999485E-3</v>
      </c>
      <c r="K7" s="19" cm="1">
        <f t="array" ref="K7">_xll.ASAssetStatistic($A7,"Return Last 3 months",,,,"m",'PBA Summary'!$F$2,'PBA Summary'!$G$2)</f>
        <v>9.5285269999998423E-3</v>
      </c>
      <c r="L7" s="19" cm="1">
        <f t="array" ref="L7">_xll.ASAssetStatistic($A7,"Return Last 1 year",,,,"m",'PBA Summary'!$F$2,'PBA Summary'!$G$2)</f>
        <v>4.4347004546686941E-2</v>
      </c>
      <c r="M7" s="19" cm="1">
        <f t="array" ref="M7">_xll.ASAssetStatistic($A7,"Year-to-date Return",,,,"m",'PBA Summary'!$F$2,'PBA Summary'!$G$2)</f>
        <v>4.4999999999999485E-3</v>
      </c>
      <c r="N7" s="19" cm="1">
        <f t="array" ref="N7">_xll.ASAssetStatistic($A7,"Annualized Return",,,,"m",EOMONTH('PBA Summary'!$G$2,-2),'PBA Summary'!$G$2)</f>
        <v>3.8662333691680928E-2</v>
      </c>
      <c r="O7" s="19" t="str" cm="1">
        <f t="array" ref="O7">_xll.ASAssetStatistic($A7,"Annualized Return Last 3 years",,,,"m",'PBA Summary'!$F$2,'PBA Summary'!$G$2)</f>
        <v/>
      </c>
      <c r="P7" s="19" t="str" cm="1">
        <f t="array" ref="P7">_xll.ASAssetStatistic($A7,"Annualized Return Last 5 years",,,,"m",'PBA Summary'!$F$2,'PBA Summary'!$G$2)</f>
        <v/>
      </c>
      <c r="Q7" s="19" cm="1">
        <f t="array" ref="Q7">_xll.ASAssetStatistic($A7,"Annualized Volatility Last 1 year",,,,"m",'PBA Summary'!$F$2,'PBA Summary'!$G$2)</f>
        <v>8.0608481394498742E-3</v>
      </c>
      <c r="R7" s="19" t="str" cm="1">
        <f t="array" ref="R7">_xll.ASAssetStatistic($A7,"Annualized Volatility Last 3 years",,,,"m",'PBA Summary'!$F$2,'PBA Summary'!$G$2)</f>
        <v/>
      </c>
      <c r="S7" s="19" t="str" cm="1">
        <f t="array" ref="S7">_xll.ASAssetStatistic($A7,"Annualized Volatility Last 5 years",,,,"m",'PBA Summary'!$F$2,'PBA Summary'!$G$2)</f>
        <v/>
      </c>
      <c r="T7" s="19" cm="1">
        <f t="array" ref="T7">_xll.ASAssetStatistic($A7,"Normal monthly VaR 99%",,,,"m",'PBA Summary'!$F$2,'PBA Summary'!$G$2)</f>
        <v>-6.5477212313636377E-3</v>
      </c>
      <c r="U7" s="19" cm="1">
        <f t="array" ref="U7">_xll.ASAssetStatistic($A7,"Modified monthly VaR 99%",,,,"m",'PBA Summary'!$F$2,'PBA Summary'!$G$2)</f>
        <v>-9.4875034929651058E-3</v>
      </c>
      <c r="V7" s="19" cm="1">
        <f t="array" ref="V7">_xll.ASAssetStatistic($A7,"Conditional monthly VaR 99%",,,,"m",'PBA Summary'!$F$2,'PBA Summary'!$G$2)</f>
        <v>-7.0000000000000062E-3</v>
      </c>
      <c r="W7" s="19" cm="1">
        <f t="array" ref="W7">_xll.ASAssetStatistic($A7,"Normal monthly VaR 97%",,,,"m",'PBA Summary'!$F$2,'PBA Summary'!$G$2)</f>
        <v>-4.7637811300454552E-3</v>
      </c>
      <c r="X7" s="19" cm="1">
        <f t="array" ref="X7">_xll.ASAssetStatistic($A7,"Modified monthly VaR 97%",,,,"m",'PBA Summary'!$F$2,'PBA Summary'!$G$2)</f>
        <v>-6.2232043766531527E-3</v>
      </c>
      <c r="Y7" s="19" cm="1">
        <f t="array" ref="Y7">_xll.ASAssetStatistic($A7,"Conditional monthly VaR 97%",,,,"m",'PBA Summary'!$F$2,'PBA Summary'!$G$2)</f>
        <v>-7.0000000000000062E-3</v>
      </c>
      <c r="Z7" s="19" cm="1">
        <f t="array" ref="Z7">_xll.ASAssetStatistic($A7,"Normal monthly VaR 95%",,,,"m",'PBA Summary'!$F$2,'PBA Summary'!$G$2)</f>
        <v>-3.8191087832861411E-3</v>
      </c>
      <c r="AA7" s="19" cm="1">
        <f t="array" ref="AA7">_xll.ASAssetStatistic($A7,"Modified monthly VaR 95%",,,,"m",'PBA Summary'!$F$2,'PBA Summary'!$G$2)</f>
        <v>-4.669679395616572E-3</v>
      </c>
      <c r="AB7" s="19" cm="1">
        <f t="array" ref="AB7">_xll.ASAssetStatistic($A7,"Conditional monthly VaR 95%",,,,"m",'PBA Summary'!$F$2,'PBA Summary'!$G$2)</f>
        <v>-7.0000000000000062E-3</v>
      </c>
      <c r="AC7" s="66" cm="1">
        <f t="array" ref="AC7">_xll.ASAssetStatistic($A7,"Correlation to Benchmark 1","MSCI ACWI Index",,,"m",'PBA Summary'!$F$2,'PBA Summary'!$G$2)</f>
        <v>0.36422549472451315</v>
      </c>
      <c r="AD7" s="38" cm="1">
        <f t="array" ref="AD7">IF('PBA Summary'!$D$3="","",_xll.ASAssetStatistic($A7,"Correlation to Benchmark 1",'PBA Summary'!$D$3,,,"m",'PBA Summary'!$F$2,'PBA Summary'!$G$2))</f>
        <v>0.44274807352590251</v>
      </c>
      <c r="AE7" s="21" cm="1">
        <f t="array" ref="AE7">IF('PBA Summary'!$D$2="","",_xll.ASAssetStatistic($A7,"Bull correlation to Benchmark 1",'PBA Summary'!$D$2,,,"m",'PBA Summary'!$F$2,'PBA Summary'!$G$2))</f>
        <v>0.36956273946381424</v>
      </c>
      <c r="AF7" s="21" cm="1">
        <f t="array" ref="AF7">IF('PBA Summary'!$D$2="","",_xll.ASAssetStatistic($A7,"Bear correlation to Benchmark 1",'PBA Summary'!$D$2,,,"m",'PBA Summary'!$F$2,'PBA Summary'!$G$2))</f>
        <v>0.74620809510069319</v>
      </c>
      <c r="AG7" s="21" cm="1">
        <f t="array" ref="AG7">IF('PBA Summary'!$D$3="","",_xll.ASAssetStatistic($A7,"Bull correlation to Benchmark 1",'PBA Summary'!$D$3,,,"m",'PBA Summary'!$F$2,'PBA Summary'!$G$2))</f>
        <v>0.36956273946381424</v>
      </c>
      <c r="AH7" s="21" cm="1">
        <f t="array" ref="AH7">IF('PBA Summary'!$D$3="","",_xll.ASAssetStatistic($A7,"Bear correlation to Benchmark 1",'PBA Summary'!$D$3,,,"m",'PBA Summary'!$F$2,'PBA Summary'!$G$2))</f>
        <v>0.74620809510069319</v>
      </c>
      <c r="AI7" s="24" cm="1">
        <f t="array" ref="AI7">IF('PBA Summary'!$D$2="","",_xll.ASAssetStatistic($A7,"Beta to Benchmark 1",'PBA Summary'!$D$2,,,"m",'PBA Summary'!$F$2,'PBA Summary'!$G$2))</f>
        <v>3.9999144031384271E-2</v>
      </c>
      <c r="AJ7" s="24" t="str" cm="1">
        <f t="array" ref="AJ7">IF('PBA Summary'!$D$2="","",_xll.ASAssetStatistic($A7,"Beta to Benchmark 1 Last 3 years",'PBA Summary'!$D$2,,,"m",'PBA Summary'!$F$2,'PBA Summary'!$G$2))</f>
        <v/>
      </c>
      <c r="AK7" s="24" t="str" cm="1">
        <f t="array" ref="AK7">IF('PBA Summary'!$D$2="","",_xll.ASAssetStatistic($A7,"Beta to Benchmark 1 Last 5 years",'PBA Summary'!$D$2,,,"m",'PBA Summary'!$F$2,'PBA Summary'!$G$2))</f>
        <v/>
      </c>
      <c r="AL7" s="25" cm="1">
        <f t="array" ref="AL7">IF('PBA Summary'!$D$3="","",_xll.ASAssetStatistic($A7,"Beta to Benchmark 1",'PBA Summary'!$D$3,,,"m",'PBA Summary'!$F$2,'PBA Summary'!$G$2))</f>
        <v>3.9999144031384271E-2</v>
      </c>
      <c r="AM7" s="25" t="str" cm="1">
        <f t="array" ref="AM7">IF('PBA Summary'!$D$3="","",_xll.ASAssetStatistic($A7,"Beta to Benchmark 1 Last 3 years",'PBA Summary'!$D$3,,,"m",'PBA Summary'!$F$2,'PBA Summary'!$G$2))</f>
        <v/>
      </c>
      <c r="AN7" s="25" t="str" cm="1">
        <f t="array" ref="AN7">IF('PBA Summary'!$D$3="","",_xll.ASAssetStatistic($A7,"Beta to Benchmark 1 Last 5 years",'PBA Summary'!$D$3,,,"m",'PBA Summary'!$F$2,'PBA Summary'!$G$2))</f>
        <v/>
      </c>
      <c r="AO7" s="25" cm="1">
        <f t="array" ref="AO7">IF('PBA Summary'!$D$2="","",_xll.ASAssetStatistic($A7,"Bull Beta to Benchmark 1",'PBA Summary'!$D$2,,,"m",'PBA Summary'!$F$2,'PBA Summary'!$G$2))</f>
        <v>5.787877346340297E-2</v>
      </c>
      <c r="AP7" s="25" cm="1">
        <f t="array" ref="AP7">IF('PBA Summary'!$D$2="","",_xll.ASAssetStatistic($A7,"Bear Beta to Benchmark 1",'PBA Summary'!$D$2,,,"m",'PBA Summary'!$F$2,'PBA Summary'!$G$2))</f>
        <v>0.10602081908239018</v>
      </c>
      <c r="AQ7" s="25" cm="1">
        <f t="array" ref="AQ7">IF('PBA Summary'!$D$3="","",_xll.ASAssetStatistic($A7,"Bull Beta to Benchmark 1",'PBA Summary'!$D$3,,,"m",'PBA Summary'!$F$2,'PBA Summary'!$G$2))</f>
        <v>5.787877346340297E-2</v>
      </c>
      <c r="AR7" s="25" cm="1">
        <f t="array" ref="AR7">IF('PBA Summary'!$D$3="","",_xll.ASAssetStatistic($A7,"Bear Beta to Benchmark 1",'PBA Summary'!$D$3,,,"m",'PBA Summary'!$F$2,'PBA Summary'!$G$2))</f>
        <v>0.10602081908239018</v>
      </c>
      <c r="AS7" s="25" cm="1">
        <f t="array" ref="AS7">_xll.ASAssetStatistic($A7,"Annual Sharpe Ratio (Rf)",,,'PBA Summary'!$H$2,"m",'PBA Summary'!$F$2,'PBA Summary'!$G$2)</f>
        <v>2.2435358356460644</v>
      </c>
      <c r="AT7" s="25" t="str" cm="1">
        <f t="array" ref="AT7">_xll.ASAssetStatistic($A7,"Annual Sharpe Ratio (Rf) Last 3 years",,,'PBA Summary'!$H$2,"m",'PBA Summary'!$F$2,'PBA Summary'!$G$2)</f>
        <v/>
      </c>
      <c r="AU7" s="25" t="str" cm="1">
        <f t="array" ref="AU7">_xll.ASAssetStatistic($A7,"Annual Sharpe Ratio (Rf) Last 5 years",,,'PBA Summary'!$H$2,"m",'PBA Summary'!$F$2,'PBA Summary'!$G$2)</f>
        <v/>
      </c>
      <c r="AV7" s="18" cm="1">
        <f t="array" ref="AV7">_xll.ASAssetStatistic($A7,"Ann. Downside Deviation (vs 0%)",,,'PBA Summary'!$H$2,"m",'PBA Summary'!$F$2,'PBA Summary'!$G$2)</f>
        <v>6.8117545463705275E-3</v>
      </c>
      <c r="AW7" s="18" cm="1">
        <f t="array" ref="AW7">_xll.ASAssetStatistic($A7,"Ann. Downside Deviation (vs Rf)",,,'PBA Summary'!$H$2,"m",'PBA Summary'!$F$2,'PBA Summary'!$G$2)</f>
        <v>7.0568268806756596E-3</v>
      </c>
      <c r="AX7" s="39" cm="1">
        <f t="array" ref="AX7">_xll.ASAssetStatistic($A7,"Annual Treynor ratio",,,'PBA Summary'!$H$2,"m",'PBA Summary'!$F$2,'PBA Summary'!$G$2)</f>
        <v>-0.11155944278404335</v>
      </c>
      <c r="AY7" s="26" cm="1">
        <f t="array" ref="AY7">_xll.ASAssetStatistic($A7,"Annual Sortino Ratio (vs 0%)",,,'PBA Summary'!$H$2,"m",'PBA Summary'!$F$2,'PBA Summary'!$G$2)</f>
        <v>4.9352041818503931</v>
      </c>
      <c r="AZ7" s="26" cm="1">
        <f t="array" ref="AZ7">_xll.ASAssetStatistic($A7,"Annual Sortino Ratio (vs Rf)",,,'PBA Summary'!$H$2,"m",'PBA Summary'!$F$2,'PBA Summary'!$G$2)</f>
        <v>4.4095455435073543</v>
      </c>
      <c r="BA7" s="26" cm="1">
        <f t="array" ref="BA7">_xll.ASAssetStatistic($A7,"Sterling ratio",,,'PBA Summary'!$H$2,"m",'PBA Summary'!$F$2,'PBA Summary'!$G$2)</f>
        <v>0.33617399522986258</v>
      </c>
      <c r="BB7" s="26" cm="1">
        <f t="array" ref="BB7">_xll.ASAssetStatistic($A7,"Calmar ratio",,,'PBA Summary'!$H$2,"m",'PBA Summary'!$F$2,'PBA Summary'!$G$2)</f>
        <v>3.3688144626702843</v>
      </c>
      <c r="BC7" s="26" cm="1">
        <f t="array" ref="BC7">_xll.ASAssetStatistic($A7,"Hurst index",,,'PBA Summary'!$H$2,"m",'PBA Summary'!$F$2,'PBA Summary'!$G$2)</f>
        <v>0.51385996566462833</v>
      </c>
      <c r="BD7" s="26" cm="1">
        <f t="array" ref="BD7">_xll.ASAssetStatistic($A7,"Omega (Threshold 1)",,,'PBA Summary'!$H$2,"m",'PBA Summary'!$F$2,'PBA Summary'!$G$2)</f>
        <v>5.1499999999999684</v>
      </c>
      <c r="BE7" s="26" cm="1">
        <f t="array" ref="BE7">_xll.ASAssetStatistic($A7,"Omega (Threshold 2)",,,'PBA Summary'!$H$2,"m",'PBA Summary'!$F$2,'PBA Summary'!$G$2)</f>
        <v>0.17283950617283431</v>
      </c>
      <c r="BF7" s="26" cm="1">
        <f t="array" ref="BF7">_xll.ASAssetStatistic($A7,"Omega (Threshold 3)",,,'PBA Summary'!$H$2,"m",'PBA Summary'!$F$2,'PBA Summary'!$G$2)</f>
        <v>0</v>
      </c>
      <c r="BG7" s="26" cm="1">
        <f t="array" ref="BG7">_xll.ASAssetStatistic($A7,"Omega (Threshold 4)",,,'PBA Summary'!$H$2,"m",'PBA Summary'!$F$2,'PBA Summary'!$G$2)</f>
        <v>0</v>
      </c>
      <c r="BH7" s="26" cm="1">
        <f t="array" ref="BH7">_xll.ASAssetStatistic($A7,"Omega (Threshold 5)",,,'PBA Summary'!$H$2,"m",'PBA Summary'!$F$2,'PBA Summary'!$G$2)</f>
        <v>0</v>
      </c>
      <c r="BI7" s="26" t="str" cm="1">
        <f t="array" ref="BI7">_xll.ASAssetStatistic($A7,"Autocorrelated (illiquid)",,,'PBA Summary'!$H$2,"m",'PBA Summary'!$F$2,'PBA Summary'!$G$2)</f>
        <v>No</v>
      </c>
      <c r="BJ7" s="27" cm="1">
        <f t="array" ref="BJ7">_xll.ASAssetStatistic($A7,"% months in Run Up",,,'PBA Summary'!$H$2,"m",'PBA Summary'!$F$2,'PBA Summary'!$G$2)</f>
        <v>0.8666666666666667</v>
      </c>
      <c r="BK7" s="27" cm="1">
        <f t="array" ref="BK7">_xll.ASAssetStatistic($A7,"% months in Drawdown",,,'PBA Summary'!$H$2,"m",'PBA Summary'!$F$2,'PBA Summary'!$G$2)</f>
        <v>0.13333333333333333</v>
      </c>
      <c r="BL7" s="18" cm="1">
        <f t="array" ref="BL7">IF('PBA Summary'!$D$2="","",_xll.ASAssetStatistic($A7,"Bull Beta to Benchmark 1",'PBA Summary'!$D$2,,,"m",'PBA Summary'!$F$2,'PBA Summary'!$G$2))</f>
        <v>5.787877346340297E-2</v>
      </c>
      <c r="BM7" s="18" cm="1">
        <f t="array" ref="BM7">IF('PBA Summary'!$D$2="","",_xll.ASAssetStatistic($A7,"Average return during bear Benchmark 1",'PBA Summary'!$D$2,,,"m",'PBA Summary'!$F$2,'PBA Summary'!$G$2))</f>
        <v>1.8749999999999453E-3</v>
      </c>
      <c r="BN7" s="18" cm="1">
        <f t="array" ref="BN7">IF('PBA Summary'!$D$3="","",_xll.ASAssetStatistic($A7,"Average return during bull Benchmark 1",'PBA Summary'!$D$3,,,"m",'PBA Summary'!$F$2,'PBA Summary'!$G$2))</f>
        <v>3.0909090909090431E-3</v>
      </c>
      <c r="BO7" s="18" cm="1">
        <f t="array" ref="BO7">IF('PBA Summary'!$D$3="","",_xll.ASAssetStatistic($A7,"Average return during bear Benchmark 1",'PBA Summary'!$D$3,,,"m",'PBA Summary'!$F$2,'PBA Summary'!$G$2))</f>
        <v>1.8749999999999453E-3</v>
      </c>
      <c r="BP7" s="27" cm="1">
        <f t="array" ref="BP7">_xll.ASAssetStatistic($A7,"Maximum consecutive gain",,,'PBA Summary'!$H$2,"m",'PBA Summary'!$F$2,'PBA Summary'!$G$2)</f>
        <v>5.2701780583060076E-2</v>
      </c>
      <c r="BQ7" s="27" cm="1">
        <f t="array" ref="BQ7">_xll.ASAssetStatistic($A7,"Maximum consecutive loss",,,'PBA Summary'!$H$2,"m",'PBA Summary'!$F$2,'PBA Summary'!$G$2)</f>
        <v>-9.9789999999998491E-3</v>
      </c>
      <c r="BR7" s="27" cm="1">
        <f t="array" ref="BR7">_xll.ASAssetStatistic($A7,"Max monthly gain",,,'PBA Summary'!$H$2,"m",'PBA Summary'!$F$2,'PBA Summary'!$G$2)</f>
        <v>8.999999999999897E-3</v>
      </c>
      <c r="BS7" s="27" cm="1">
        <f t="array" ref="BS7">_xll.ASAssetStatistic($A7,"Max monthly loss",,,'PBA Summary'!$H$2,"m",'PBA Summary'!$F$2,'PBA Summary'!$G$2)</f>
        <v>-7.0000000000000062E-3</v>
      </c>
      <c r="BT7" s="27" cm="1">
        <f t="array" ref="BT7">_xll.ASAssetStatistic($A7,"Max drawdown",,,'PBA Summary'!$H$2,"m",'PBA Summary'!$F$2,'PBA Summary'!$G$2)</f>
        <v>-9.9789999999998491E-3</v>
      </c>
      <c r="BU7" s="28" cm="1">
        <f t="array" ref="BU7">_xll.ASAssetStatistic($A7,"Date Max drawdown",,,'PBA Summary'!$H$2,"m",'PBA Summary'!$F$2,'PBA Summary'!$G$2)</f>
        <v>43465</v>
      </c>
      <c r="BV7" s="28" cm="1">
        <f t="array" ref="BV7">_xll.ASAssetStatistic($A7,"Start Date Max Drawdown",,,'PBA Summary'!$H$2,"m",'PBA Summary'!$F$2,'PBA Summary'!$G$2)</f>
        <v>43434</v>
      </c>
      <c r="BW7" s="28" cm="1">
        <f t="array" ref="BW7">_xll.ASAssetStatistic($A7,"End Date Max Drawdown",,,'PBA Summary'!$H$2,"m",'PBA Summary'!$F$2,'PBA Summary'!$G$2)</f>
        <v>43496</v>
      </c>
      <c r="BX7" s="29" cm="1">
        <f t="array" ref="BX7">_xll.ASAssetStatistic($A7,"Max Time-under-water (months)",,,'PBA Summary'!$H$2,"m",'PBA Summary'!$F$2,'PBA Summary'!$G$2)</f>
        <v>3</v>
      </c>
      <c r="BY7" s="27" cm="1">
        <f t="array" ref="BY7">_xll.ASAssetStatistic($A7,"Max possible drawdown 99%",,,'PBA Summary'!$H$2,"m",'PBA Summary'!$F$2,'PBA Summary'!$G$2)</f>
        <v>-7.8395622212325908E-3</v>
      </c>
      <c r="BZ7" s="27" cm="1">
        <f t="array" ref="BZ7">_xll.ASAssetStatistic($A7,"Max possible drawdown 99.9%",,,'PBA Summary'!$H$2,"m",'PBA Summary'!$F$2,'PBA Summary'!$G$2)</f>
        <v>-1.3833266761845708E-2</v>
      </c>
      <c r="CA7" s="30" cm="1">
        <f t="array" ref="CA7">_xll.ASAssetStatistic($A7,"Max Possible Time-under-water 99% (months)",,,'PBA Summary'!$H$2,"m",'PBA Summary'!$F$2,'PBA Summary'!$G$2)</f>
        <v>11.334306825878647</v>
      </c>
      <c r="CB7" s="30" cm="1">
        <f t="array" ref="CB7">_xll.ASAssetStatistic($A7,"Max Possible Time-under-water 99.9% (months)",,,'PBA Summary'!$H$2,"m",'PBA Summary'!$F$2,'PBA Summary'!$G$2)</f>
        <v>19.999903752066437</v>
      </c>
      <c r="CC7" s="17" cm="1">
        <f t="array" ref="CC7">_xll.ASPortfolioReturnAttribution('PBA Summary'!$C$2,"OR",A7,"Last 1m",'PBA Summary'!$F$2,'PBA Summary'!$G$2)</f>
        <v>0</v>
      </c>
      <c r="CD7" s="11" t="str" cm="1">
        <f t="array" ref="CD7">_xll.ASAssetInfo($A7,"Strategy")</f>
        <v>Funds - Structured Credit</v>
      </c>
      <c r="CE7" s="14" cm="1">
        <f t="array" ref="CE7">_xll.ASAssetInfo($A7,"Start Date")</f>
        <v>39599</v>
      </c>
      <c r="CF7" s="14" t="str" cm="1">
        <f t="array" ref="CF7">_xll.ASAssetRatings($A7,"Quantitative",0,0,0,0,0,'PBA Summary'!$F$2,'PBA Summary'!$G$2)</f>
        <v/>
      </c>
      <c r="CG7" s="14" t="str" cm="1">
        <f t="array" ref="CG7">_xll.ASAssetRatings($A7,"Qualitative",0,0,0,0,0,'PBA Summary'!$F$2,'PBA Summary'!$G$2)</f>
        <v/>
      </c>
      <c r="CH7" s="14" t="str" cm="1">
        <f t="array" ref="CH7">_xll.ASAssetRatings($A7,"Final",0,0,0,0,0,'PBA Summary'!$F$2,'PBA Summary'!$G$2)</f>
        <v/>
      </c>
      <c r="CI7" s="14" cm="1">
        <f t="array" ref="CI7">_xll.ASAssetInfo($A7,"Last Return Date")</f>
        <v>44104</v>
      </c>
      <c r="CJ7" s="14" t="str" cm="1">
        <f t="array" ref="CJ7">_xll.ASAssetInfo($A7,"Company Name")</f>
        <v>AXA</v>
      </c>
      <c r="CK7" s="14" t="str" cm="1">
        <f t="array" ref="CK7">_xll.ASAssetInfo($A7,"Manager Name")</f>
        <v/>
      </c>
      <c r="CL7" s="14" t="str" cm="1">
        <f t="array" ref="CL7">_xll.ASAssetInfo($A7,"Address")</f>
        <v/>
      </c>
      <c r="CM7" s="14" t="str" cm="1">
        <f t="array" ref="CM7">_xll.ASAssetInfo($A7,"Phone Number")</f>
        <v/>
      </c>
      <c r="CN7" s="14" t="str" cm="1">
        <f t="array" ref="CN7">_xll.ASAssetInfo($A7,"Email")</f>
        <v/>
      </c>
      <c r="CO7" s="14" t="str" cm="1">
        <f t="array" ref="CO7">_xll.ASAssetInfo($A7,"Asset Type")</f>
        <v>Fixed Income</v>
      </c>
      <c r="CP7" s="14" t="str" cm="1">
        <f t="array" ref="CP7">_xll.ASAssetInfo($A7,"Proprietary ID")</f>
        <v/>
      </c>
      <c r="CQ7" s="14" t="str" cm="1">
        <f t="array" ref="CQ7">_xll.ASAssetInfo($A7,"Country")</f>
        <v>[Not Classified]</v>
      </c>
      <c r="CR7" s="14" t="str" cm="1">
        <f t="array" ref="CR7">_xll.ASAssetInfo($A7,"Currency")</f>
        <v>USD</v>
      </c>
      <c r="CS7" s="14" t="str" cm="1">
        <f t="array" ref="CS7">_xll.ASAssetInfo($A7,"Sub-Strategy")</f>
        <v>U.S. MBS</v>
      </c>
      <c r="CT7" s="31" cm="1">
        <f t="array" ref="CT7">_xll.ASAssetInfo($A7,"Fund AUM (m)")</f>
        <v>449.1</v>
      </c>
      <c r="CU7" s="31" t="str" cm="1">
        <f t="array" ref="CU7">_xll.ASAssetInfo($A7,"Status")</f>
        <v>Open</v>
      </c>
      <c r="CV7" s="31" t="str" cm="1">
        <f t="array" ref="CV7">_xll.ASAssetInfo($A7,"Redemption 1 Frequency")</f>
        <v>Quarterly</v>
      </c>
      <c r="CW7" s="31" t="str" cm="1">
        <f t="array" ref="CW7">_xll.ASAssetInfo($A7,"Redemption 2 Frequency")</f>
        <v>Unknown</v>
      </c>
      <c r="CX7" s="31" t="str" cm="1">
        <f t="array" ref="CX7">_xll.ASAssetInfo($A7,"Redemption 3 Frequency")</f>
        <v>Unknown</v>
      </c>
      <c r="CY7" s="31" t="str" cm="1">
        <f t="array" ref="CY7">_xll.ASAssetInfo($A7,"Notice Period")</f>
        <v>90 Days</v>
      </c>
      <c r="CZ7" s="15" cm="1">
        <f t="array" ref="CZ7">_xll.ASAssetInfo($A7,"Performance Fee")</f>
        <v>0.2</v>
      </c>
      <c r="DA7" s="15" cm="1">
        <f t="array" ref="DA7">_xll.ASAssetInfo($A7,"Management Fee")</f>
        <v>0.02</v>
      </c>
      <c r="DB7" s="15" t="str" cm="1">
        <f t="array" ref="DB7">_xll.ASAssetInfo($A7,"ISIN")</f>
        <v/>
      </c>
      <c r="DC7" s="16" cm="1">
        <f t="array" ref="DC7">_xll.ASAssetStatistic($A7,"Return during " &amp;YEAR(EOMONTH('PBA Summary'!$G$2,-60)),,,,"M",DATE(YEAR(EOMONTH('PBA Summary'!$G$2,-60)),1,31),DATE(YEAR(EOMONTH('PBA Summary'!$G$2,-60)),12,31))</f>
        <v>7.8242375476506476E-2</v>
      </c>
      <c r="DD7" s="16" cm="1">
        <f t="array" ref="DD7">_xll.ASAssetStatistic($A7,"Return during " &amp;YEAR(EOMONTH('PBA Summary'!$G$2,-48)),,,,"M",DATE(YEAR(EOMONTH('PBA Summary'!$G$2,-48)),1,31),DATE(YEAR(EOMONTH('PBA Summary'!$G$2,-48)),12,31))</f>
        <v>3.1254630679598439E-2</v>
      </c>
      <c r="DE7" s="16" cm="1">
        <f t="array" ref="DE7">_xll.ASAssetStatistic($A7,"Return during " &amp;YEAR(EOMONTH('PBA Summary'!$G$2,-36)),,,,"M",DATE(YEAR(EOMONTH('PBA Summary'!$G$2,-36)),1,31),DATE(YEAR(EOMONTH('PBA Summary'!$G$2,-36)),12,31))</f>
        <v>7.2222380387826801E-2</v>
      </c>
      <c r="DF7" s="16" cm="1">
        <f t="array" ref="DF7">_xll.ASAssetStatistic($A7,"Return during " &amp;YEAR(EOMONTH('PBA Summary'!$G$2,-24)),,,,"M",DATE(YEAR(EOMONTH('PBA Summary'!$G$2,-24)),1,31),DATE(YEAR(EOMONTH('PBA Summary'!$G$2,-24)),12,31))</f>
        <v>4.5813683886068768E-2</v>
      </c>
      <c r="DG7" s="16" cm="1">
        <f t="array" ref="DG7">_xll.ASAssetStatistic($A7,"Return during " &amp;YEAR(EOMONTH('PBA Summary'!$G$2,-12)),,,,"M",DATE(YEAR(EOMONTH('PBA Summary'!$G$2,-12)),1,31),DATE(YEAR(EOMONTH('PBA Summary'!$G$2,-12)),12,31))</f>
        <v>4.7985844283783052E-2</v>
      </c>
      <c r="DH7" s="11" t="str" cm="1">
        <f t="array" ref="DH7">_xll.ASAssetInfo($A7,"Prime Broker")</f>
        <v/>
      </c>
      <c r="DI7" s="16" cm="1">
        <f t="array" ref="DI7">_xll.ASAssetStatistic($A7,"Return",,,,"m",'PBA Summary'!$F$2,'PBA Summary'!$G$2)</f>
        <v>4.2196869514622426E-2</v>
      </c>
      <c r="DJ7" s="33" cm="1">
        <f t="array" ref="DJ7">IF('PBA Summary'!$D$2="","",_xll.ASAssetStatistic($A7,"Ann. Information Ratio vs Benchmark 1",'PBA Summary'!$D$2,,,"m",'PBA Summary'!$F$2,'PBA Summary'!$G$2))</f>
        <v>-0.93771762300324268</v>
      </c>
      <c r="DK7" s="33" cm="1">
        <f t="array" ref="DK7">IF('PBA Summary'!$D$3="","",_xll.ASAssetStatistic($A7,"Ann. Information Ratio vs Benchmark 1",'PBA Summary'!$D$3,,,"m",'PBA Summary'!$F$2,'PBA Summary'!$G$2))</f>
        <v>-0.93771762300324268</v>
      </c>
      <c r="DL7" s="33" cm="1">
        <f t="array" ref="DL7">IF('PBA Summary'!$D$2="","",_xll.ASAssetStatistic($A7,"Ann. Tracking Error vs Benchmark 1",'PBA Summary'!$D$2,,,"m",'PBA Summary'!$F$2,'PBA Summary'!$G$2))</f>
        <v>0.14790692987029569</v>
      </c>
      <c r="DM7" s="33" cm="1">
        <f t="array" ref="DM7">IF('PBA Summary'!$D$3="","",_xll.ASAssetStatistic($A7,"Ann. Tracking Error vs Benchmark 1",'PBA Summary'!$D$3,,,"m",'PBA Summary'!$F$2,'PBA Summary'!$G$2))</f>
        <v>0.14790692987029569</v>
      </c>
      <c r="DN7" s="33" cm="1">
        <f t="array" ref="DN7">IF('PBA Summary'!$D$2="","",_xll.ASAssetStatistic($A7,"R² vs Benchmark 1",'PBA Summary'!$D$2,,,"m",'PBA Summary'!$F$2,'PBA Summary'!$G$2))</f>
        <v>0.19602585661089797</v>
      </c>
      <c r="DO7" s="33" cm="1">
        <f t="array" ref="DO7">IF('PBA Summary'!$D$3="","",_xll.ASAssetStatistic($A7,"R² vs Benchmark 1",'PBA Summary'!$D$3,,,"m",'PBA Summary'!$F$2,'PBA Summary'!$G$2))</f>
        <v>0.19602585661089797</v>
      </c>
      <c r="DP7" s="11" t="str" cm="1">
        <f t="array" ref="DP7">_xll.ASAssetInfo($A7,"On-/Offshore")</f>
        <v>Unknown</v>
      </c>
      <c r="DQ7" s="16" cm="1">
        <f t="array" ref="DQ7">_xll.ASAssetStatistic($A7,"Quarter-to-date",,,,"m",'PBA Summary'!$F$2,'PBA Summary'!$G$2)</f>
        <v>4.4999999999999485E-3</v>
      </c>
      <c r="DR7" s="16" cm="1">
        <f t="array" ref="DR7">_xll.ASAssetStatistic($A7,"Annualized Return Since inception",,,,"m",'PBA Summary'!$F$2,'PBA Summary'!$G$2)</f>
        <v>9.740022144816507E-2</v>
      </c>
      <c r="DS7" s="16" cm="1">
        <f t="array" ref="DS7">IF('PBA Summary'!$D$2="","",_xll.ASAssetStatistic($A7,"Ann. Bear Market Return vs Benchmark 1",'PBA Summary'!$D$2,,,"m",'PBA Summary'!$F$2,'PBA Summary'!$G$2))</f>
        <v>2.2572100181608823E-2</v>
      </c>
      <c r="DT7" s="16" cm="1">
        <f t="array" ref="DT7">IF('PBA Summary'!$D$2="","",_xll.ASAssetStatistic($A7,"Ann. Bull Market Return vs Benchmark 1",'PBA Summary'!$D$2,,,"m",'PBA Summary'!$F$2,'PBA Summary'!$G$2))</f>
        <v>3.7663384449591053E-2</v>
      </c>
      <c r="DU7" s="16" cm="1">
        <f t="array" ref="DU7">IF('PBA Summary'!$D$3="","",_xll.ASAssetStatistic($A7,"Ann. Bear Market Return vs Benchmark 1",'PBA Summary'!$D$3,,,"m",'PBA Summary'!$F$2,'PBA Summary'!$G$2))</f>
        <v>2.2572100181608823E-2</v>
      </c>
      <c r="DV7" s="16" cm="1">
        <f t="array" ref="DV7">IF('PBA Summary'!$D$3="","",_xll.ASAssetStatistic($A7,"Ann. Bull Market Return vs Benchmark 1",'PBA Summary'!$D$3,,,"m",'PBA Summary'!$F$2,'PBA Summary'!$G$2))</f>
        <v>3.7663384449591053E-2</v>
      </c>
      <c r="DW7" s="17" cm="1">
        <f t="array" ref="DW7">_xll.ASAssetStatistic($A7,"Average Positive Return",,,,"m",'PBA Summary'!$F$2,'PBA Summary'!$G$2)</f>
        <v>3.9615384615383966E-3</v>
      </c>
      <c r="DX7" s="17" cm="1">
        <f t="array" ref="DX7">_xll.ASAssetStatistic($A7,"Average Negative Return",,,,"m",'PBA Summary'!$F$2,'PBA Summary'!$G$2)</f>
        <v>-4.9999999999999489E-3</v>
      </c>
      <c r="DY7" s="16" cm="1">
        <f t="array" ref="DY7">IF('PBA Summary'!$D$2="","",_xll.ASAssetStatistic($A7,"Outperformance vs Benchmark 1",'PBA Summary'!$D$2,,,"m",'PBA Summary'!$F$2,'PBA Summary'!$G$2))</f>
        <v>-0.17764677529409623</v>
      </c>
      <c r="DZ7" s="16" cm="1">
        <f t="array" ref="DZ7">IF('PBA Summary'!$D$3="","",_xll.ASAssetStatistic($A7,"Outperformance vs Benchmark 1",'PBA Summary'!$D$3,,,"m",'PBA Summary'!$F$2,'PBA Summary'!$G$2))</f>
        <v>-0.17764677529409623</v>
      </c>
      <c r="EA7" s="16" cm="1">
        <f t="array" ref="EA7">IF('PBA Summary'!$D$2="","",_xll.ASAssetStatistic($A7,"Annual Outperformance vs Benchmark 1",'PBA Summary'!$D$2,,,"m",'PBA Summary'!$F$2,'PBA Summary'!$G$2))</f>
        <v>-0.13869493470368099</v>
      </c>
      <c r="EB7" s="16" cm="1">
        <f t="array" ref="EB7">IF('PBA Summary'!$D$3="","",_xll.ASAssetStatistic($A7,"Annual Outperformance vs Benchmark 1",'PBA Summary'!$D$3,,,"m",'PBA Summary'!$F$2,'PBA Summary'!$G$2))</f>
        <v>-0.13869493470368099</v>
      </c>
      <c r="EC7" s="32" cm="1">
        <f t="array" ref="EC7">_xll.ASAssetStatistic($A7,"Rachev Ratio 99%",,,,"m",'PBA Summary'!$F$2,'PBA Summary'!$G$2)</f>
        <v>-1.2857142857142698</v>
      </c>
      <c r="ED7" s="32" cm="1">
        <f t="array" ref="ED7">_xll.ASAssetStatistic($A7,"Rachev Ratio 97%",,,,"m",'PBA Summary'!$F$2,'PBA Summary'!$G$2)</f>
        <v>-1.2857142857142698</v>
      </c>
      <c r="EE7" s="32" cm="1">
        <f t="array" ref="EE7">_xll.ASAssetStatistic($A7,"Rachev Ratio 95%",,,,"m",'PBA Summary'!$F$2,'PBA Summary'!$G$2)</f>
        <v>-1.2857142857142698</v>
      </c>
      <c r="EF7" s="32" cm="1">
        <f t="array" ref="EF7">_xll.ASAssetStatistic($A7,"Rachev Ratio 90%",,,,"m",'PBA Summary'!$F$2,'PBA Summary'!$G$2)</f>
        <v>-1.7000000000000077</v>
      </c>
      <c r="EG7" s="34" cm="1">
        <f t="array" ref="EG7">IF('PBA Summary'!$D$2="","",_xll.ASAssetStatistic($A7,"Annual Up Capture vs Benchmark 1",'PBA Summary'!$D$2,,,"m",'PBA Summary'!$F$2,'PBA Summary'!$G$2))</f>
        <v>7.4403001086349313E-2</v>
      </c>
      <c r="EH7" s="34" cm="1">
        <f t="array" ref="EH7">IF('PBA Summary'!$D$3="","",_xll.ASAssetStatistic($A7,"Annual Up Capture vs Benchmark 1",'PBA Summary'!$D$3,,,"m",'PBA Summary'!$F$2,'PBA Summary'!$G$2))</f>
        <v>7.4403001086349313E-2</v>
      </c>
      <c r="EI7" s="34" cm="1">
        <f t="array" ref="EI7">IF('PBA Summary'!$D$2="","",_xll.ASAssetStatistic($A7,"Annual Down Capture vs Benchmark 1",'PBA Summary'!$D$2,,,"m",'PBA Summary'!$F$2,'PBA Summary'!$G$2))</f>
        <v>-5.4850064970613448E-2</v>
      </c>
      <c r="EJ7" s="34" cm="1">
        <f t="array" ref="EJ7">IF('PBA Summary'!$D$3="","",_xll.ASAssetStatistic($A7,"Annual Down Capture vs Benchmark 1",'PBA Summary'!$D$3,,,"m",'PBA Summary'!$F$2,'PBA Summary'!$G$2))</f>
        <v>-5.4850064970613448E-2</v>
      </c>
      <c r="EK7" s="16" cm="1">
        <f t="array" ref="EK7">IF('PBA Summary'!$D$2="","",_xll.ASAssetStatistic($A7,"Ann. Tracking Error vs Benchmark 1",'PBA Summary'!$D$2,,,"m",'PBA Summary'!$F$2,'PBA Summary'!$G$2))</f>
        <v>0.14790692987029569</v>
      </c>
      <c r="EL7" s="16" cm="1">
        <f t="array" ref="EL7">IF('PBA Summary'!$D$3="","",_xll.ASAssetStatistic($A7,"Ann. Tracking Error vs Benchmark 1",'PBA Summary'!$D$3,,,"m",'PBA Summary'!$F$2,'PBA Summary'!$G$2))</f>
        <v>0.14790692987029569</v>
      </c>
      <c r="EM7" s="16" cm="1">
        <f t="array" ref="EM7">IF('PBA Summary'!$D$2="","",_xll.ASAssetStatistic($A7,"Annual Jensen Alpha vs Benchmark 1 (Rf)",'PBA Summary'!$D$2,,,"m",'PBA Summary'!$F$2,'PBA Summary'!$G$2))</f>
        <v>2.4325051507948232E-2</v>
      </c>
      <c r="EN7" s="16" cm="1">
        <f t="array" ref="EN7">IF('PBA Summary'!$D$3="","",_xll.ASAssetStatistic($A7,"Annual Jensen Alpha vs Benchmark 1 (Rf)",'PBA Summary'!$D$3,,,"m",'PBA Summary'!$F$2,'PBA Summary'!$G$2))</f>
        <v>2.4325051507948232E-2</v>
      </c>
      <c r="EO7" s="33" cm="1">
        <f t="array" ref="EO7">IF('PBA Summary'!$D$2="","",_xll.ASAssetStatistic($A7,"Ann. Information Ratio vs Benchmark 1",'PBA Summary'!$D$2,,,"m",'PBA Summary'!$F$2,'PBA Summary'!$G$2))</f>
        <v>-0.93771762300324268</v>
      </c>
      <c r="EP7" s="33" cm="1">
        <f t="array" ref="EP7">IF('PBA Summary'!$D$3="","",_xll.ASAssetStatistic($A7,"Ann. Information Ratio vs Benchmark 1",'PBA Summary'!$D$3,,,"m",'PBA Summary'!$F$2,'PBA Summary'!$G$2))</f>
        <v>-0.93771762300324268</v>
      </c>
      <c r="EQ7" s="17" cm="1">
        <f t="array" ref="EQ7">IF('PBA Summary'!$D$2="","",_xll.ASAssetStatistic($A7,"Alpha Monthly vs Benchmark 1",'PBA Summary'!$D$2,,,"m",'PBA Summary'!$F$2,'PBA Summary'!$G$2))</f>
        <v>2.195979802797926E-3</v>
      </c>
      <c r="ER7" s="17" cm="1">
        <f t="array" ref="ER7">IF('PBA Summary'!$D$3="","",_xll.ASAssetStatistic($A7,"Alpha Monthly vs Benchmark 1",'PBA Summary'!$D$3,,,"m",'PBA Summary'!$F$2,'PBA Summary'!$G$2))</f>
        <v>2.195979802797926E-3</v>
      </c>
      <c r="ES7" s="11" t="str" cm="1">
        <f t="array" ref="ES7">_xll.ASAssetInfo($A7,"Company AUM (m)")</f>
        <v/>
      </c>
      <c r="ET7" s="16" cm="1">
        <f t="array" ref="ET7">_xll.ASAssetStatistic($A7,"Exponential Annualized Volatility",,,,"m",'PBA Summary'!$F$2,'PBA Summary'!$G$2)</f>
        <v>1.1053389361806271E-2</v>
      </c>
      <c r="EU7" s="16" cm="1">
        <f t="array" ref="EU7">_xll.ASAssetStatistic($A7,"Exponential Annualized Volatility Last 1 year",,,,"m",'PBA Summary'!$F$2,'PBA Summary'!$G$2)</f>
        <v>7.6523621107694112E-3</v>
      </c>
      <c r="EV7" s="16" t="str" cm="1">
        <f t="array" ref="EV7">_xll.ASAssetStatistic($A7,"Exponential Annualized Volatility Last 3 years",,,,"m",'PBA Summary'!$F$2,'PBA Summary'!$G$2)</f>
        <v/>
      </c>
      <c r="EW7" s="34" cm="1">
        <f t="array" ref="EW7">IF('PBA Summary'!$D$2="","",_xll.ASAssetStatistic($A7,"Exponential Correlation to Benchmark 1",'PBA Summary'!$D$2,,,"m",'PBA Summary'!$F$2,'PBA Summary'!$G$2))</f>
        <v>0.22823956554811517</v>
      </c>
      <c r="EX7" s="34" cm="1">
        <f t="array" ref="EX7">IF('PBA Summary'!$D$3="","",_xll.ASAssetStatistic($A7,"Exponential Correlation to Benchmark 1",'PBA Summary'!$D$3,,,"m",'PBA Summary'!$F$2,'PBA Summary'!$G$2))</f>
        <v>0.22823956554811517</v>
      </c>
      <c r="EY7" s="34" cm="1">
        <f t="array" ref="EY7">_xll.ASAssetStatistic($A7,"Exponential Annual Sharpe Ratio (Rf)",,,,"m",'PBA Summary'!$F$2,'PBA Summary'!$G$2)</f>
        <v>3.2977416519563985</v>
      </c>
      <c r="EZ7" s="34" cm="1">
        <f t="array" ref="EZ7">_xll.ASAssetStatistic($A7,"Exponential Normal Monthly VaR 99%",,,,"m",'PBA Summary'!$F$2,'PBA Summary'!$G$2)</f>
        <v>-4.2336117224419682E-3</v>
      </c>
      <c r="FA7" s="34" cm="1">
        <f t="array" ref="FA7">_xll.ASAssetStatistic($A7,"Exponential Normal Monthly VaR 97%",,,,"m",'PBA Summary'!$F$2,'PBA Summary'!$G$2)</f>
        <v>-2.8119199449345815E-3</v>
      </c>
      <c r="FB7" s="34" cm="1">
        <f t="array" ref="FB7">_xll.ASAssetStatistic($A7,"Exponential Normal Monthly VaR 95%",,,,"m",'PBA Summary'!$F$2,'PBA Summary'!$G$2)</f>
        <v>-2.0590735310701625E-3</v>
      </c>
      <c r="FC7" s="34" cm="1">
        <f t="array" ref="FC7">_xll.ASAssetStatistic($A7,"Exponential Normal Monthly VaR 90%",,,,"m",'PBA Summary'!$F$2,'PBA Summary'!$G$2)</f>
        <v>-8.9983526764026225E-4</v>
      </c>
      <c r="FD7" s="34" t="str" cm="1">
        <f t="array" ref="FD7">_xll.ASAssetStatistic($A7,"Exponential Normal weekly VaR 99%",,,,"m",'PBA Summary'!$F$2,'PBA Summary'!$G$2)</f>
        <v/>
      </c>
      <c r="FE7" s="34" t="str" cm="1">
        <f t="array" ref="FE7">_xll.ASAssetStatistic($A7,"Exponential Normal weekly VaR 97%",,,,"m",'PBA Summary'!$F$2,'PBA Summary'!$G$2)</f>
        <v/>
      </c>
      <c r="FF7" s="34" t="str" cm="1">
        <f t="array" ref="FF7">_xll.ASAssetStatistic($A7,"Exponential Normal weekly VaR 95%",,,,"m",'PBA Summary'!$F$2,'PBA Summary'!$G$2)</f>
        <v/>
      </c>
      <c r="FG7" s="34" t="str" cm="1">
        <f t="array" ref="FG7">_xll.ASAssetStatistic($A7,"Exponential Normal weekly VaR 90%",,,,"m",'PBA Summary'!$F$2,'PBA Summary'!$G$2)</f>
        <v/>
      </c>
      <c r="FH7" s="34" t="str" cm="1">
        <f t="array" ref="FH7">_xll.ASAssetStatistic($A7,"Exponential Normal daily VaR 99%",,,,"m",'PBA Summary'!$F$2,'PBA Summary'!$G$2)</f>
        <v/>
      </c>
      <c r="FI7" s="34" t="str" cm="1">
        <f t="array" ref="FI7">_xll.ASAssetStatistic($A7,"Exponential Normal daily VaR 97%",,,,"m",'PBA Summary'!$F$2,'PBA Summary'!$G$2)</f>
        <v/>
      </c>
      <c r="FJ7" s="34" t="str" cm="1">
        <f t="array" ref="FJ7">_xll.ASAssetStatistic($A7,"Exponential Normal daily VaR 95%",,,,"m",'PBA Summary'!$F$2,'PBA Summary'!$G$2)</f>
        <v/>
      </c>
      <c r="FK7" s="34" t="str" cm="1">
        <f t="array" ref="FK7">_xll.ASAssetStatistic($A7,"Exponential Normal daily VaR 90%",,,,"m",'PBA Summary'!$F$2,'PBA Summary'!$G$2)</f>
        <v/>
      </c>
      <c r="FL7" s="34" cm="1">
        <f t="array" ref="FL7">_xll.ASAssetStatistic($A7,"Bias Ratio",,,,"m",'PBA Summary'!$F$2,'PBA Summary'!$G$2)</f>
        <v>3.5</v>
      </c>
      <c r="FM7" s="11" t="str" cm="1">
        <f t="array" ref="FM7">_xll.ASAssetInfo($A7,"Manager's Biography")</f>
        <v/>
      </c>
      <c r="FN7" s="11" cm="1">
        <f t="array" ref="FN7">_xll.ASAssetInfo($A7,"Investment Min")</f>
        <v>100000</v>
      </c>
      <c r="FO7" s="11" t="str" cm="1">
        <f t="array" ref="FO7">_xll.ASAssetInfo($A7,"Auditor")</f>
        <v>PwC</v>
      </c>
      <c r="FP7" s="11" t="str" cm="1">
        <f t="array" ref="FP7">_xll.ASAssetInfo($A7,"Custodian")</f>
        <v>The Bank of New York</v>
      </c>
      <c r="FQ7" s="11" t="str" cm="1">
        <f t="array" ref="FQ7">_xll.ASAssetInfo($A7,"Administrator")</f>
        <v>U.S. Bancorp Fund Services, Ltd</v>
      </c>
      <c r="FR7" s="14" t="str" cm="1">
        <f t="array" ref="FR7">_xll.ASAssetInfo($A7,"Proxy 1 Start Date")</f>
        <v/>
      </c>
      <c r="FS7" s="14" t="str" cm="1">
        <f t="array" ref="FS7">_xll.ASAssetInfo($A7,"Proxy 1 End Date")</f>
        <v/>
      </c>
      <c r="FT7" s="14" t="str" cm="1">
        <f t="array" ref="FT7">_xll.ASAssetInfo($A7,"Proxy 2 Start Date")</f>
        <v/>
      </c>
      <c r="FU7" s="14" t="str" cm="1">
        <f t="array" ref="FU7">_xll.ASAssetInfo($A7,"Proxy 2 End Date")</f>
        <v/>
      </c>
      <c r="FV7" s="14" t="str" cm="1">
        <f t="array" ref="FV7">_xll.ASAssetInfo($A7,"Proxy 3 Start Date")</f>
        <v/>
      </c>
      <c r="FW7" s="14" t="str" cm="1">
        <f t="array" ref="FW7">_xll.ASAssetInfo($A7,"Proxy 3 End Date")</f>
        <v/>
      </c>
      <c r="FX7" s="14" t="str" cm="1">
        <f t="array" ref="FX7">_xll.ASAssetInfo($A7,"Fund Domicile")</f>
        <v/>
      </c>
      <c r="FY7" s="14" t="str" cm="1">
        <f t="array" ref="FY7">_xll.ASAssetInfo($A7,"Fund Contact")</f>
        <v/>
      </c>
      <c r="FZ7" s="14" t="str" cm="1">
        <f t="array" ref="FZ7">_xll.ASAssetInfo($A7,"Fund Contact Email")</f>
        <v/>
      </c>
      <c r="GA7" s="14" t="str" cm="1">
        <f t="array" ref="GA7">_xll.ASAssetInfo($A7,"Fund Contact Number")</f>
        <v/>
      </c>
      <c r="GB7" s="14" t="str" cm="1">
        <f t="array" ref="GB7">_xll.ASAssetInfo($A7,"City")</f>
        <v/>
      </c>
      <c r="GC7" s="14" t="str" cm="1">
        <f t="array" ref="GC7">_xll.ASAssetInfo($A7,"Leverage")</f>
        <v/>
      </c>
      <c r="GD7" s="14" t="str" cm="1">
        <f t="array" ref="GD7">_xll.ASAssetInfo($A7,"Lockup 1 Duration")</f>
        <v>0 Months</v>
      </c>
      <c r="GE7" s="14" t="str" cm="1">
        <f t="array" ref="GE7">_xll.ASAssetInfo($A7,"Lockup 2 Duration")</f>
        <v>0 Months</v>
      </c>
      <c r="GF7" s="14" t="str" cm="1">
        <f t="array" ref="GF7">_xll.ASAssetInfo($A7,"Lockup 3 Duration")</f>
        <v>0 Months</v>
      </c>
      <c r="GG7" s="31" t="str" cm="1">
        <f t="array" ref="GG7">_xll.ASAssetInfo($A7,"Fund Level Gate")</f>
        <v/>
      </c>
      <c r="GH7" s="31" t="str" cm="1">
        <f t="array" ref="GH7">_xll.ASAssetInfo($A7,"Fund Level Gate Frequency")</f>
        <v>Unknown</v>
      </c>
      <c r="GI7" s="35" cm="1">
        <f t="array" ref="GI7">_xll.ASAssetInfo($A7,"Payment 2 (%)")</f>
        <v>0</v>
      </c>
      <c r="GJ7" s="35" t="str" cm="1">
        <f t="array" ref="GJ7">_xll.ASAssetInfo($A7,"Payment 2 (days)")</f>
        <v/>
      </c>
      <c r="GK7" s="35" t="str" cm="1">
        <f t="array" ref="GK7">_xll.ASAssetInfo($A7,"Payment 2 (Paid After)")</f>
        <v>NAV Date</v>
      </c>
      <c r="GL7" s="35" cm="1">
        <f t="array" ref="GL7">_xll.ASAssetInfo($A7,"Payment 3 (%)")</f>
        <v>0</v>
      </c>
      <c r="GM7" s="36" t="str" cm="1">
        <f t="array" ref="GM7">_xll.ASAssetInfo($A7,"Payment 3 (Days)")</f>
        <v/>
      </c>
      <c r="GN7" s="35" t="str" cm="1">
        <f t="array" ref="GN7">_xll.ASAssetInfo($A7,"Payment 3 (Paid After)")</f>
        <v>NAV Date</v>
      </c>
      <c r="GO7" s="35" cm="1">
        <f t="array" ref="GO7">_xll.ASAssetInfo($A7,"Payment 4 (%)")</f>
        <v>0</v>
      </c>
      <c r="GP7" s="36" t="str" cm="1">
        <f t="array" ref="GP7">_xll.ASAssetInfo($A7,"Payment 4 (days)")</f>
        <v/>
      </c>
      <c r="GQ7" s="35" t="str" cm="1">
        <f t="array" ref="GQ7">_xll.ASAssetInfo($A7,"Payment 4 (Paid After)")</f>
        <v>NAV Date</v>
      </c>
      <c r="GR7" s="31" cm="1">
        <f t="array" ref="GR7">_xll.ASAssetInfo($A7,"Payment 1 (%)")</f>
        <v>1</v>
      </c>
      <c r="GS7" s="35" cm="1">
        <f t="array" ref="GS7">_xll.ASAssetInfo($A7,"Lockup 1 Fee")</f>
        <v>0</v>
      </c>
      <c r="GT7" s="35" cm="1">
        <f t="array" ref="GT7">_xll.ASAssetInfo($A7,"Lockup 2 Fee")</f>
        <v>0</v>
      </c>
      <c r="GU7" s="35" cm="1">
        <f t="array" ref="GU7">_xll.ASAssetInfo($A7,"Lockup 3 Fee")</f>
        <v>0</v>
      </c>
      <c r="GV7" s="35" t="str" cm="1">
        <f t="array" ref="GV7">_xll.ASAssetInfo($A7,"Lockup 1 type")</f>
        <v>None</v>
      </c>
      <c r="GW7" s="35" t="str" cm="1">
        <f t="array" ref="GW7">_xll.ASAssetInfo($A7,"Lockup 2 type")</f>
        <v>None</v>
      </c>
      <c r="GX7" s="35" t="str" cm="1">
        <f t="array" ref="GX7">_xll.ASAssetInfo($A7,"Lockup 3 type")</f>
        <v>None</v>
      </c>
      <c r="GY7" s="35" t="str" cm="1">
        <f t="array" ref="GY7">_xll.ASAssetInfo($A7,"Redemption 1 type")</f>
        <v>Calendar</v>
      </c>
      <c r="GZ7" s="35" t="str" cm="1">
        <f t="array" ref="GZ7">_xll.ASAssetInfo($A7,"Redemption 2 type")</f>
        <v>Calendar</v>
      </c>
      <c r="HA7" s="35" t="str" cm="1">
        <f t="array" ref="HA7">_xll.ASAssetInfo($A7,"Redemption 3 type")</f>
        <v>Calendar</v>
      </c>
      <c r="HB7" s="35" t="str" cm="1">
        <f t="array" ref="HB7">_xll.ASAssetInfo($A7,"Redemption 1 Fee")</f>
        <v/>
      </c>
      <c r="HC7" s="35" t="str" cm="1">
        <f t="array" ref="HC7">_xll.ASAssetInfo($A7,"Redemption 2 Fee")</f>
        <v/>
      </c>
      <c r="HD7" s="35" t="str" cm="1">
        <f t="array" ref="HD7">_xll.ASAssetInfo($A7,"Redemption 3 Fee")</f>
        <v/>
      </c>
      <c r="HE7" s="35" t="str" cm="1">
        <f t="array" ref="HE7">_xll.ASAssetInfo($A7,"Redemption 1 Frequency")</f>
        <v>Quarterly</v>
      </c>
      <c r="HF7" s="35" t="str" cm="1">
        <f t="array" ref="HF7">_xll.ASAssetInfo($A7,"Redemption 2 Frequency")</f>
        <v>Unknown</v>
      </c>
      <c r="HG7" s="35" t="str" cm="1">
        <f t="array" ref="HG7">_xll.ASAssetInfo($A7,"Redemption 3 Frequency")</f>
        <v>Unknown</v>
      </c>
      <c r="HH7" s="35" t="str" cm="1">
        <f t="array" ref="HH7">_xll.ASAssetInfo($A7,"Asset Calendar")</f>
        <v>[Default]</v>
      </c>
      <c r="HI7" s="16" cm="1">
        <f t="array" ref="HI7">_xll.ASAssetStatistic($A7,"Max Second Drawdown",,,,"m",'PBA Summary'!$F$2,'PBA Summary'!$G$2)</f>
        <v>0</v>
      </c>
      <c r="HJ7" s="37" t="str" cm="1">
        <f t="array" ref="HJ7">_xll.ASAssetStatistic($A7,"Date Max Second Drawdown",,,,"m",'PBA Summary'!$F$2,'PBA Summary'!$G$2)</f>
        <v/>
      </c>
      <c r="HK7" s="37" t="str" cm="1">
        <f t="array" ref="HK7">_xll.ASAssetInfo($A7,HK$1)</f>
        <v/>
      </c>
      <c r="HL7" s="37" t="str" cm="1">
        <f t="array" ref="HL7">_xll.ASAssetInfo($A7,HL$1)</f>
        <v/>
      </c>
      <c r="HM7" s="34" t="str" cm="1">
        <f t="array" ref="HM7">_xll.ASAssetInfo($A7,HM$1)</f>
        <v/>
      </c>
      <c r="HN7" s="37" t="str" cm="1">
        <f t="array" ref="HN7">_xll.ASAssetInfo($A7,HN$1)</f>
        <v/>
      </c>
      <c r="HO7" s="15" cm="1">
        <f t="array" ref="HO7">_xll.ASAssetInfo($A7,HO$1)</f>
        <v>0</v>
      </c>
      <c r="HP7" s="15" t="str" cm="1">
        <f t="array" ref="HP7">_xll.ASAssetInfo($A7,HP$1)</f>
        <v/>
      </c>
      <c r="HQ7" s="34" t="str" cm="1">
        <f t="array" ref="HQ7">_xll.ASAssetInfo($A7,HQ$1)</f>
        <v/>
      </c>
      <c r="HR7" s="37" t="str" cm="1">
        <f t="array" ref="HR7">_xll.ASAssetInfo($A7,HR$1)</f>
        <v/>
      </c>
      <c r="HS7" s="37" t="str" cm="1">
        <f t="array" ref="HS7">_xll.ASAssetInfo($A7,HS$1)</f>
        <v/>
      </c>
      <c r="HT7" s="37" t="str" cm="1">
        <f t="array" ref="HT7">_xll.ASAssetInfo($A7,HT$1)</f>
        <v/>
      </c>
      <c r="HU7" s="37" t="str" cm="1">
        <f t="array" ref="HU7">_xll.ASAssetInfo($A7,HU$1)</f>
        <v>Americas</v>
      </c>
      <c r="HV7" s="37" t="str" cm="1">
        <f t="array" ref="HV7">_xll.ASAssetInfo($A7,HV$1)</f>
        <v/>
      </c>
      <c r="HW7" s="37" t="str" cm="1">
        <f t="array" ref="HW7">_xll.ASAssetInfo($A7,HW$1)</f>
        <v/>
      </c>
    </row>
    <row r="8" spans="1:231" s="11" customFormat="1" ht="13.9" customHeight="1" x14ac:dyDescent="0.25">
      <c r="A8" t="s">
        <v>291</v>
      </c>
      <c r="B8" cm="1">
        <f t="array" ref="B8">_xll.ASPortfolioWeights('PBA Summary'!$C$2,"OR",$A8)</f>
        <v>0</v>
      </c>
      <c r="C8" cm="1">
        <f t="array" ref="C8">_xll.ASAssetStatistic($A8,"Annualized Return since inception",,,,"m",_xll.ASAssetInfo($A8,"Start Date"),_xll.ASAssetInfo($A8,"Last Return Date"))</f>
        <v>6.1062901356601751E-2</v>
      </c>
      <c r="D8" cm="1">
        <f t="array" ref="D8">_xll.ASAssetStatistic($A8,"Annualized Return",,,,"m",'PBA Summary'!$F$2,'PBA Summary'!$G$2)</f>
        <v>0.11336067473668221</v>
      </c>
      <c r="E8" s="19" cm="1">
        <f t="array" ref="E8">_xll.ASAssetStatistic($A8,"Equilibrium Annual Return",,,,"m",'PBA Summary'!$F$2,'PBA Summary'!$G$2)</f>
        <v>6.441305430747124E-2</v>
      </c>
      <c r="F8" cm="1">
        <f t="array" ref="F8">_xll.ASAssetStatistic($A8,"Annualized Volatility (Inception)",,,,"m",_xll.ASAssetInfo($A8,"Start Date"),_xll.ASAssetInfo($A8,"Last Return Date"))</f>
        <v>4.969974433850087E-2</v>
      </c>
      <c r="G8" cm="1">
        <f t="array" ref="G8">_xll.ASAssetStatistic($A8,"Annualized Volatility",,,,"m",'PBA Summary'!$F$2,'PBA Summary'!$G$2)</f>
        <v>2.5145026699489363E-2</v>
      </c>
      <c r="H8" s="20" cm="1">
        <f t="array" ref="H8">_xll.ASAssetStatistic($A8,"Skewness",,,,"m",'PBA Summary'!$F$2,'PBA Summary'!$G$2)</f>
        <v>0.77451845356637783</v>
      </c>
      <c r="I8" s="20" cm="1">
        <f t="array" ref="I8">_xll.ASAssetStatistic($A8,"Excess kurtosis",,,,"m",'PBA Summary'!$F$2,'PBA Summary'!$G$2)</f>
        <v>-0.75175457989292283</v>
      </c>
      <c r="J8" s="19" cm="1">
        <f t="array" ref="J8">_xll.ASAssetStatistic($A8,"Return Last 1 month",,,,"m",'PBA Summary'!$F$2,'PBA Summary'!$G$2)</f>
        <v>1.545473824619914E-2</v>
      </c>
      <c r="K8" s="19" cm="1">
        <f t="array" ref="K8">_xll.ASAssetStatistic($A8,"Return Last 3 months",,,,"m",'PBA Summary'!$F$2,'PBA Summary'!$G$2)</f>
        <v>2.1373770956892635E-2</v>
      </c>
      <c r="L8" s="19" cm="1">
        <f t="array" ref="L8">_xll.ASAssetStatistic($A8,"Return Last 1 year",,,,"m",'PBA Summary'!$F$2,'PBA Summary'!$G$2)</f>
        <v>0.10277326399493569</v>
      </c>
      <c r="M8" s="19" cm="1">
        <f t="array" ref="M8">_xll.ASAssetStatistic($A8,"Year-to-date Return",,,,"m",'PBA Summary'!$F$2,'PBA Summary'!$G$2)</f>
        <v>1.545473824619914E-2</v>
      </c>
      <c r="N8" s="19" cm="1">
        <f t="array" ref="N8">_xll.ASAssetStatistic($A8,"Annualized Return",,,,"m",EOMONTH('PBA Summary'!$G$2,-2),'PBA Summary'!$G$2)</f>
        <v>8.8275378448478214E-2</v>
      </c>
      <c r="O8" s="19" t="str" cm="1">
        <f t="array" ref="O8">_xll.ASAssetStatistic($A8,"Annualized Return Last 3 years",,,,"m",'PBA Summary'!$F$2,'PBA Summary'!$G$2)</f>
        <v/>
      </c>
      <c r="P8" s="19" t="str" cm="1">
        <f t="array" ref="P8">_xll.ASAssetStatistic($A8,"Annualized Return Last 5 years",,,,"m",'PBA Summary'!$F$2,'PBA Summary'!$G$2)</f>
        <v/>
      </c>
      <c r="Q8" s="19" cm="1">
        <f t="array" ref="Q8">_xll.ASAssetStatistic($A8,"Annualized Volatility Last 1 year",,,,"m",'PBA Summary'!$F$2,'PBA Summary'!$G$2)</f>
        <v>2.3938359951430968E-2</v>
      </c>
      <c r="R8" s="19" t="str" cm="1">
        <f t="array" ref="R8">_xll.ASAssetStatistic($A8,"Annualized Volatility Last 3 years",,,,"m",'PBA Summary'!$F$2,'PBA Summary'!$G$2)</f>
        <v/>
      </c>
      <c r="S8" s="19" t="str" cm="1">
        <f t="array" ref="S8">_xll.ASAssetStatistic($A8,"Annualized Volatility Last 5 years",,,,"m",'PBA Summary'!$F$2,'PBA Summary'!$G$2)</f>
        <v/>
      </c>
      <c r="T8" s="19" cm="1">
        <f t="array" ref="T8">_xll.ASAssetStatistic($A8,"Normal monthly VaR 99%",,,,"m",'PBA Summary'!$F$2,'PBA Summary'!$G$2)</f>
        <v>-7.8733243698025958E-3</v>
      </c>
      <c r="U8" s="19" cm="1">
        <f t="array" ref="U8">_xll.ASAssetStatistic($A8,"Modified monthly VaR 99%",,,,"m",'PBA Summary'!$F$2,'PBA Summary'!$G$2)</f>
        <v>-8.2491229020928078E-4</v>
      </c>
      <c r="V8" s="19" cm="1">
        <f t="array" ref="V8">_xll.ASAssetStatistic($A8,"Conditional monthly VaR 99%",,,,"m",'PBA Summary'!$F$2,'PBA Summary'!$G$2)</f>
        <v>7.3716117074384968E-4</v>
      </c>
      <c r="W8" s="19" cm="1">
        <f t="array" ref="W8">_xll.ASAssetStatistic($A8,"Normal monthly VaR 97%",,,,"m",'PBA Summary'!$F$2,'PBA Summary'!$G$2)</f>
        <v>-4.6391600303654548E-3</v>
      </c>
      <c r="X8" s="19" cm="1">
        <f t="array" ref="X8">_xll.ASAssetStatistic($A8,"Modified monthly VaR 97%",,,,"m",'PBA Summary'!$F$2,'PBA Summary'!$G$2)</f>
        <v>-1.559825381307979E-3</v>
      </c>
      <c r="Y8" s="19" cm="1">
        <f t="array" ref="Y8">_xll.ASAssetStatistic($A8,"Conditional monthly VaR 97%",,,,"m",'PBA Summary'!$F$2,'PBA Summary'!$G$2)</f>
        <v>7.3716117074384968E-4</v>
      </c>
      <c r="Z8" s="19" cm="1">
        <f t="array" ref="Z8">_xll.ASAssetStatistic($A8,"Normal monthly VaR 95%",,,,"m",'PBA Summary'!$F$2,'PBA Summary'!$G$2)</f>
        <v>-2.9265321152892598E-3</v>
      </c>
      <c r="AA8" s="19" cm="1">
        <f t="array" ref="AA8">_xll.ASAssetStatistic($A8,"Modified monthly VaR 95%",,,,"m",'PBA Summary'!$F$2,'PBA Summary'!$G$2)</f>
        <v>-1.3567643825201439E-3</v>
      </c>
      <c r="AB8" s="19" cm="1">
        <f t="array" ref="AB8">_xll.ASAssetStatistic($A8,"Conditional monthly VaR 95%",,,,"m",'PBA Summary'!$F$2,'PBA Summary'!$G$2)</f>
        <v>7.3716117074384968E-4</v>
      </c>
      <c r="AC8" s="66" cm="1">
        <f t="array" ref="AC8">_xll.ASAssetStatistic($A8,"Correlation to Benchmark 1","MSCI ACWI Index",,,"m",'PBA Summary'!$F$2,'PBA Summary'!$G$2)</f>
        <v>0.37256265233210062</v>
      </c>
      <c r="AD8" s="38" cm="1">
        <f t="array" ref="AD8">IF('PBA Summary'!$D$3="","",_xll.ASAssetStatistic($A8,"Correlation to Benchmark 1",'PBA Summary'!$D$3,,,"m",'PBA Summary'!$F$2,'PBA Summary'!$G$2))</f>
        <v>0.3514548769153375</v>
      </c>
      <c r="AE8" s="21" cm="1">
        <f t="array" ref="AE8">IF('PBA Summary'!$D$2="","",_xll.ASAssetStatistic($A8,"Bull correlation to Benchmark 1",'PBA Summary'!$D$2,,,"m",'PBA Summary'!$F$2,'PBA Summary'!$G$2))</f>
        <v>0.63091086112337114</v>
      </c>
      <c r="AF8" s="21" cm="1">
        <f t="array" ref="AF8">IF('PBA Summary'!$D$2="","",_xll.ASAssetStatistic($A8,"Bear correlation to Benchmark 1",'PBA Summary'!$D$2,,,"m",'PBA Summary'!$F$2,'PBA Summary'!$G$2))</f>
        <v>0.2459500995008379</v>
      </c>
      <c r="AG8" s="21" cm="1">
        <f t="array" ref="AG8">IF('PBA Summary'!$D$3="","",_xll.ASAssetStatistic($A8,"Bull correlation to Benchmark 1",'PBA Summary'!$D$3,,,"m",'PBA Summary'!$F$2,'PBA Summary'!$G$2))</f>
        <v>0.63091086112337114</v>
      </c>
      <c r="AH8" s="21" cm="1">
        <f t="array" ref="AH8">IF('PBA Summary'!$D$3="","",_xll.ASAssetStatistic($A8,"Bear correlation to Benchmark 1",'PBA Summary'!$D$3,,,"m",'PBA Summary'!$F$2,'PBA Summary'!$G$2))</f>
        <v>0.2459500995008379</v>
      </c>
      <c r="AI8" s="24" cm="1">
        <f t="array" ref="AI8">IF('PBA Summary'!$D$2="","",_xll.ASAssetStatistic($A8,"Beta to Benchmark 1",'PBA Summary'!$D$2,,,"m",'PBA Summary'!$F$2,'PBA Summary'!$G$2))</f>
        <v>5.756326346533025E-2</v>
      </c>
      <c r="AJ8" s="24" t="str" cm="1">
        <f t="array" ref="AJ8">IF('PBA Summary'!$D$2="","",_xll.ASAssetStatistic($A8,"Beta to Benchmark 1 Last 3 years",'PBA Summary'!$D$2,,,"m",'PBA Summary'!$F$2,'PBA Summary'!$G$2))</f>
        <v/>
      </c>
      <c r="AK8" s="24" t="str" cm="1">
        <f t="array" ref="AK8">IF('PBA Summary'!$D$2="","",_xll.ASAssetStatistic($A8,"Beta to Benchmark 1 Last 5 years",'PBA Summary'!$D$2,,,"m",'PBA Summary'!$F$2,'PBA Summary'!$G$2))</f>
        <v/>
      </c>
      <c r="AL8" s="25" cm="1">
        <f t="array" ref="AL8">IF('PBA Summary'!$D$3="","",_xll.ASAssetStatistic($A8,"Beta to Benchmark 1",'PBA Summary'!$D$3,,,"m",'PBA Summary'!$F$2,'PBA Summary'!$G$2))</f>
        <v>5.756326346533025E-2</v>
      </c>
      <c r="AM8" s="25" t="str" cm="1">
        <f t="array" ref="AM8">IF('PBA Summary'!$D$3="","",_xll.ASAssetStatistic($A8,"Beta to Benchmark 1 Last 3 years",'PBA Summary'!$D$3,,,"m",'PBA Summary'!$F$2,'PBA Summary'!$G$2))</f>
        <v/>
      </c>
      <c r="AN8" s="25" t="str" cm="1">
        <f t="array" ref="AN8">IF('PBA Summary'!$D$3="","",_xll.ASAssetStatistic($A8,"Beta to Benchmark 1 Last 5 years",'PBA Summary'!$D$3,,,"m",'PBA Summary'!$F$2,'PBA Summary'!$G$2))</f>
        <v/>
      </c>
      <c r="AO8" s="25" cm="1">
        <f t="array" ref="AO8">IF('PBA Summary'!$D$2="","",_xll.ASAssetStatistic($A8,"Bull Beta to Benchmark 1",'PBA Summary'!$D$2,,,"m",'PBA Summary'!$F$2,'PBA Summary'!$G$2))</f>
        <v>0.23219682658186797</v>
      </c>
      <c r="AP8" s="25" cm="1">
        <f t="array" ref="AP8">IF('PBA Summary'!$D$2="","",_xll.ASAssetStatistic($A8,"Bear Beta to Benchmark 1",'PBA Summary'!$D$2,,,"m",'PBA Summary'!$F$2,'PBA Summary'!$G$2))</f>
        <v>3.3605491850324742E-2</v>
      </c>
      <c r="AQ8" s="25" cm="1">
        <f t="array" ref="AQ8">IF('PBA Summary'!$D$3="","",_xll.ASAssetStatistic($A8,"Bull Beta to Benchmark 1",'PBA Summary'!$D$3,,,"m",'PBA Summary'!$F$2,'PBA Summary'!$G$2))</f>
        <v>0.23219682658186797</v>
      </c>
      <c r="AR8" s="25" cm="1">
        <f t="array" ref="AR8">IF('PBA Summary'!$D$3="","",_xll.ASAssetStatistic($A8,"Bear Beta to Benchmark 1",'PBA Summary'!$D$3,,,"m",'PBA Summary'!$F$2,'PBA Summary'!$G$2))</f>
        <v>3.3605491850324742E-2</v>
      </c>
      <c r="AS8" s="25" cm="1">
        <f t="array" ref="AS8">_xll.ASAssetStatistic($A8,"Annual Sharpe Ratio (Rf)",,,'PBA Summary'!$H$2,"m",'PBA Summary'!$F$2,'PBA Summary'!$G$2)</f>
        <v>4.4088509454210891</v>
      </c>
      <c r="AT8" s="25" t="str" cm="1">
        <f t="array" ref="AT8">_xll.ASAssetStatistic($A8,"Annual Sharpe Ratio (Rf) Last 3 years",,,'PBA Summary'!$H$2,"m",'PBA Summary'!$F$2,'PBA Summary'!$G$2)</f>
        <v/>
      </c>
      <c r="AU8" s="25" t="str" cm="1">
        <f t="array" ref="AU8">_xll.ASAssetStatistic($A8,"Annual Sharpe Ratio (Rf) Last 5 years",,,'PBA Summary'!$H$2,"m",'PBA Summary'!$F$2,'PBA Summary'!$G$2)</f>
        <v/>
      </c>
      <c r="AV8" s="18" cm="1">
        <f t="array" ref="AV8">_xll.ASAssetStatistic($A8,"Ann. Downside Deviation (vs 0%)",,,'PBA Summary'!$H$2,"m",'PBA Summary'!$F$2,'PBA Summary'!$G$2)</f>
        <v>0</v>
      </c>
      <c r="AW8" s="18" cm="1">
        <f t="array" ref="AW8">_xll.ASAssetStatistic($A8,"Ann. Downside Deviation (vs Rf)",,,'PBA Summary'!$H$2,"m",'PBA Summary'!$F$2,'PBA Summary'!$G$2)</f>
        <v>0</v>
      </c>
      <c r="AX8" s="39" cm="1">
        <f t="array" ref="AX8">_xll.ASAssetStatistic($A8,"Annual Treynor ratio",,,'PBA Summary'!$H$2,"m",'PBA Summary'!$F$2,'PBA Summary'!$G$2)</f>
        <v>0.18038220677585681</v>
      </c>
      <c r="AY8" s="26" t="str" cm="1">
        <f t="array" ref="AY8">_xll.ASAssetStatistic($A8,"Annual Sortino Ratio (vs 0%)",,,'PBA Summary'!$H$2,"m",'PBA Summary'!$F$2,'PBA Summary'!$G$2)</f>
        <v/>
      </c>
      <c r="AZ8" s="26" t="str" cm="1">
        <f t="array" ref="AZ8">_xll.ASAssetStatistic($A8,"Annual Sortino Ratio (vs Rf)",,,'PBA Summary'!$H$2,"m",'PBA Summary'!$F$2,'PBA Summary'!$G$2)</f>
        <v/>
      </c>
      <c r="BA8" s="26" cm="1">
        <f t="array" ref="BA8">_xll.ASAssetStatistic($A8,"Sterling ratio",,,'PBA Summary'!$H$2,"m",'PBA Summary'!$F$2,'PBA Summary'!$G$2)</f>
        <v>1.1336067473668221</v>
      </c>
      <c r="BB8" s="26" t="str" cm="1">
        <f t="array" ref="BB8">_xll.ASAssetStatistic($A8,"Calmar ratio",,,'PBA Summary'!$H$2,"m",'PBA Summary'!$F$2,'PBA Summary'!$G$2)</f>
        <v/>
      </c>
      <c r="BC8" s="26" cm="1">
        <f t="array" ref="BC8">_xll.ASAssetStatistic($A8,"Hurst index",,,'PBA Summary'!$H$2,"m",'PBA Summary'!$F$2,'PBA Summary'!$G$2)</f>
        <v>0.58053287514484864</v>
      </c>
      <c r="BD8" s="26" t="str" cm="1">
        <f t="array" ref="BD8">_xll.ASAssetStatistic($A8,"Omega (Threshold 1)",,,'PBA Summary'!$H$2,"m",'PBA Summary'!$F$2,'PBA Summary'!$G$2)</f>
        <v/>
      </c>
      <c r="BE8" s="26" cm="1">
        <f t="array" ref="BE8">_xll.ASAssetStatistic($A8,"Omega (Threshold 2)",,,'PBA Summary'!$H$2,"m",'PBA Summary'!$F$2,'PBA Summary'!$G$2)</f>
        <v>5.4333510167080261</v>
      </c>
      <c r="BF8" s="26" cm="1">
        <f t="array" ref="BF8">_xll.ASAssetStatistic($A8,"Omega (Threshold 3)",,,'PBA Summary'!$H$2,"m",'PBA Summary'!$F$2,'PBA Summary'!$G$2)</f>
        <v>0.73119925718986722</v>
      </c>
      <c r="BG8" s="26" cm="1">
        <f t="array" ref="BG8">_xll.ASAssetStatistic($A8,"Omega (Threshold 4)",,,'PBA Summary'!$H$2,"m",'PBA Summary'!$F$2,'PBA Summary'!$G$2)</f>
        <v>0.15814305232995601</v>
      </c>
      <c r="BH8" s="26" cm="1">
        <f t="array" ref="BH8">_xll.ASAssetStatistic($A8,"Omega (Threshold 5)",,,'PBA Summary'!$H$2,"m",'PBA Summary'!$F$2,'PBA Summary'!$G$2)</f>
        <v>2.2939726361299439E-2</v>
      </c>
      <c r="BI8" s="26" t="str" cm="1">
        <f t="array" ref="BI8">_xll.ASAssetStatistic($A8,"Autocorrelated (illiquid)",,,'PBA Summary'!$H$2,"m",'PBA Summary'!$F$2,'PBA Summary'!$G$2)</f>
        <v>Yes</v>
      </c>
      <c r="BJ8" s="27" t="str" cm="1">
        <f t="array" ref="BJ8">_xll.ASAssetStatistic($A8,"% months in Run Up",,,'PBA Summary'!$H$2,"m",'PBA Summary'!$F$2,'PBA Summary'!$G$2)</f>
        <v/>
      </c>
      <c r="BK8" s="27" t="str" cm="1">
        <f t="array" ref="BK8">_xll.ASAssetStatistic($A8,"% months in Drawdown",,,'PBA Summary'!$H$2,"m",'PBA Summary'!$F$2,'PBA Summary'!$G$2)</f>
        <v/>
      </c>
      <c r="BL8" s="18" cm="1">
        <f t="array" ref="BL8">IF('PBA Summary'!$D$2="","",_xll.ASAssetStatistic($A8,"Bull Beta to Benchmark 1",'PBA Summary'!$D$2,,,"m",'PBA Summary'!$F$2,'PBA Summary'!$G$2))</f>
        <v>0.23219682658186797</v>
      </c>
      <c r="BM8" s="18" cm="1">
        <f t="array" ref="BM8">IF('PBA Summary'!$D$2="","",_xll.ASAssetStatistic($A8,"Average return during bear Benchmark 1",'PBA Summary'!$D$2,,,"m",'PBA Summary'!$F$2,'PBA Summary'!$G$2))</f>
        <v>7.9804424814985953E-3</v>
      </c>
      <c r="BN8" s="18" cm="1">
        <f t="array" ref="BN8">IF('PBA Summary'!$D$3="","",_xll.ASAssetStatistic($A8,"Average return during bull Benchmark 1",'PBA Summary'!$D$3,,,"m",'PBA Summary'!$F$2,'PBA Summary'!$G$2))</f>
        <v>9.3885289508930173E-3</v>
      </c>
      <c r="BO8" s="18" cm="1">
        <f t="array" ref="BO8">IF('PBA Summary'!$D$3="","",_xll.ASAssetStatistic($A8,"Average return during bear Benchmark 1",'PBA Summary'!$D$3,,,"m",'PBA Summary'!$F$2,'PBA Summary'!$G$2))</f>
        <v>7.9804424814985953E-3</v>
      </c>
      <c r="BP8" s="27" cm="1">
        <f t="array" ref="BP8">_xll.ASAssetStatistic($A8,"Maximum consecutive gain",,,'PBA Summary'!$H$2,"m",'PBA Summary'!$F$2,'PBA Summary'!$G$2)</f>
        <v>0.14365450955334458</v>
      </c>
      <c r="BQ8" s="27" cm="1">
        <f t="array" ref="BQ8">_xll.ASAssetStatistic($A8,"Maximum consecutive loss",,,'PBA Summary'!$H$2,"m",'PBA Summary'!$F$2,'PBA Summary'!$G$2)</f>
        <v>0</v>
      </c>
      <c r="BR8" s="27" cm="1">
        <f t="array" ref="BR8">_xll.ASAssetStatistic($A8,"Max monthly gain",,,'PBA Summary'!$H$2,"m",'PBA Summary'!$F$2,'PBA Summary'!$G$2)</f>
        <v>2.2714981070849127E-2</v>
      </c>
      <c r="BS8" s="27" cm="1">
        <f t="array" ref="BS8">_xll.ASAssetStatistic($A8,"Max monthly loss",,,'PBA Summary'!$H$2,"m",'PBA Summary'!$F$2,'PBA Summary'!$G$2)</f>
        <v>0</v>
      </c>
      <c r="BT8" s="27" cm="1">
        <f t="array" ref="BT8">_xll.ASAssetStatistic($A8,"Max drawdown",,,'PBA Summary'!$H$2,"m",'PBA Summary'!$F$2,'PBA Summary'!$G$2)</f>
        <v>0</v>
      </c>
      <c r="BU8" s="28" t="str" cm="1">
        <f t="array" ref="BU8">_xll.ASAssetStatistic($A8,"Date Max drawdown",,,'PBA Summary'!$H$2,"m",'PBA Summary'!$F$2,'PBA Summary'!$G$2)</f>
        <v/>
      </c>
      <c r="BV8" s="28" t="str" cm="1">
        <f t="array" ref="BV8">_xll.ASAssetStatistic($A8,"Start Date Max Drawdown",,,'PBA Summary'!$H$2,"m",'PBA Summary'!$F$2,'PBA Summary'!$G$2)</f>
        <v/>
      </c>
      <c r="BW8" s="28" t="str" cm="1">
        <f t="array" ref="BW8">_xll.ASAssetStatistic($A8,"End Date Max Drawdown",,,'PBA Summary'!$H$2,"m",'PBA Summary'!$F$2,'PBA Summary'!$G$2)</f>
        <v/>
      </c>
      <c r="BX8" s="29" cm="1">
        <f t="array" ref="BX8">_xll.ASAssetStatistic($A8,"Max Time-under-water (months)",,,'PBA Summary'!$H$2,"m",'PBA Summary'!$F$2,'PBA Summary'!$G$2)</f>
        <v>0</v>
      </c>
      <c r="BY8" s="27" cm="1">
        <f t="array" ref="BY8">_xll.ASAssetStatistic($A8,"Max possible drawdown 99%",,,'PBA Summary'!$H$2,"m",'PBA Summary'!$F$2,'PBA Summary'!$G$2)</f>
        <v>-7.9093541129411412E-3</v>
      </c>
      <c r="BZ8" s="27" cm="1">
        <f t="array" ref="BZ8">_xll.ASAssetStatistic($A8,"Max possible drawdown 99.9%",,,'PBA Summary'!$H$2,"m",'PBA Summary'!$F$2,'PBA Summary'!$G$2)</f>
        <v>-1.3956417752752239E-2</v>
      </c>
      <c r="CA8" s="30" cm="1">
        <f t="array" ref="CA8">_xll.ASAssetStatistic($A8,"Max Possible Time-under-water 99% (months)",,,'PBA Summary'!$H$2,"m",'PBA Summary'!$F$2,'PBA Summary'!$G$2)</f>
        <v>3.5101829315774586</v>
      </c>
      <c r="CB8" s="30" cm="1">
        <f t="array" ref="CB8">_xll.ASAssetStatistic($A8,"Max Possible Time-under-water 99.9% (months)",,,'PBA Summary'!$H$2,"m",'PBA Summary'!$F$2,'PBA Summary'!$G$2)</f>
        <v>6.1938786255023892</v>
      </c>
      <c r="CC8" s="17" cm="1">
        <f t="array" ref="CC8">_xll.ASPortfolioReturnAttribution('PBA Summary'!$C$2,"OR",A8,"Last 1m",'PBA Summary'!$F$2,'PBA Summary'!$G$2)</f>
        <v>0</v>
      </c>
      <c r="CD8" s="11" t="str" cm="1">
        <f t="array" ref="CD8">_xll.ASAssetInfo($A8,"Strategy")</f>
        <v>Funds - Credit Long Only</v>
      </c>
      <c r="CE8" s="14" cm="1">
        <f t="array" ref="CE8">_xll.ASAssetInfo($A8,"Start Date")</f>
        <v>40697</v>
      </c>
      <c r="CF8" s="14" t="str" cm="1">
        <f t="array" ref="CF8">_xll.ASAssetRatings($A8,"Quantitative",0,0,0,0,0,'PBA Summary'!$F$2,'PBA Summary'!$G$2)</f>
        <v/>
      </c>
      <c r="CG8" s="14" t="str" cm="1">
        <f t="array" ref="CG8">_xll.ASAssetRatings($A8,"Qualitative",0,0,0,0,0,'PBA Summary'!$F$2,'PBA Summary'!$G$2)</f>
        <v/>
      </c>
      <c r="CH8" s="14" t="str" cm="1">
        <f t="array" ref="CH8">_xll.ASAssetRatings($A8,"Final",0,0,0,0,0,'PBA Summary'!$F$2,'PBA Summary'!$G$2)</f>
        <v/>
      </c>
      <c r="CI8" s="14" cm="1">
        <f t="array" ref="CI8">_xll.ASAssetInfo($A8,"Last Return Date")</f>
        <v>44134</v>
      </c>
      <c r="CJ8" s="14" t="str" cm="1">
        <f t="array" ref="CJ8">_xll.ASAssetInfo($A8,"Company Name")</f>
        <v>AXA World Funds SICAV/LUXEMBOU</v>
      </c>
      <c r="CK8" s="14" t="str" cm="1">
        <f t="array" ref="CK8">_xll.ASAssetInfo($A8,"Manager Name")</f>
        <v>James Veneau</v>
      </c>
      <c r="CL8" s="14" t="str" cm="1">
        <f t="array" ref="CL8">_xll.ASAssetInfo($A8,"Address")</f>
        <v>AXA World Funds. 49, Avenue J.F.Kennedy. L-1855 Luxembourg. Grand Duchy of Luxembourg</v>
      </c>
      <c r="CM8" s="14" t="str" cm="1">
        <f t="array" ref="CM8">_xll.ASAssetInfo($A8,"Phone Number")</f>
        <v>352-46-40-10-010</v>
      </c>
      <c r="CN8" s="14" t="str" cm="1">
        <f t="array" ref="CN8">_xll.ASAssetInfo($A8,"Email")</f>
        <v/>
      </c>
      <c r="CO8" s="14" t="str" cm="1">
        <f t="array" ref="CO8">_xll.ASAssetInfo($A8,"Asset Type")</f>
        <v>Fixed Income</v>
      </c>
      <c r="CP8" s="14" t="str" cm="1">
        <f t="array" ref="CP8">_xll.ASAssetInfo($A8,"Proprietary ID")</f>
        <v/>
      </c>
      <c r="CQ8" s="14" t="str" cm="1">
        <f t="array" ref="CQ8">_xll.ASAssetInfo($A8,"Country")</f>
        <v>Luxembourg</v>
      </c>
      <c r="CR8" s="14" t="str" cm="1">
        <f t="array" ref="CR8">_xll.ASAssetInfo($A8,"Currency")</f>
        <v>USD</v>
      </c>
      <c r="CS8" s="14" t="str" cm="1">
        <f t="array" ref="CS8">_xll.ASAssetInfo($A8,"Sub-Strategy")</f>
        <v/>
      </c>
      <c r="CT8" s="31" cm="1">
        <f t="array" ref="CT8">_xll.ASAssetInfo($A8,"Fund AUM (m)")</f>
        <v>200.1782</v>
      </c>
      <c r="CU8" s="31" t="str" cm="1">
        <f t="array" ref="CU8">_xll.ASAssetInfo($A8,"Status")</f>
        <v>Unknown</v>
      </c>
      <c r="CV8" s="31" t="str" cm="1">
        <f t="array" ref="CV8">_xll.ASAssetInfo($A8,"Redemption 1 Frequency")</f>
        <v>Daily</v>
      </c>
      <c r="CW8" s="31" t="str" cm="1">
        <f t="array" ref="CW8">_xll.ASAssetInfo($A8,"Redemption 2 Frequency")</f>
        <v>Unknown</v>
      </c>
      <c r="CX8" s="31" t="str" cm="1">
        <f t="array" ref="CX8">_xll.ASAssetInfo($A8,"Redemption 3 Frequency")</f>
        <v>Unknown</v>
      </c>
      <c r="CY8" s="31" t="str" cm="1">
        <f t="array" ref="CY8">_xll.ASAssetInfo($A8,"Notice Period")</f>
        <v/>
      </c>
      <c r="CZ8" s="15" cm="1">
        <f t="array" ref="CZ8">_xll.ASAssetInfo($A8,"Performance Fee")</f>
        <v>0</v>
      </c>
      <c r="DA8" s="15" cm="1">
        <f t="array" ref="DA8">_xll.ASAssetInfo($A8,"Management Fee")</f>
        <v>5.5000000000000005E-3</v>
      </c>
      <c r="DB8" s="15" t="str" cm="1">
        <f t="array" ref="DB8">_xll.ASAssetInfo($A8,"ISIN")</f>
        <v>LU1196531773</v>
      </c>
      <c r="DC8" s="16" cm="1">
        <f t="array" ref="DC8">_xll.ASAssetStatistic($A8,"Return during " &amp;YEAR(EOMONTH('PBA Summary'!$G$2,-60)),,,,"M",DATE(YEAR(EOMONTH('PBA Summary'!$G$2,-60)),1,31),DATE(YEAR(EOMONTH('PBA Summary'!$G$2,-60)),12,31))</f>
        <v>3.2856983284513808E-2</v>
      </c>
      <c r="DD8" s="16" cm="1">
        <f t="array" ref="DD8">_xll.ASAssetStatistic($A8,"Return during " &amp;YEAR(EOMONTH('PBA Summary'!$G$2,-48)),,,,"M",DATE(YEAR(EOMONTH('PBA Summary'!$G$2,-48)),1,31),DATE(YEAR(EOMONTH('PBA Summary'!$G$2,-48)),12,31))</f>
        <v>7.7611430794416014E-2</v>
      </c>
      <c r="DE8" s="16" cm="1">
        <f t="array" ref="DE8">_xll.ASAssetStatistic($A8,"Return during " &amp;YEAR(EOMONTH('PBA Summary'!$G$2,-36)),,,,"M",DATE(YEAR(EOMONTH('PBA Summary'!$G$2,-36)),1,31),DATE(YEAR(EOMONTH('PBA Summary'!$G$2,-36)),12,31))</f>
        <v>5.0617252963838677E-2</v>
      </c>
      <c r="DF8" s="16" cm="1">
        <f t="array" ref="DF8">_xll.ASAssetStatistic($A8,"Return during " &amp;YEAR(EOMONTH('PBA Summary'!$G$2,-24)),,,,"M",DATE(YEAR(EOMONTH('PBA Summary'!$G$2,-24)),1,31),DATE(YEAR(EOMONTH('PBA Summary'!$G$2,-24)),12,31))</f>
        <v>-1.2863842122463609E-3</v>
      </c>
      <c r="DG8" s="16" cm="1">
        <f t="array" ref="DG8">_xll.ASAssetStatistic($A8,"Return during " &amp;YEAR(EOMONTH('PBA Summary'!$G$2,-12)),,,,"M",DATE(YEAR(EOMONTH('PBA Summary'!$G$2,-12)),1,31),DATE(YEAR(EOMONTH('PBA Summary'!$G$2,-12)),12,31))</f>
        <v>0.11065781204575575</v>
      </c>
      <c r="DH8" s="11" t="str" cm="1">
        <f t="array" ref="DH8">_xll.ASAssetInfo($A8,"Prime Broker")</f>
        <v/>
      </c>
      <c r="DI8" s="16" cm="1">
        <f t="array" ref="DI8">_xll.ASAssetStatistic($A8,"Return",,,,"m",'PBA Summary'!$F$2,'PBA Summary'!$G$2)</f>
        <v>0.14365450955334458</v>
      </c>
      <c r="DJ8" s="33" cm="1">
        <f t="array" ref="DJ8">IF('PBA Summary'!$D$2="","",_xll.ASAssetStatistic($A8,"Ann. Information Ratio vs Benchmark 1",'PBA Summary'!$D$2,,,"m",'PBA Summary'!$F$2,'PBA Summary'!$G$2))</f>
        <v>-0.40215546804100522</v>
      </c>
      <c r="DK8" s="33" cm="1">
        <f t="array" ref="DK8">IF('PBA Summary'!$D$3="","",_xll.ASAssetStatistic($A8,"Ann. Information Ratio vs Benchmark 1",'PBA Summary'!$D$3,,,"m",'PBA Summary'!$F$2,'PBA Summary'!$G$2))</f>
        <v>-0.40215546804100522</v>
      </c>
      <c r="DL8" s="33" cm="1">
        <f t="array" ref="DL8">IF('PBA Summary'!$D$2="","",_xll.ASAssetStatistic($A8,"Ann. Tracking Error vs Benchmark 1",'PBA Summary'!$D$2,,,"m",'PBA Summary'!$F$2,'PBA Summary'!$G$2))</f>
        <v>0.14658922773611055</v>
      </c>
      <c r="DM8" s="33" cm="1">
        <f t="array" ref="DM8">IF('PBA Summary'!$D$3="","",_xll.ASAssetStatistic($A8,"Ann. Tracking Error vs Benchmark 1",'PBA Summary'!$D$3,,,"m",'PBA Summary'!$F$2,'PBA Summary'!$G$2))</f>
        <v>0.14658922773611055</v>
      </c>
      <c r="DN8" s="33" cm="1">
        <f t="array" ref="DN8">IF('PBA Summary'!$D$2="","",_xll.ASAssetStatistic($A8,"R² vs Benchmark 1",'PBA Summary'!$D$2,,,"m",'PBA Summary'!$F$2,'PBA Summary'!$G$2))</f>
        <v>0.12352053050757503</v>
      </c>
      <c r="DO8" s="33" cm="1">
        <f t="array" ref="DO8">IF('PBA Summary'!$D$3="","",_xll.ASAssetStatistic($A8,"R² vs Benchmark 1",'PBA Summary'!$D$3,,,"m",'PBA Summary'!$F$2,'PBA Summary'!$G$2))</f>
        <v>0.12352053050757503</v>
      </c>
      <c r="DP8" s="11" t="str" cm="1">
        <f t="array" ref="DP8">_xll.ASAssetInfo($A8,"On-/Offshore")</f>
        <v>Unknown</v>
      </c>
      <c r="DQ8" s="16" cm="1">
        <f t="array" ref="DQ8">_xll.ASAssetStatistic($A8,"Quarter-to-date",,,,"m",'PBA Summary'!$F$2,'PBA Summary'!$G$2)</f>
        <v>1.545473824619914E-2</v>
      </c>
      <c r="DR8" s="16" cm="1">
        <f t="array" ref="DR8">_xll.ASAssetStatistic($A8,"Annualized Return Since inception",,,,"m",'PBA Summary'!$F$2,'PBA Summary'!$G$2)</f>
        <v>6.1062901356601751E-2</v>
      </c>
      <c r="DS8" s="16" cm="1">
        <f t="array" ref="DS8">IF('PBA Summary'!$D$2="","",_xll.ASAssetStatistic($A8,"Ann. Bear Market Return vs Benchmark 1",'PBA Summary'!$D$2,,,"m",'PBA Summary'!$F$2,'PBA Summary'!$G$2))</f>
        <v>9.992477894790941E-2</v>
      </c>
      <c r="DT8" s="16" cm="1">
        <f t="array" ref="DT8">IF('PBA Summary'!$D$2="","",_xll.ASAssetStatistic($A8,"Ann. Bull Market Return vs Benchmark 1",'PBA Summary'!$D$2,,,"m",'PBA Summary'!$F$2,'PBA Summary'!$G$2))</f>
        <v>0.11828704183961114</v>
      </c>
      <c r="DU8" s="16" cm="1">
        <f t="array" ref="DU8">IF('PBA Summary'!$D$3="","",_xll.ASAssetStatistic($A8,"Ann. Bear Market Return vs Benchmark 1",'PBA Summary'!$D$3,,,"m",'PBA Summary'!$F$2,'PBA Summary'!$G$2))</f>
        <v>9.992477894790941E-2</v>
      </c>
      <c r="DV8" s="16" cm="1">
        <f t="array" ref="DV8">IF('PBA Summary'!$D$3="","",_xll.ASAssetStatistic($A8,"Ann. Bull Market Return vs Benchmark 1",'PBA Summary'!$D$3,,,"m",'PBA Summary'!$F$2,'PBA Summary'!$G$2))</f>
        <v>0.11828704183961114</v>
      </c>
      <c r="DW8" s="17" cm="1">
        <f t="array" ref="DW8">_xll.ASAssetStatistic($A8,"Average Positive Return",,,,"m",'PBA Summary'!$F$2,'PBA Summary'!$G$2)</f>
        <v>9.0130392257211714E-3</v>
      </c>
      <c r="DX8" s="17" t="str" cm="1">
        <f t="array" ref="DX8">_xll.ASAssetStatistic($A8,"Average Negative Return",,,,"m",'PBA Summary'!$F$2,'PBA Summary'!$G$2)</f>
        <v/>
      </c>
      <c r="DY8" s="16" cm="1">
        <f t="array" ref="DY8">IF('PBA Summary'!$D$2="","",_xll.ASAssetStatistic($A8,"Outperformance vs Benchmark 1",'PBA Summary'!$D$2,,,"m",'PBA Summary'!$F$2,'PBA Summary'!$G$2))</f>
        <v>-7.6189135255374074E-2</v>
      </c>
      <c r="DZ8" s="16" cm="1">
        <f t="array" ref="DZ8">IF('PBA Summary'!$D$3="","",_xll.ASAssetStatistic($A8,"Outperformance vs Benchmark 1",'PBA Summary'!$D$3,,,"m",'PBA Summary'!$F$2,'PBA Summary'!$G$2))</f>
        <v>-7.6189135255374074E-2</v>
      </c>
      <c r="EA8" s="16" cm="1">
        <f t="array" ref="EA8">IF('PBA Summary'!$D$2="","",_xll.ASAssetStatistic($A8,"Annual Outperformance vs Benchmark 1",'PBA Summary'!$D$2,,,"m",'PBA Summary'!$F$2,'PBA Summary'!$G$2))</f>
        <v>-5.8951659489985042E-2</v>
      </c>
      <c r="EB8" s="16" cm="1">
        <f t="array" ref="EB8">IF('PBA Summary'!$D$3="","",_xll.ASAssetStatistic($A8,"Annual Outperformance vs Benchmark 1",'PBA Summary'!$D$3,,,"m",'PBA Summary'!$F$2,'PBA Summary'!$G$2))</f>
        <v>-5.8951659489985042E-2</v>
      </c>
      <c r="EC8" s="32" cm="1">
        <f t="array" ref="EC8">_xll.ASAssetStatistic($A8,"Rachev Ratio 99%",,,,"m",'PBA Summary'!$F$2,'PBA Summary'!$G$2)</f>
        <v>30.814131254265664</v>
      </c>
      <c r="ED8" s="32" cm="1">
        <f t="array" ref="ED8">_xll.ASAssetStatistic($A8,"Rachev Ratio 97%",,,,"m",'PBA Summary'!$F$2,'PBA Summary'!$G$2)</f>
        <v>30.814131254265664</v>
      </c>
      <c r="EE8" s="32" cm="1">
        <f t="array" ref="EE8">_xll.ASAssetStatistic($A8,"Rachev Ratio 95%",,,,"m",'PBA Summary'!$F$2,'PBA Summary'!$G$2)</f>
        <v>30.814131254265664</v>
      </c>
      <c r="EF8" s="32" cm="1">
        <f t="array" ref="EF8">_xll.ASAssetStatistic($A8,"Rachev Ratio 90%",,,,"m",'PBA Summary'!$F$2,'PBA Summary'!$G$2)</f>
        <v>14.471618613485496</v>
      </c>
      <c r="EG8" s="34" cm="1">
        <f t="array" ref="EG8">IF('PBA Summary'!$D$2="","",_xll.ASAssetStatistic($A8,"Annual Up Capture vs Benchmark 1",'PBA Summary'!$D$2,,,"m",'PBA Summary'!$F$2,'PBA Summary'!$G$2))</f>
        <v>0.23367286374045426</v>
      </c>
      <c r="EH8" s="34" cm="1">
        <f t="array" ref="EH8">IF('PBA Summary'!$D$3="","",_xll.ASAssetStatistic($A8,"Annual Up Capture vs Benchmark 1",'PBA Summary'!$D$3,,,"m",'PBA Summary'!$F$2,'PBA Summary'!$G$2))</f>
        <v>0.23367286374045426</v>
      </c>
      <c r="EI8" s="34" cm="1">
        <f t="array" ref="EI8">IF('PBA Summary'!$D$2="","",_xll.ASAssetStatistic($A8,"Annual Down Capture vs Benchmark 1",'PBA Summary'!$D$2,,,"m",'PBA Summary'!$F$2,'PBA Summary'!$G$2))</f>
        <v>-0.24281659984535692</v>
      </c>
      <c r="EJ8" s="34" cm="1">
        <f t="array" ref="EJ8">IF('PBA Summary'!$D$3="","",_xll.ASAssetStatistic($A8,"Annual Down Capture vs Benchmark 1",'PBA Summary'!$D$3,,,"m",'PBA Summary'!$F$2,'PBA Summary'!$G$2))</f>
        <v>-0.24281659984535692</v>
      </c>
      <c r="EK8" s="16" cm="1">
        <f t="array" ref="EK8">IF('PBA Summary'!$D$2="","",_xll.ASAssetStatistic($A8,"Ann. Tracking Error vs Benchmark 1",'PBA Summary'!$D$2,,,"m",'PBA Summary'!$F$2,'PBA Summary'!$G$2))</f>
        <v>0.14658922773611055</v>
      </c>
      <c r="EL8" s="16" cm="1">
        <f t="array" ref="EL8">IF('PBA Summary'!$D$3="","",_xll.ASAssetStatistic($A8,"Ann. Tracking Error vs Benchmark 1",'PBA Summary'!$D$3,,,"m",'PBA Summary'!$F$2,'PBA Summary'!$G$2))</f>
        <v>0.14658922773611055</v>
      </c>
      <c r="EM8" s="16" cm="1">
        <f t="array" ref="EM8">IF('PBA Summary'!$D$2="","",_xll.ASAssetStatistic($A8,"Annual Jensen Alpha vs Benchmark 1 (Rf)",'PBA Summary'!$D$2,,,"m",'PBA Summary'!$F$2,'PBA Summary'!$G$2))</f>
        <v>0.10108572260192984</v>
      </c>
      <c r="EN8" s="16" cm="1">
        <f t="array" ref="EN8">IF('PBA Summary'!$D$3="","",_xll.ASAssetStatistic($A8,"Annual Jensen Alpha vs Benchmark 1 (Rf)",'PBA Summary'!$D$3,,,"m",'PBA Summary'!$F$2,'PBA Summary'!$G$2))</f>
        <v>0.10108572260192984</v>
      </c>
      <c r="EO8" s="33" cm="1">
        <f t="array" ref="EO8">IF('PBA Summary'!$D$2="","",_xll.ASAssetStatistic($A8,"Ann. Information Ratio vs Benchmark 1",'PBA Summary'!$D$2,,,"m",'PBA Summary'!$F$2,'PBA Summary'!$G$2))</f>
        <v>-0.40215546804100522</v>
      </c>
      <c r="EP8" s="33" cm="1">
        <f t="array" ref="EP8">IF('PBA Summary'!$D$3="","",_xll.ASAssetStatistic($A8,"Ann. Information Ratio vs Benchmark 1",'PBA Summary'!$D$3,,,"m",'PBA Summary'!$F$2,'PBA Summary'!$G$2))</f>
        <v>-0.40215546804100522</v>
      </c>
      <c r="EQ8" s="17" cm="1">
        <f t="array" ref="EQ8">IF('PBA Summary'!$D$2="","",_xll.ASAssetStatistic($A8,"Alpha Monthly vs Benchmark 1",'PBA Summary'!$D$2,,,"m",'PBA Summary'!$F$2,'PBA Summary'!$G$2))</f>
        <v>8.1917566933924491E-3</v>
      </c>
      <c r="ER8" s="17" cm="1">
        <f t="array" ref="ER8">IF('PBA Summary'!$D$3="","",_xll.ASAssetStatistic($A8,"Alpha Monthly vs Benchmark 1",'PBA Summary'!$D$3,,,"m",'PBA Summary'!$F$2,'PBA Summary'!$G$2))</f>
        <v>8.1917566933924491E-3</v>
      </c>
      <c r="ES8" s="11" t="str" cm="1">
        <f t="array" ref="ES8">_xll.ASAssetInfo($A8,"Company AUM (m)")</f>
        <v/>
      </c>
      <c r="ET8" s="16" cm="1">
        <f t="array" ref="ET8">_xll.ASAssetStatistic($A8,"Exponential Annualized Volatility",,,,"m",'PBA Summary'!$F$2,'PBA Summary'!$G$2)</f>
        <v>2.3917289277541942E-2</v>
      </c>
      <c r="EU8" s="16" cm="1">
        <f t="array" ref="EU8">_xll.ASAssetStatistic($A8,"Exponential Annualized Volatility Last 1 year",,,,"m",'PBA Summary'!$F$2,'PBA Summary'!$G$2)</f>
        <v>2.2865527037721014E-2</v>
      </c>
      <c r="EV8" s="16" t="str" cm="1">
        <f t="array" ref="EV8">_xll.ASAssetStatistic($A8,"Exponential Annualized Volatility Last 3 years",,,,"m",'PBA Summary'!$F$2,'PBA Summary'!$G$2)</f>
        <v/>
      </c>
      <c r="EW8" s="34" cm="1">
        <f t="array" ref="EW8">IF('PBA Summary'!$D$2="","",_xll.ASAssetStatistic($A8,"Exponential Correlation to Benchmark 1",'PBA Summary'!$D$2,,,"m",'PBA Summary'!$F$2,'PBA Summary'!$G$2))</f>
        <v>0.22255208449931616</v>
      </c>
      <c r="EX8" s="34" cm="1">
        <f t="array" ref="EX8">IF('PBA Summary'!$D$3="","",_xll.ASAssetStatistic($A8,"Exponential Correlation to Benchmark 1",'PBA Summary'!$D$3,,,"m",'PBA Summary'!$F$2,'PBA Summary'!$G$2))</f>
        <v>0.22255208449931616</v>
      </c>
      <c r="EY8" s="34" cm="1">
        <f t="array" ref="EY8">_xll.ASAssetStatistic($A8,"Exponential Annual Sharpe Ratio (Rf)",,,,"m",'PBA Summary'!$F$2,'PBA Summary'!$G$2)</f>
        <v>4.1245138009574571</v>
      </c>
      <c r="EZ8" s="34" cm="1">
        <f t="array" ref="EZ8">_xll.ASAssetStatistic($A8,"Exponential Normal Monthly VaR 99%",,,,"m",'PBA Summary'!$F$2,'PBA Summary'!$G$2)</f>
        <v>-8.0001658294256133E-3</v>
      </c>
      <c r="FA8" s="34" cm="1">
        <f t="array" ref="FA8">_xll.ASAssetStatistic($A8,"Exponential Normal Monthly VaR 97%",,,,"m",'PBA Summary'!$F$2,'PBA Summary'!$G$2)</f>
        <v>-4.9239136145492884E-3</v>
      </c>
      <c r="FB8" s="34" cm="1">
        <f t="array" ref="FB8">_xll.ASAssetStatistic($A8,"Exponential Normal Monthly VaR 95%",,,,"m",'PBA Summary'!$F$2,'PBA Summary'!$G$2)</f>
        <v>-3.2949069024385911E-3</v>
      </c>
      <c r="FC8" s="34" cm="1">
        <f t="array" ref="FC8">_xll.ASAssetStatistic($A8,"Exponential Normal Monthly VaR 90%",,,,"m",'PBA Summary'!$F$2,'PBA Summary'!$G$2)</f>
        <v>-7.8655077921617293E-4</v>
      </c>
      <c r="FD8" s="34" t="str" cm="1">
        <f t="array" ref="FD8">_xll.ASAssetStatistic($A8,"Exponential Normal weekly VaR 99%",,,,"m",'PBA Summary'!$F$2,'PBA Summary'!$G$2)</f>
        <v/>
      </c>
      <c r="FE8" s="34" t="str" cm="1">
        <f t="array" ref="FE8">_xll.ASAssetStatistic($A8,"Exponential Normal weekly VaR 97%",,,,"m",'PBA Summary'!$F$2,'PBA Summary'!$G$2)</f>
        <v/>
      </c>
      <c r="FF8" s="34" t="str" cm="1">
        <f t="array" ref="FF8">_xll.ASAssetStatistic($A8,"Exponential Normal weekly VaR 95%",,,,"m",'PBA Summary'!$F$2,'PBA Summary'!$G$2)</f>
        <v/>
      </c>
      <c r="FG8" s="34" t="str" cm="1">
        <f t="array" ref="FG8">_xll.ASAssetStatistic($A8,"Exponential Normal weekly VaR 90%",,,,"m",'PBA Summary'!$F$2,'PBA Summary'!$G$2)</f>
        <v/>
      </c>
      <c r="FH8" s="34" t="str" cm="1">
        <f t="array" ref="FH8">_xll.ASAssetStatistic($A8,"Exponential Normal daily VaR 99%",,,,"m",'PBA Summary'!$F$2,'PBA Summary'!$G$2)</f>
        <v/>
      </c>
      <c r="FI8" s="34" t="str" cm="1">
        <f t="array" ref="FI8">_xll.ASAssetStatistic($A8,"Exponential Normal daily VaR 97%",,,,"m",'PBA Summary'!$F$2,'PBA Summary'!$G$2)</f>
        <v/>
      </c>
      <c r="FJ8" s="34" t="str" cm="1">
        <f t="array" ref="FJ8">_xll.ASAssetStatistic($A8,"Exponential Normal daily VaR 95%",,,,"m",'PBA Summary'!$F$2,'PBA Summary'!$G$2)</f>
        <v/>
      </c>
      <c r="FK8" s="34" t="str" cm="1">
        <f t="array" ref="FK8">_xll.ASAssetStatistic($A8,"Exponential Normal daily VaR 90%",,,,"m",'PBA Summary'!$F$2,'PBA Summary'!$G$2)</f>
        <v/>
      </c>
      <c r="FL8" s="34" cm="1">
        <f t="array" ref="FL8">_xll.ASAssetStatistic($A8,"Bias Ratio",,,,"m",'PBA Summary'!$F$2,'PBA Summary'!$G$2)</f>
        <v>8</v>
      </c>
      <c r="FM8" s="11" t="str" cm="1">
        <f t="array" ref="FM8">_xll.ASAssetInfo($A8,"Manager's Biography")</f>
        <v/>
      </c>
      <c r="FN8" s="11" cm="1">
        <f t="array" ref="FN8">_xll.ASAssetInfo($A8,"Investment Min")</f>
        <v>5000000</v>
      </c>
      <c r="FO8" s="11" t="str" cm="1">
        <f t="array" ref="FO8">_xll.ASAssetInfo($A8,"Auditor")</f>
        <v>PricewaterhouseCoopers SC</v>
      </c>
      <c r="FP8" s="11" t="str" cm="1">
        <f t="array" ref="FP8">_xll.ASAssetInfo($A8,"Custodian")</f>
        <v>State Street Bank Luxembourg SCA</v>
      </c>
      <c r="FQ8" s="11" t="str" cm="1">
        <f t="array" ref="FQ8">_xll.ASAssetInfo($A8,"Administrator")</f>
        <v>State Street Bank Luxembourg SCA</v>
      </c>
      <c r="FR8" s="14" cm="1">
        <f t="array" ref="FR8">_xll.ASAssetInfo($A8,"Proxy 1 Start Date")</f>
        <v>40697</v>
      </c>
      <c r="FS8" s="14" cm="1">
        <f t="array" ref="FS8">_xll.ASAssetInfo($A8,"Proxy 1 End Date")</f>
        <v>44134</v>
      </c>
      <c r="FT8" s="14" t="str" cm="1">
        <f t="array" ref="FT8">_xll.ASAssetInfo($A8,"Proxy 2 Start Date")</f>
        <v/>
      </c>
      <c r="FU8" s="14" t="str" cm="1">
        <f t="array" ref="FU8">_xll.ASAssetInfo($A8,"Proxy 2 End Date")</f>
        <v/>
      </c>
      <c r="FV8" s="14" t="str" cm="1">
        <f t="array" ref="FV8">_xll.ASAssetInfo($A8,"Proxy 3 Start Date")</f>
        <v/>
      </c>
      <c r="FW8" s="14" t="str" cm="1">
        <f t="array" ref="FW8">_xll.ASAssetInfo($A8,"Proxy 3 End Date")</f>
        <v/>
      </c>
      <c r="FX8" s="14" t="str" cm="1">
        <f t="array" ref="FX8">_xll.ASAssetInfo($A8,"Fund Domicile")</f>
        <v>LU</v>
      </c>
      <c r="FY8" s="14" t="str" cm="1">
        <f t="array" ref="FY8">_xll.ASAssetInfo($A8,"Fund Contact")</f>
        <v/>
      </c>
      <c r="FZ8" s="14" t="str" cm="1">
        <f t="array" ref="FZ8">_xll.ASAssetInfo($A8,"Fund Contact Email")</f>
        <v/>
      </c>
      <c r="GA8" s="14" t="str" cm="1">
        <f t="array" ref="GA8">_xll.ASAssetInfo($A8,"Fund Contact Number")</f>
        <v/>
      </c>
      <c r="GB8" s="14" t="str" cm="1">
        <f t="array" ref="GB8">_xll.ASAssetInfo($A8,"City")</f>
        <v>Luxembourg</v>
      </c>
      <c r="GC8" s="14" t="str" cm="1">
        <f t="array" ref="GC8">_xll.ASAssetInfo($A8,"Leverage")</f>
        <v>N</v>
      </c>
      <c r="GD8" s="14" t="str" cm="1">
        <f t="array" ref="GD8">_xll.ASAssetInfo($A8,"Lockup 1 Duration")</f>
        <v>0 Months</v>
      </c>
      <c r="GE8" s="14" t="str" cm="1">
        <f t="array" ref="GE8">_xll.ASAssetInfo($A8,"Lockup 2 Duration")</f>
        <v>0 Months</v>
      </c>
      <c r="GF8" s="14" t="str" cm="1">
        <f t="array" ref="GF8">_xll.ASAssetInfo($A8,"Lockup 3 Duration")</f>
        <v>0 Months</v>
      </c>
      <c r="GG8" s="31" t="str" cm="1">
        <f t="array" ref="GG8">_xll.ASAssetInfo($A8,"Fund Level Gate")</f>
        <v/>
      </c>
      <c r="GH8" s="31" t="str" cm="1">
        <f t="array" ref="GH8">_xll.ASAssetInfo($A8,"Fund Level Gate Frequency")</f>
        <v>Unknown</v>
      </c>
      <c r="GI8" s="35" cm="1">
        <f t="array" ref="GI8">_xll.ASAssetInfo($A8,"Payment 2 (%)")</f>
        <v>0</v>
      </c>
      <c r="GJ8" s="35" t="str" cm="1">
        <f t="array" ref="GJ8">_xll.ASAssetInfo($A8,"Payment 2 (days)")</f>
        <v/>
      </c>
      <c r="GK8" s="35" t="str" cm="1">
        <f t="array" ref="GK8">_xll.ASAssetInfo($A8,"Payment 2 (Paid After)")</f>
        <v>NAV Date</v>
      </c>
      <c r="GL8" s="35" cm="1">
        <f t="array" ref="GL8">_xll.ASAssetInfo($A8,"Payment 3 (%)")</f>
        <v>0</v>
      </c>
      <c r="GM8" s="36" t="str" cm="1">
        <f t="array" ref="GM8">_xll.ASAssetInfo($A8,"Payment 3 (Days)")</f>
        <v/>
      </c>
      <c r="GN8" s="35" t="str" cm="1">
        <f t="array" ref="GN8">_xll.ASAssetInfo($A8,"Payment 3 (Paid After)")</f>
        <v>NAV Date</v>
      </c>
      <c r="GO8" s="35" cm="1">
        <f t="array" ref="GO8">_xll.ASAssetInfo($A8,"Payment 4 (%)")</f>
        <v>0</v>
      </c>
      <c r="GP8" s="36" t="str" cm="1">
        <f t="array" ref="GP8">_xll.ASAssetInfo($A8,"Payment 4 (days)")</f>
        <v/>
      </c>
      <c r="GQ8" s="35" t="str" cm="1">
        <f t="array" ref="GQ8">_xll.ASAssetInfo($A8,"Payment 4 (Paid After)")</f>
        <v>NAV Date</v>
      </c>
      <c r="GR8" s="31" cm="1">
        <f t="array" ref="GR8">_xll.ASAssetInfo($A8,"Payment 1 (%)")</f>
        <v>1</v>
      </c>
      <c r="GS8" s="35" cm="1">
        <f t="array" ref="GS8">_xll.ASAssetInfo($A8,"Lockup 1 Fee")</f>
        <v>0</v>
      </c>
      <c r="GT8" s="35" cm="1">
        <f t="array" ref="GT8">_xll.ASAssetInfo($A8,"Lockup 2 Fee")</f>
        <v>0</v>
      </c>
      <c r="GU8" s="35" cm="1">
        <f t="array" ref="GU8">_xll.ASAssetInfo($A8,"Lockup 3 Fee")</f>
        <v>0</v>
      </c>
      <c r="GV8" s="35" t="str" cm="1">
        <f t="array" ref="GV8">_xll.ASAssetInfo($A8,"Lockup 1 type")</f>
        <v>None</v>
      </c>
      <c r="GW8" s="35" t="str" cm="1">
        <f t="array" ref="GW8">_xll.ASAssetInfo($A8,"Lockup 2 type")</f>
        <v>None</v>
      </c>
      <c r="GX8" s="35" t="str" cm="1">
        <f t="array" ref="GX8">_xll.ASAssetInfo($A8,"Lockup 3 type")</f>
        <v>None</v>
      </c>
      <c r="GY8" s="35" t="str" cm="1">
        <f t="array" ref="GY8">_xll.ASAssetInfo($A8,"Redemption 1 type")</f>
        <v>Calendar</v>
      </c>
      <c r="GZ8" s="35" t="str" cm="1">
        <f t="array" ref="GZ8">_xll.ASAssetInfo($A8,"Redemption 2 type")</f>
        <v>Calendar</v>
      </c>
      <c r="HA8" s="35" t="str" cm="1">
        <f t="array" ref="HA8">_xll.ASAssetInfo($A8,"Redemption 3 type")</f>
        <v>Calendar</v>
      </c>
      <c r="HB8" s="35" t="str" cm="1">
        <f t="array" ref="HB8">_xll.ASAssetInfo($A8,"Redemption 1 Fee")</f>
        <v/>
      </c>
      <c r="HC8" s="35" t="str" cm="1">
        <f t="array" ref="HC8">_xll.ASAssetInfo($A8,"Redemption 2 Fee")</f>
        <v/>
      </c>
      <c r="HD8" s="35" t="str" cm="1">
        <f t="array" ref="HD8">_xll.ASAssetInfo($A8,"Redemption 3 Fee")</f>
        <v/>
      </c>
      <c r="HE8" s="35" t="str" cm="1">
        <f t="array" ref="HE8">_xll.ASAssetInfo($A8,"Redemption 1 Frequency")</f>
        <v>Daily</v>
      </c>
      <c r="HF8" s="35" t="str" cm="1">
        <f t="array" ref="HF8">_xll.ASAssetInfo($A8,"Redemption 2 Frequency")</f>
        <v>Unknown</v>
      </c>
      <c r="HG8" s="35" t="str" cm="1">
        <f t="array" ref="HG8">_xll.ASAssetInfo($A8,"Redemption 3 Frequency")</f>
        <v>Unknown</v>
      </c>
      <c r="HH8" s="35" t="str" cm="1">
        <f t="array" ref="HH8">_xll.ASAssetInfo($A8,"Asset Calendar")</f>
        <v>[Default]</v>
      </c>
      <c r="HI8" s="16" cm="1">
        <f t="array" ref="HI8">_xll.ASAssetStatistic($A8,"Max Second Drawdown",,,,"m",'PBA Summary'!$F$2,'PBA Summary'!$G$2)</f>
        <v>0</v>
      </c>
      <c r="HJ8" s="37" t="str" cm="1">
        <f t="array" ref="HJ8">_xll.ASAssetStatistic($A8,"Date Max Second Drawdown",,,,"m",'PBA Summary'!$F$2,'PBA Summary'!$G$2)</f>
        <v/>
      </c>
      <c r="HK8" s="37" t="str" cm="1">
        <f t="array" ref="HK8">_xll.ASAssetInfo($A8,HK$1)</f>
        <v>AXAAIAU LX</v>
      </c>
      <c r="HL8" s="37" t="str" cm="1">
        <f t="array" ref="HL8">_xll.ASAssetInfo($A8,HL$1)</f>
        <v/>
      </c>
      <c r="HM8" s="34" t="str" cm="1">
        <f t="array" ref="HM8">_xll.ASAssetInfo($A8,HM$1)</f>
        <v/>
      </c>
      <c r="HN8" s="37" t="str" cm="1">
        <f t="array" ref="HN8">_xll.ASAssetInfo($A8,HN$1)</f>
        <v/>
      </c>
      <c r="HO8" s="15" cm="1">
        <f t="array" ref="HO8">_xll.ASAssetInfo($A8,HO$1)</f>
        <v>0</v>
      </c>
      <c r="HP8" s="15" cm="1">
        <f t="array" ref="HP8">_xll.ASAssetInfo($A8,HP$1)</f>
        <v>4.2800000000000005E-2</v>
      </c>
      <c r="HQ8" s="34" t="str" cm="1">
        <f t="array" ref="HQ8">_xll.ASAssetInfo($A8,HQ$1)</f>
        <v/>
      </c>
      <c r="HR8" s="37" t="str" cm="1">
        <f t="array" ref="HR8">_xll.ASAssetInfo($A8,HR$1)</f>
        <v/>
      </c>
      <c r="HS8" s="37" t="str" cm="1">
        <f t="array" ref="HS8">_xll.ASAssetInfo($A8,HS$1)</f>
        <v/>
      </c>
      <c r="HT8" s="37" t="str" cm="1">
        <f t="array" ref="HT8">_xll.ASAssetInfo($A8,HT$1)</f>
        <v>BBB-</v>
      </c>
      <c r="HU8" s="37" t="str" cm="1">
        <f t="array" ref="HU8">_xll.ASAssetInfo($A8,HU$1)</f>
        <v>Asia Pacific</v>
      </c>
      <c r="HV8" s="37" t="str" cm="1">
        <f t="array" ref="HV8">_xll.ASAssetInfo($A8,HV$1)</f>
        <v/>
      </c>
      <c r="HW8" s="37" t="str" cm="1">
        <f t="array" ref="HW8">_xll.ASAssetInfo($A8,HW$1)</f>
        <v/>
      </c>
    </row>
    <row r="9" spans="1:231" s="11" customFormat="1" ht="13.9" customHeight="1" x14ac:dyDescent="0.25">
      <c r="A9" t="s">
        <v>292</v>
      </c>
      <c r="B9" cm="1">
        <f t="array" ref="B9">_xll.ASPortfolioWeights('PBA Summary'!$C$2,"OR",$A9)</f>
        <v>0</v>
      </c>
      <c r="C9" cm="1">
        <f t="array" ref="C9">_xll.ASAssetStatistic($A9,"Annualized Return since inception",,,,"m",_xll.ASAssetInfo($A9,"Start Date"),_xll.ASAssetInfo($A9,"Last Return Date"))</f>
        <v>4.6066061241388123E-2</v>
      </c>
      <c r="D9" cm="1">
        <f t="array" ref="D9">_xll.ASAssetStatistic($A9,"Annualized Return",,,,"m",'PBA Summary'!$F$2,'PBA Summary'!$G$2)</f>
        <v>8.6071444072086445E-2</v>
      </c>
      <c r="E9" s="19" cm="1">
        <f t="array" ref="E9">_xll.ASAssetStatistic($A9,"Equilibrium Annual Return",,,,"m",'PBA Summary'!$F$2,'PBA Summary'!$G$2)</f>
        <v>8.1732750310538949E-2</v>
      </c>
      <c r="F9" cm="1">
        <f t="array" ref="F9">_xll.ASAssetStatistic($A9,"Annualized Volatility (Inception)",,,,"m",_xll.ASAssetInfo($A9,"Start Date"),_xll.ASAssetInfo($A9,"Last Return Date"))</f>
        <v>3.2816746156285291E-2</v>
      </c>
      <c r="G9" cm="1">
        <f t="array" ref="G9">_xll.ASAssetStatistic($A9,"Annualized Volatility",,,,"m",'PBA Summary'!$F$2,'PBA Summary'!$G$2)</f>
        <v>2.1457474845077495E-2</v>
      </c>
      <c r="H9" s="20" cm="1">
        <f t="array" ref="H9">_xll.ASAssetStatistic($A9,"Skewness",,,,"m",'PBA Summary'!$F$2,'PBA Summary'!$G$2)</f>
        <v>0.37211669435948114</v>
      </c>
      <c r="I9" s="20" cm="1">
        <f t="array" ref="I9">_xll.ASAssetStatistic($A9,"Excess kurtosis",,,,"m",'PBA Summary'!$F$2,'PBA Summary'!$G$2)</f>
        <v>-0.85387665307719518</v>
      </c>
      <c r="J9" s="19" cm="1">
        <f t="array" ref="J9">_xll.ASAssetStatistic($A9,"Return Last 1 month",,,,"m",'PBA Summary'!$F$2,'PBA Summary'!$G$2)</f>
        <v>1.1047754811118971E-2</v>
      </c>
      <c r="K9" s="19" cm="1">
        <f t="array" ref="K9">_xll.ASAssetStatistic($A9,"Return Last 3 months",,,,"m",'PBA Summary'!$F$2,'PBA Summary'!$G$2)</f>
        <v>2.0870816840590001E-2</v>
      </c>
      <c r="L9" s="19" cm="1">
        <f t="array" ref="L9">_xll.ASAssetStatistic($A9,"Return Last 1 year",,,,"m",'PBA Summary'!$F$2,'PBA Summary'!$G$2)</f>
        <v>8.7890175626966771E-2</v>
      </c>
      <c r="M9" s="19" cm="1">
        <f t="array" ref="M9">_xll.ASAssetStatistic($A9,"Year-to-date Return",,,,"m",'PBA Summary'!$F$2,'PBA Summary'!$G$2)</f>
        <v>1.1047754811118971E-2</v>
      </c>
      <c r="N9" s="19" cm="1">
        <f t="array" ref="N9">_xll.ASAssetStatistic($A9,"Annualized Return",,,,"m",EOMONTH('PBA Summary'!$G$2,-2),'PBA Summary'!$G$2)</f>
        <v>8.6133367634982028E-2</v>
      </c>
      <c r="O9" s="19" t="str" cm="1">
        <f t="array" ref="O9">_xll.ASAssetStatistic($A9,"Annualized Return Last 3 years",,,,"m",'PBA Summary'!$F$2,'PBA Summary'!$G$2)</f>
        <v/>
      </c>
      <c r="P9" s="19" t="str" cm="1">
        <f t="array" ref="P9">_xll.ASAssetStatistic($A9,"Annualized Return Last 5 years",,,,"m",'PBA Summary'!$F$2,'PBA Summary'!$G$2)</f>
        <v/>
      </c>
      <c r="Q9" s="19" cm="1">
        <f t="array" ref="Q9">_xll.ASAssetStatistic($A9,"Annualized Volatility Last 1 year",,,,"m",'PBA Summary'!$F$2,'PBA Summary'!$G$2)</f>
        <v>1.8777632386293739E-2</v>
      </c>
      <c r="R9" s="19" t="str" cm="1">
        <f t="array" ref="R9">_xll.ASAssetStatistic($A9,"Annualized Volatility Last 3 years",,,,"m",'PBA Summary'!$F$2,'PBA Summary'!$G$2)</f>
        <v/>
      </c>
      <c r="S9" s="19" t="str" cm="1">
        <f t="array" ref="S9">_xll.ASAssetStatistic($A9,"Annualized Volatility Last 5 years",,,,"m",'PBA Summary'!$F$2,'PBA Summary'!$G$2)</f>
        <v/>
      </c>
      <c r="T9" s="19" cm="1">
        <f t="array" ref="T9">_xll.ASAssetStatistic($A9,"Normal monthly VaR 99%",,,,"m",'PBA Summary'!$F$2,'PBA Summary'!$G$2)</f>
        <v>-7.4878871162054961E-3</v>
      </c>
      <c r="U9" s="19" cm="1">
        <f t="array" ref="U9">_xll.ASAssetStatistic($A9,"Modified monthly VaR 99%",,,,"m",'PBA Summary'!$F$2,'PBA Summary'!$G$2)</f>
        <v>-4.2336756212811985E-3</v>
      </c>
      <c r="V9" s="19" cm="1">
        <f t="array" ref="V9">_xll.ASAssetStatistic($A9,"Conditional monthly VaR 99%",,,,"m",'PBA Summary'!$F$2,'PBA Summary'!$G$2)</f>
        <v>-1.2505862122873523E-3</v>
      </c>
      <c r="W9" s="19" cm="1">
        <f t="array" ref="W9">_xll.ASAssetStatistic($A9,"Normal monthly VaR 97%",,,,"m",'PBA Summary'!$F$2,'PBA Summary'!$G$2)</f>
        <v>-4.7280173102319566E-3</v>
      </c>
      <c r="X9" s="19" cm="1">
        <f t="array" ref="X9">_xll.ASAssetStatistic($A9,"Modified monthly VaR 97%",,,,"m",'PBA Summary'!$F$2,'PBA Summary'!$G$2)</f>
        <v>-3.4375346666154017E-3</v>
      </c>
      <c r="Y9" s="19" cm="1">
        <f t="array" ref="Y9">_xll.ASAssetStatistic($A9,"Conditional monthly VaR 97%",,,,"m",'PBA Summary'!$F$2,'PBA Summary'!$G$2)</f>
        <v>-1.2505862122873523E-3</v>
      </c>
      <c r="Z9" s="19" cm="1">
        <f t="array" ref="Z9">_xll.ASAssetStatistic($A9,"Normal monthly VaR 95%",,,,"m",'PBA Summary'!$F$2,'PBA Summary'!$G$2)</f>
        <v>-3.266548573455025E-3</v>
      </c>
      <c r="AA9" s="19" cm="1">
        <f t="array" ref="AA9">_xll.ASAssetStatistic($A9,"Modified monthly VaR 95%",,,,"m",'PBA Summary'!$F$2,'PBA Summary'!$G$2)</f>
        <v>-2.7019693209052844E-3</v>
      </c>
      <c r="AB9" s="19" cm="1">
        <f t="array" ref="AB9">_xll.ASAssetStatistic($A9,"Conditional monthly VaR 95%",,,,"m",'PBA Summary'!$F$2,'PBA Summary'!$G$2)</f>
        <v>-1.2505862122873523E-3</v>
      </c>
      <c r="AC9" s="66" cm="1">
        <f t="array" ref="AC9">_xll.ASAssetStatistic($A9,"Correlation to Benchmark 1","MSCI ACWI Index",,,"m",'PBA Summary'!$F$2,'PBA Summary'!$G$2)</f>
        <v>0.2184484041170236</v>
      </c>
      <c r="AD9" s="38" cm="1">
        <f t="array" ref="AD9">IF('PBA Summary'!$D$3="","",_xll.ASAssetStatistic($A9,"Correlation to Benchmark 1",'PBA Summary'!$D$3,,,"m",'PBA Summary'!$F$2,'PBA Summary'!$G$2))</f>
        <v>0.24899145899574471</v>
      </c>
      <c r="AE9" s="21" cm="1">
        <f t="array" ref="AE9">IF('PBA Summary'!$D$2="","",_xll.ASAssetStatistic($A9,"Bull correlation to Benchmark 1",'PBA Summary'!$D$2,,,"m",'PBA Summary'!$F$2,'PBA Summary'!$G$2))</f>
        <v>0.64834448698245561</v>
      </c>
      <c r="AF9" s="21" cm="1">
        <f t="array" ref="AF9">IF('PBA Summary'!$D$2="","",_xll.ASAssetStatistic($A9,"Bear correlation to Benchmark 1",'PBA Summary'!$D$2,,,"m",'PBA Summary'!$F$2,'PBA Summary'!$G$2))</f>
        <v>0.76444677865629962</v>
      </c>
      <c r="AG9" s="21" cm="1">
        <f t="array" ref="AG9">IF('PBA Summary'!$D$3="","",_xll.ASAssetStatistic($A9,"Bull correlation to Benchmark 1",'PBA Summary'!$D$3,,,"m",'PBA Summary'!$F$2,'PBA Summary'!$G$2))</f>
        <v>0.64834448698245561</v>
      </c>
      <c r="AH9" s="21" cm="1">
        <f t="array" ref="AH9">IF('PBA Summary'!$D$3="","",_xll.ASAssetStatistic($A9,"Bear correlation to Benchmark 1",'PBA Summary'!$D$3,,,"m",'PBA Summary'!$F$2,'PBA Summary'!$G$2))</f>
        <v>0.76444677865629962</v>
      </c>
      <c r="AI9" s="24" cm="1">
        <f t="array" ref="AI9">IF('PBA Summary'!$D$2="","",_xll.ASAssetStatistic($A9,"Beta to Benchmark 1",'PBA Summary'!$D$2,,,"m",'PBA Summary'!$F$2,'PBA Summary'!$G$2))</f>
        <v>3.4800605031570404E-2</v>
      </c>
      <c r="AJ9" s="24" t="str" cm="1">
        <f t="array" ref="AJ9">IF('PBA Summary'!$D$2="","",_xll.ASAssetStatistic($A9,"Beta to Benchmark 1 Last 3 years",'PBA Summary'!$D$2,,,"m",'PBA Summary'!$F$2,'PBA Summary'!$G$2))</f>
        <v/>
      </c>
      <c r="AK9" s="24" t="str" cm="1">
        <f t="array" ref="AK9">IF('PBA Summary'!$D$2="","",_xll.ASAssetStatistic($A9,"Beta to Benchmark 1 Last 5 years",'PBA Summary'!$D$2,,,"m",'PBA Summary'!$F$2,'PBA Summary'!$G$2))</f>
        <v/>
      </c>
      <c r="AL9" s="25" cm="1">
        <f t="array" ref="AL9">IF('PBA Summary'!$D$3="","",_xll.ASAssetStatistic($A9,"Beta to Benchmark 1",'PBA Summary'!$D$3,,,"m",'PBA Summary'!$F$2,'PBA Summary'!$G$2))</f>
        <v>3.4800605031570404E-2</v>
      </c>
      <c r="AM9" s="25" t="str" cm="1">
        <f t="array" ref="AM9">IF('PBA Summary'!$D$3="","",_xll.ASAssetStatistic($A9,"Beta to Benchmark 1 Last 3 years",'PBA Summary'!$D$3,,,"m",'PBA Summary'!$F$2,'PBA Summary'!$G$2))</f>
        <v/>
      </c>
      <c r="AN9" s="25" t="str" cm="1">
        <f t="array" ref="AN9">IF('PBA Summary'!$D$3="","",_xll.ASAssetStatistic($A9,"Beta to Benchmark 1 Last 5 years",'PBA Summary'!$D$3,,,"m",'PBA Summary'!$F$2,'PBA Summary'!$G$2))</f>
        <v/>
      </c>
      <c r="AO9" s="25" cm="1">
        <f t="array" ref="AO9">IF('PBA Summary'!$D$2="","",_xll.ASAssetStatistic($A9,"Bull Beta to Benchmark 1",'PBA Summary'!$D$2,,,"m",'PBA Summary'!$F$2,'PBA Summary'!$G$2))</f>
        <v>0.20736638100940136</v>
      </c>
      <c r="AP9" s="25" cm="1">
        <f t="array" ref="AP9">IF('PBA Summary'!$D$2="","",_xll.ASAssetStatistic($A9,"Bear Beta to Benchmark 1",'PBA Summary'!$D$2,,,"m",'PBA Summary'!$F$2,'PBA Summary'!$G$2))</f>
        <v>7.3995030725843472E-2</v>
      </c>
      <c r="AQ9" s="25" cm="1">
        <f t="array" ref="AQ9">IF('PBA Summary'!$D$3="","",_xll.ASAssetStatistic($A9,"Bull Beta to Benchmark 1",'PBA Summary'!$D$3,,,"m",'PBA Summary'!$F$2,'PBA Summary'!$G$2))</f>
        <v>0.20736638100940136</v>
      </c>
      <c r="AR9" s="25" cm="1">
        <f t="array" ref="AR9">IF('PBA Summary'!$D$3="","",_xll.ASAssetStatistic($A9,"Bear Beta to Benchmark 1",'PBA Summary'!$D$3,,,"m",'PBA Summary'!$F$2,'PBA Summary'!$G$2))</f>
        <v>7.3995030725843472E-2</v>
      </c>
      <c r="AS9" s="25" cm="1">
        <f t="array" ref="AS9">_xll.ASAssetStatistic($A9,"Annual Sharpe Ratio (Rf)",,,'PBA Summary'!$H$2,"m",'PBA Summary'!$F$2,'PBA Summary'!$G$2)</f>
        <v>3.8947473864222357</v>
      </c>
      <c r="AT9" s="25" t="str" cm="1">
        <f t="array" ref="AT9">_xll.ASAssetStatistic($A9,"Annual Sharpe Ratio (Rf) Last 3 years",,,'PBA Summary'!$H$2,"m",'PBA Summary'!$F$2,'PBA Summary'!$G$2)</f>
        <v/>
      </c>
      <c r="AU9" s="25" t="str" cm="1">
        <f t="array" ref="AU9">_xll.ASAssetStatistic($A9,"Annual Sharpe Ratio (Rf) Last 5 years",,,'PBA Summary'!$H$2,"m",'PBA Summary'!$F$2,'PBA Summary'!$G$2)</f>
        <v/>
      </c>
      <c r="AV9" s="18" cm="1">
        <f t="array" ref="AV9">_xll.ASAssetStatistic($A9,"Ann. Downside Deviation (vs 0%)",,,'PBA Summary'!$H$2,"m",'PBA Summary'!$F$2,'PBA Summary'!$G$2)</f>
        <v>1.5637377050301501E-3</v>
      </c>
      <c r="AW9" s="18" cm="1">
        <f t="array" ref="AW9">_xll.ASAssetStatistic($A9,"Ann. Downside Deviation (vs Rf)",,,'PBA Summary'!$H$2,"m",'PBA Summary'!$F$2,'PBA Summary'!$G$2)</f>
        <v>1.8751029287150959E-3</v>
      </c>
      <c r="AX9" s="39" cm="1">
        <f t="array" ref="AX9">_xll.ASAssetStatistic($A9,"Annual Treynor ratio",,,'PBA Summary'!$H$2,"m",'PBA Summary'!$F$2,'PBA Summary'!$G$2)</f>
        <v>0.17921617934758832</v>
      </c>
      <c r="AY9" s="26" cm="1">
        <f t="array" ref="AY9">_xll.ASAssetStatistic($A9,"Annual Sortino Ratio (vs 0%)",,,'PBA Summary'!$H$2,"m",'PBA Summary'!$F$2,'PBA Summary'!$G$2)</f>
        <v>55.042123621638275</v>
      </c>
      <c r="AZ9" s="26" cm="1">
        <f t="array" ref="AZ9">_xll.ASAssetStatistic($A9,"Annual Sortino Ratio (vs Rf)",,,'PBA Summary'!$H$2,"m",'PBA Summary'!$F$2,'PBA Summary'!$G$2)</f>
        <v>44.568990209701887</v>
      </c>
      <c r="BA9" s="26" cm="1">
        <f t="array" ref="BA9">_xll.ASAssetStatistic($A9,"Sterling ratio",,,'PBA Summary'!$H$2,"m",'PBA Summary'!$F$2,'PBA Summary'!$G$2)</f>
        <v>0.84672205159407854</v>
      </c>
      <c r="BB9" s="26" cm="1">
        <f t="array" ref="BB9">_xll.ASAssetStatistic($A9,"Calmar ratio",,,'PBA Summary'!$H$2,"m",'PBA Summary'!$F$2,'PBA Summary'!$G$2)</f>
        <v>52.084450373717296</v>
      </c>
      <c r="BC9" s="26" cm="1">
        <f t="array" ref="BC9">_xll.ASAssetStatistic($A9,"Hurst index",,,'PBA Summary'!$H$2,"m",'PBA Summary'!$F$2,'PBA Summary'!$G$2)</f>
        <v>0.56161389121374106</v>
      </c>
      <c r="BD9" s="26" cm="1">
        <f t="array" ref="BD9">_xll.ASAssetStatistic($A9,"Omega (Threshold 1)",,,'PBA Summary'!$H$2,"m",'PBA Summary'!$F$2,'PBA Summary'!$G$2)</f>
        <v>36.757655619859896</v>
      </c>
      <c r="BE9" s="26" cm="1">
        <f t="array" ref="BE9">_xll.ASAssetStatistic($A9,"Omega (Threshold 2)",,,'PBA Summary'!$H$2,"m",'PBA Summary'!$F$2,'PBA Summary'!$G$2)</f>
        <v>2.2143787432562863</v>
      </c>
      <c r="BF9" s="26" cm="1">
        <f t="array" ref="BF9">_xll.ASAssetStatistic($A9,"Omega (Threshold 3)",,,'PBA Summary'!$H$2,"m",'PBA Summary'!$F$2,'PBA Summary'!$G$2)</f>
        <v>0.30348430316075525</v>
      </c>
      <c r="BG9" s="26" cm="1">
        <f t="array" ref="BG9">_xll.ASAssetStatistic($A9,"Omega (Threshold 4)",,,'PBA Summary'!$H$2,"m",'PBA Summary'!$F$2,'PBA Summary'!$G$2)</f>
        <v>3.3689358427629892E-2</v>
      </c>
      <c r="BH9" s="26" cm="1">
        <f t="array" ref="BH9">_xll.ASAssetStatistic($A9,"Omega (Threshold 5)",,,'PBA Summary'!$H$2,"m",'PBA Summary'!$F$2,'PBA Summary'!$G$2)</f>
        <v>0</v>
      </c>
      <c r="BI9" s="26" t="str" cm="1">
        <f t="array" ref="BI9">_xll.ASAssetStatistic($A9,"Autocorrelated (illiquid)",,,'PBA Summary'!$H$2,"m",'PBA Summary'!$F$2,'PBA Summary'!$G$2)</f>
        <v>Yes</v>
      </c>
      <c r="BJ9" s="27" cm="1">
        <f t="array" ref="BJ9">_xll.ASAssetStatistic($A9,"% months in Run Up",,,'PBA Summary'!$H$2,"m",'PBA Summary'!$F$2,'PBA Summary'!$G$2)</f>
        <v>0.8</v>
      </c>
      <c r="BK9" s="27" cm="1">
        <f t="array" ref="BK9">_xll.ASAssetStatistic($A9,"% months in Drawdown",,,'PBA Summary'!$H$2,"m",'PBA Summary'!$F$2,'PBA Summary'!$G$2)</f>
        <v>0.2</v>
      </c>
      <c r="BL9" s="18" cm="1">
        <f t="array" ref="BL9">IF('PBA Summary'!$D$2="","",_xll.ASAssetStatistic($A9,"Bull Beta to Benchmark 1",'PBA Summary'!$D$2,,,"m",'PBA Summary'!$F$2,'PBA Summary'!$G$2))</f>
        <v>0.20736638100940136</v>
      </c>
      <c r="BM9" s="18" cm="1">
        <f t="array" ref="BM9">IF('PBA Summary'!$D$2="","",_xll.ASAssetStatistic($A9,"Average return during bear Benchmark 1",'PBA Summary'!$D$2,,,"m",'PBA Summary'!$F$2,'PBA Summary'!$G$2))</f>
        <v>8.2133018229069155E-3</v>
      </c>
      <c r="BN9" s="18" cm="1">
        <f t="array" ref="BN9">IF('PBA Summary'!$D$3="","",_xll.ASAssetStatistic($A9,"Average return during bull Benchmark 1",'PBA Summary'!$D$3,,,"m",'PBA Summary'!$F$2,'PBA Summary'!$G$2))</f>
        <v>6.4525292924928679E-3</v>
      </c>
      <c r="BO9" s="18" cm="1">
        <f t="array" ref="BO9">IF('PBA Summary'!$D$3="","",_xll.ASAssetStatistic($A9,"Average return during bear Benchmark 1",'PBA Summary'!$D$3,,,"m",'PBA Summary'!$F$2,'PBA Summary'!$G$2))</f>
        <v>8.2133018229069155E-3</v>
      </c>
      <c r="BP9" s="27" cm="1">
        <f t="array" ref="BP9">_xll.ASAssetStatistic($A9,"Maximum consecutive gain",,,'PBA Summary'!$H$2,"m",'PBA Summary'!$F$2,'PBA Summary'!$G$2)</f>
        <v>8.9215839724527957E-2</v>
      </c>
      <c r="BQ9" s="27" cm="1">
        <f t="array" ref="BQ9">_xll.ASAssetStatistic($A9,"Maximum consecutive loss",,,'PBA Summary'!$H$2,"m",'PBA Summary'!$F$2,'PBA Summary'!$G$2)</f>
        <v>-1.6525362839485691E-3</v>
      </c>
      <c r="BR9" s="27" cm="1">
        <f t="array" ref="BR9">_xll.ASAssetStatistic($A9,"Max monthly gain",,,'PBA Summary'!$H$2,"m",'PBA Summary'!$F$2,'PBA Summary'!$G$2)</f>
        <v>1.811509330834693E-2</v>
      </c>
      <c r="BS9" s="27" cm="1">
        <f t="array" ref="BS9">_xll.ASAssetStatistic($A9,"Max monthly loss",,,'PBA Summary'!$H$2,"m",'PBA Summary'!$F$2,'PBA Summary'!$G$2)</f>
        <v>-1.2505862122873523E-3</v>
      </c>
      <c r="BT9" s="27" cm="1">
        <f t="array" ref="BT9">_xll.ASAssetStatistic($A9,"Max drawdown",,,'PBA Summary'!$H$2,"m",'PBA Summary'!$F$2,'PBA Summary'!$G$2)</f>
        <v>-1.6525362839485691E-3</v>
      </c>
      <c r="BU9" s="28" cm="1">
        <f t="array" ref="BU9">_xll.ASAssetStatistic($A9,"Date Max drawdown",,,'PBA Summary'!$H$2,"m",'PBA Summary'!$F$2,'PBA Summary'!$G$2)</f>
        <v>43769</v>
      </c>
      <c r="BV9" s="28" cm="1">
        <f t="array" ref="BV9">_xll.ASAssetStatistic($A9,"Start Date Max Drawdown",,,'PBA Summary'!$H$2,"m",'PBA Summary'!$F$2,'PBA Summary'!$G$2)</f>
        <v>43738</v>
      </c>
      <c r="BW9" s="28" cm="1">
        <f t="array" ref="BW9">_xll.ASAssetStatistic($A9,"End Date Max Drawdown",,,'PBA Summary'!$H$2,"m",'PBA Summary'!$F$2,'PBA Summary'!$G$2)</f>
        <v>43769</v>
      </c>
      <c r="BX9" s="29" cm="1">
        <f t="array" ref="BX9">_xll.ASAssetStatistic($A9,"Max Time-under-water (months)",,,'PBA Summary'!$H$2,"m",'PBA Summary'!$F$2,'PBA Summary'!$G$2)</f>
        <v>2</v>
      </c>
      <c r="BY9" s="27" cm="1">
        <f t="array" ref="BY9">_xll.ASAssetStatistic($A9,"Max possible drawdown 99%",,,'PBA Summary'!$H$2,"m",'PBA Summary'!$F$2,'PBA Summary'!$G$2)</f>
        <v>-7.4994497924735217E-3</v>
      </c>
      <c r="BZ9" s="27" cm="1">
        <f t="array" ref="BZ9">_xll.ASAssetStatistic($A9,"Max possible drawdown 99.9%",,,'PBA Summary'!$H$2,"m",'PBA Summary'!$F$2,'PBA Summary'!$G$2)</f>
        <v>-1.3233122796752752E-2</v>
      </c>
      <c r="CA9" s="30" cm="1">
        <f t="array" ref="CA9">_xll.ASAssetStatistic($A9,"Max Possible Time-under-water 99% (months)",,,'PBA Summary'!$H$2,"m",'PBA Summary'!$F$2,'PBA Summary'!$G$2)</f>
        <v>4.3336465955891841</v>
      </c>
      <c r="CB9" s="30" cm="1">
        <f t="array" ref="CB9">_xll.ASAssetStatistic($A9,"Max Possible Time-under-water 99.9% (months)",,,'PBA Summary'!$H$2,"m",'PBA Summary'!$F$2,'PBA Summary'!$G$2)</f>
        <v>7.6469179931993878</v>
      </c>
      <c r="CC9" s="17" cm="1">
        <f t="array" ref="CC9">_xll.ASPortfolioReturnAttribution('PBA Summary'!$C$2,"OR",A9,"Last 1m",'PBA Summary'!$F$2,'PBA Summary'!$G$2)</f>
        <v>0</v>
      </c>
      <c r="CD9" s="11" t="str" cm="1">
        <f t="array" ref="CD9">_xll.ASAssetInfo($A9,"Strategy")</f>
        <v>Funds - Long Biased Credit</v>
      </c>
      <c r="CE9" s="14" cm="1">
        <f t="array" ref="CE9">_xll.ASAssetInfo($A9,"Start Date")</f>
        <v>41044</v>
      </c>
      <c r="CF9" s="14" t="str" cm="1">
        <f t="array" ref="CF9">_xll.ASAssetRatings($A9,"Quantitative",0,0,0,0,0,'PBA Summary'!$F$2,'PBA Summary'!$G$2)</f>
        <v/>
      </c>
      <c r="CG9" s="14" t="str" cm="1">
        <f t="array" ref="CG9">_xll.ASAssetRatings($A9,"Qualitative",0,0,0,0,0,'PBA Summary'!$F$2,'PBA Summary'!$G$2)</f>
        <v/>
      </c>
      <c r="CH9" s="14" t="str" cm="1">
        <f t="array" ref="CH9">_xll.ASAssetRatings($A9,"Final",0,0,0,0,0,'PBA Summary'!$F$2,'PBA Summary'!$G$2)</f>
        <v/>
      </c>
      <c r="CI9" s="14" cm="1">
        <f t="array" ref="CI9">_xll.ASAssetInfo($A9,"Last Return Date")</f>
        <v>44134</v>
      </c>
      <c r="CJ9" s="14" t="str" cm="1">
        <f t="array" ref="CJ9">_xll.ASAssetInfo($A9,"Company Name")</f>
        <v>AXA World Funds SICAV/LUXEMBOU</v>
      </c>
      <c r="CK9" s="14" t="str" cm="1">
        <f t="array" ref="CK9">_xll.ASAssetInfo($A9,"Manager Name")</f>
        <v>Nick Hayes</v>
      </c>
      <c r="CL9" s="14" t="str" cm="1">
        <f t="array" ref="CL9">_xll.ASAssetInfo($A9,"Address")</f>
        <v>AXA World Funds. 49, Avenue J.F.Kennedy. L-1855 Luxembourg. Grand Duchy of Luxembourg</v>
      </c>
      <c r="CM9" s="14" t="str" cm="1">
        <f t="array" ref="CM9">_xll.ASAssetInfo($A9,"Phone Number")</f>
        <v>352-46-40-10-010</v>
      </c>
      <c r="CN9" s="14" t="str" cm="1">
        <f t="array" ref="CN9">_xll.ASAssetInfo($A9,"Email")</f>
        <v/>
      </c>
      <c r="CO9" s="14" t="str" cm="1">
        <f t="array" ref="CO9">_xll.ASAssetInfo($A9,"Asset Type")</f>
        <v>Fixed Income</v>
      </c>
      <c r="CP9" s="14" t="str" cm="1">
        <f t="array" ref="CP9">_xll.ASAssetInfo($A9,"Proprietary ID")</f>
        <v/>
      </c>
      <c r="CQ9" s="14" t="str" cm="1">
        <f t="array" ref="CQ9">_xll.ASAssetInfo($A9,"Country")</f>
        <v>Luxembourg</v>
      </c>
      <c r="CR9" s="14" t="str" cm="1">
        <f t="array" ref="CR9">_xll.ASAssetInfo($A9,"Currency")</f>
        <v>USD</v>
      </c>
      <c r="CS9" s="14" t="str" cm="1">
        <f t="array" ref="CS9">_xll.ASAssetInfo($A9,"Sub-Strategy")</f>
        <v/>
      </c>
      <c r="CT9" s="31" cm="1">
        <f t="array" ref="CT9">_xll.ASAssetInfo($A9,"Fund AUM (m)")</f>
        <v>895.45529999999997</v>
      </c>
      <c r="CU9" s="31" t="str" cm="1">
        <f t="array" ref="CU9">_xll.ASAssetInfo($A9,"Status")</f>
        <v>Open</v>
      </c>
      <c r="CV9" s="31" t="str" cm="1">
        <f t="array" ref="CV9">_xll.ASAssetInfo($A9,"Redemption 1 Frequency")</f>
        <v>Daily</v>
      </c>
      <c r="CW9" s="31" t="str" cm="1">
        <f t="array" ref="CW9">_xll.ASAssetInfo($A9,"Redemption 2 Frequency")</f>
        <v>Unknown</v>
      </c>
      <c r="CX9" s="31" t="str" cm="1">
        <f t="array" ref="CX9">_xll.ASAssetInfo($A9,"Redemption 3 Frequency")</f>
        <v>Unknown</v>
      </c>
      <c r="CY9" s="31" t="str" cm="1">
        <f t="array" ref="CY9">_xll.ASAssetInfo($A9,"Notice Period")</f>
        <v/>
      </c>
      <c r="CZ9" s="15" cm="1">
        <f t="array" ref="CZ9">_xll.ASAssetInfo($A9,"Performance Fee")</f>
        <v>0</v>
      </c>
      <c r="DA9" s="15" cm="1">
        <f t="array" ref="DA9">_xll.ASAssetInfo($A9,"Management Fee")</f>
        <v>5.0000000000000001E-3</v>
      </c>
      <c r="DB9" s="15" t="str" cm="1">
        <f t="array" ref="DB9">_xll.ASAssetInfo($A9,"ISIN")</f>
        <v>LU0746606069</v>
      </c>
      <c r="DC9" s="16" cm="1">
        <f t="array" ref="DC9">_xll.ASAssetStatistic($A9,"Return during " &amp;YEAR(EOMONTH('PBA Summary'!$G$2,-60)),,,,"M",DATE(YEAR(EOMONTH('PBA Summary'!$G$2,-60)),1,31),DATE(YEAR(EOMONTH('PBA Summary'!$G$2,-60)),12,31))</f>
        <v>-1.4681608895838028E-2</v>
      </c>
      <c r="DD9" s="16" cm="1">
        <f t="array" ref="DD9">_xll.ASAssetStatistic($A9,"Return during " &amp;YEAR(EOMONTH('PBA Summary'!$G$2,-48)),,,,"M",DATE(YEAR(EOMONTH('PBA Summary'!$G$2,-48)),1,31),DATE(YEAR(EOMONTH('PBA Summary'!$G$2,-48)),12,31))</f>
        <v>7.6441544701113306E-2</v>
      </c>
      <c r="DE9" s="16" cm="1">
        <f t="array" ref="DE9">_xll.ASAssetStatistic($A9,"Return during " &amp;YEAR(EOMONTH('PBA Summary'!$G$2,-36)),,,,"M",DATE(YEAR(EOMONTH('PBA Summary'!$G$2,-36)),1,31),DATE(YEAR(EOMONTH('PBA Summary'!$G$2,-36)),12,31))</f>
        <v>4.1772462937176069E-2</v>
      </c>
      <c r="DF9" s="16" cm="1">
        <f t="array" ref="DF9">_xll.ASAssetStatistic($A9,"Return during " &amp;YEAR(EOMONTH('PBA Summary'!$G$2,-24)),,,,"M",DATE(YEAR(EOMONTH('PBA Summary'!$G$2,-24)),1,31),DATE(YEAR(EOMONTH('PBA Summary'!$G$2,-24)),12,31))</f>
        <v>6.918782923186928E-3</v>
      </c>
      <c r="DG9" s="16" cm="1">
        <f t="array" ref="DG9">_xll.ASAssetStatistic($A9,"Return during " &amp;YEAR(EOMONTH('PBA Summary'!$G$2,-12)),,,,"M",DATE(YEAR(EOMONTH('PBA Summary'!$G$2,-12)),1,31),DATE(YEAR(EOMONTH('PBA Summary'!$G$2,-12)),12,31))</f>
        <v>9.5494651362537208E-2</v>
      </c>
      <c r="DH9" s="11" t="str" cm="1">
        <f t="array" ref="DH9">_xll.ASAssetInfo($A9,"Prime Broker")</f>
        <v/>
      </c>
      <c r="DI9" s="16" cm="1">
        <f t="array" ref="DI9">_xll.ASAssetStatistic($A9,"Return",,,,"m",'PBA Summary'!$F$2,'PBA Summary'!$G$2)</f>
        <v>0.10872283883070333</v>
      </c>
      <c r="DJ9" s="33" cm="1">
        <f t="array" ref="DJ9">IF('PBA Summary'!$D$2="","",_xll.ASAssetStatistic($A9,"Ann. Information Ratio vs Benchmark 1",'PBA Summary'!$D$2,,,"m",'PBA Summary'!$F$2,'PBA Summary'!$G$2))</f>
        <v>-0.57635542401638795</v>
      </c>
      <c r="DK9" s="33" cm="1">
        <f t="array" ref="DK9">IF('PBA Summary'!$D$3="","",_xll.ASAssetStatistic($A9,"Ann. Information Ratio vs Benchmark 1",'PBA Summary'!$D$3,,,"m",'PBA Summary'!$F$2,'PBA Summary'!$G$2))</f>
        <v>-0.57635542401638795</v>
      </c>
      <c r="DL9" s="33" cm="1">
        <f t="array" ref="DL9">IF('PBA Summary'!$D$2="","",_xll.ASAssetStatistic($A9,"Ann. Tracking Error vs Benchmark 1",'PBA Summary'!$D$2,,,"m",'PBA Summary'!$F$2,'PBA Summary'!$G$2))</f>
        <v>0.14963143671591206</v>
      </c>
      <c r="DM9" s="33" cm="1">
        <f t="array" ref="DM9">IF('PBA Summary'!$D$3="","",_xll.ASAssetStatistic($A9,"Ann. Tracking Error vs Benchmark 1",'PBA Summary'!$D$3,,,"m",'PBA Summary'!$F$2,'PBA Summary'!$G$2))</f>
        <v>0.14963143671591206</v>
      </c>
      <c r="DN9" s="33" cm="1">
        <f t="array" ref="DN9">IF('PBA Summary'!$D$2="","",_xll.ASAssetStatistic($A9,"R² vs Benchmark 1",'PBA Summary'!$D$2,,,"m",'PBA Summary'!$F$2,'PBA Summary'!$G$2))</f>
        <v>6.1996746652829615E-2</v>
      </c>
      <c r="DO9" s="33" cm="1">
        <f t="array" ref="DO9">IF('PBA Summary'!$D$3="","",_xll.ASAssetStatistic($A9,"R² vs Benchmark 1",'PBA Summary'!$D$3,,,"m",'PBA Summary'!$F$2,'PBA Summary'!$G$2))</f>
        <v>6.1996746652829615E-2</v>
      </c>
      <c r="DP9" s="11" t="str" cm="1">
        <f t="array" ref="DP9">_xll.ASAssetInfo($A9,"On-/Offshore")</f>
        <v>Unknown</v>
      </c>
      <c r="DQ9" s="16" cm="1">
        <f t="array" ref="DQ9">_xll.ASAssetStatistic($A9,"Quarter-to-date",,,,"m",'PBA Summary'!$F$2,'PBA Summary'!$G$2)</f>
        <v>1.1047754811118971E-2</v>
      </c>
      <c r="DR9" s="16" cm="1">
        <f t="array" ref="DR9">_xll.ASAssetStatistic($A9,"Annualized Return Since inception",,,,"m",'PBA Summary'!$F$2,'PBA Summary'!$G$2)</f>
        <v>4.6066061241388123E-2</v>
      </c>
      <c r="DS9" s="16" cm="1">
        <f t="array" ref="DS9">IF('PBA Summary'!$D$2="","",_xll.ASAssetStatistic($A9,"Ann. Bear Market Return vs Benchmark 1",'PBA Summary'!$D$2,,,"m",'PBA Summary'!$F$2,'PBA Summary'!$G$2))</f>
        <v>0.10305638313825916</v>
      </c>
      <c r="DT9" s="16" cm="1">
        <f t="array" ref="DT9">IF('PBA Summary'!$D$2="","",_xll.ASAssetStatistic($A9,"Ann. Bull Market Return vs Benchmark 1",'PBA Summary'!$D$2,,,"m",'PBA Summary'!$F$2,'PBA Summary'!$G$2))</f>
        <v>7.9960159190705093E-2</v>
      </c>
      <c r="DU9" s="16" cm="1">
        <f t="array" ref="DU9">IF('PBA Summary'!$D$3="","",_xll.ASAssetStatistic($A9,"Ann. Bear Market Return vs Benchmark 1",'PBA Summary'!$D$3,,,"m",'PBA Summary'!$F$2,'PBA Summary'!$G$2))</f>
        <v>0.10305638313825916</v>
      </c>
      <c r="DV9" s="16" cm="1">
        <f t="array" ref="DV9">IF('PBA Summary'!$D$3="","",_xll.ASAssetStatistic($A9,"Ann. Bull Market Return vs Benchmark 1",'PBA Summary'!$D$3,,,"m",'PBA Summary'!$F$2,'PBA Summary'!$G$2))</f>
        <v>7.9960159190705093E-2</v>
      </c>
      <c r="DW9" s="17" cm="1">
        <f t="array" ref="DW9">_xll.ASAssetStatistic($A9,"Average Positive Return",,,,"m",'PBA Summary'!$F$2,'PBA Summary'!$G$2)</f>
        <v>8.8945643461717881E-3</v>
      </c>
      <c r="DX9" s="17" cm="1">
        <f t="array" ref="DX9">_xll.ASAssetStatistic($A9,"Average Negative Return",,,,"m",'PBA Summary'!$F$2,'PBA Summary'!$G$2)</f>
        <v>-9.6791421500408426E-4</v>
      </c>
      <c r="DY9" s="16" cm="1">
        <f t="array" ref="DY9">IF('PBA Summary'!$D$2="","",_xll.ASAssetStatistic($A9,"Outperformance vs Benchmark 1",'PBA Summary'!$D$2,,,"m",'PBA Summary'!$F$2,'PBA Summary'!$G$2))</f>
        <v>-0.11112080597801532</v>
      </c>
      <c r="DZ9" s="16" cm="1">
        <f t="array" ref="DZ9">IF('PBA Summary'!$D$3="","",_xll.ASAssetStatistic($A9,"Outperformance vs Benchmark 1",'PBA Summary'!$D$3,,,"m",'PBA Summary'!$F$2,'PBA Summary'!$G$2))</f>
        <v>-0.11112080597801532</v>
      </c>
      <c r="EA9" s="16" cm="1">
        <f t="array" ref="EA9">IF('PBA Summary'!$D$2="","",_xll.ASAssetStatistic($A9,"Annual Outperformance vs Benchmark 1",'PBA Summary'!$D$2,,,"m",'PBA Summary'!$F$2,'PBA Summary'!$G$2))</f>
        <v>-8.6240890154580807E-2</v>
      </c>
      <c r="EB9" s="16" cm="1">
        <f t="array" ref="EB9">IF('PBA Summary'!$D$3="","",_xll.ASAssetStatistic($A9,"Annual Outperformance vs Benchmark 1",'PBA Summary'!$D$3,,,"m",'PBA Summary'!$F$2,'PBA Summary'!$G$2))</f>
        <v>-8.6240890154580807E-2</v>
      </c>
      <c r="EC9" s="32" cm="1">
        <f t="array" ref="EC9">_xll.ASAssetStatistic($A9,"Rachev Ratio 99%",,,,"m",'PBA Summary'!$F$2,'PBA Summary'!$G$2)</f>
        <v>-14.485281486682943</v>
      </c>
      <c r="ED9" s="32" cm="1">
        <f t="array" ref="ED9">_xll.ASAssetStatistic($A9,"Rachev Ratio 97%",,,,"m",'PBA Summary'!$F$2,'PBA Summary'!$G$2)</f>
        <v>-14.485281486682943</v>
      </c>
      <c r="EE9" s="32" cm="1">
        <f t="array" ref="EE9">_xll.ASAssetStatistic($A9,"Rachev Ratio 95%",,,,"m",'PBA Summary'!$F$2,'PBA Summary'!$G$2)</f>
        <v>-14.485281486682943</v>
      </c>
      <c r="EF9" s="32" cm="1">
        <f t="array" ref="EF9">_xll.ASAssetStatistic($A9,"Rachev Ratio 90%",,,,"m",'PBA Summary'!$F$2,'PBA Summary'!$G$2)</f>
        <v>-14.699146233234087</v>
      </c>
      <c r="EG9" s="34" cm="1">
        <f t="array" ref="EG9">IF('PBA Summary'!$D$2="","",_xll.ASAssetStatistic($A9,"Annual Up Capture vs Benchmark 1",'PBA Summary'!$D$2,,,"m",'PBA Summary'!$F$2,'PBA Summary'!$G$2))</f>
        <v>0.1579591398402671</v>
      </c>
      <c r="EH9" s="34" cm="1">
        <f t="array" ref="EH9">IF('PBA Summary'!$D$3="","",_xll.ASAssetStatistic($A9,"Annual Up Capture vs Benchmark 1",'PBA Summary'!$D$3,,,"m",'PBA Summary'!$F$2,'PBA Summary'!$G$2))</f>
        <v>0.1579591398402671</v>
      </c>
      <c r="EI9" s="34" cm="1">
        <f t="array" ref="EI9">IF('PBA Summary'!$D$2="","",_xll.ASAssetStatistic($A9,"Annual Down Capture vs Benchmark 1",'PBA Summary'!$D$2,,,"m",'PBA Summary'!$F$2,'PBA Summary'!$G$2))</f>
        <v>-0.25042637881678298</v>
      </c>
      <c r="EJ9" s="34" cm="1">
        <f t="array" ref="EJ9">IF('PBA Summary'!$D$3="","",_xll.ASAssetStatistic($A9,"Annual Down Capture vs Benchmark 1",'PBA Summary'!$D$3,,,"m",'PBA Summary'!$F$2,'PBA Summary'!$G$2))</f>
        <v>-0.25042637881678298</v>
      </c>
      <c r="EK9" s="16" cm="1">
        <f t="array" ref="EK9">IF('PBA Summary'!$D$2="","",_xll.ASAssetStatistic($A9,"Ann. Tracking Error vs Benchmark 1",'PBA Summary'!$D$2,,,"m",'PBA Summary'!$F$2,'PBA Summary'!$G$2))</f>
        <v>0.14963143671591206</v>
      </c>
      <c r="EL9" s="16" cm="1">
        <f t="array" ref="EL9">IF('PBA Summary'!$D$3="","",_xll.ASAssetStatistic($A9,"Ann. Tracking Error vs Benchmark 1",'PBA Summary'!$D$3,,,"m",'PBA Summary'!$F$2,'PBA Summary'!$G$2))</f>
        <v>0.14963143671591206</v>
      </c>
      <c r="EM9" s="16" cm="1">
        <f t="array" ref="EM9">IF('PBA Summary'!$D$2="","",_xll.ASAssetStatistic($A9,"Annual Jensen Alpha vs Benchmark 1 (Rf)",'PBA Summary'!$D$2,,,"m",'PBA Summary'!$F$2,'PBA Summary'!$G$2))</f>
        <v>7.7661872099175175E-2</v>
      </c>
      <c r="EN9" s="16" cm="1">
        <f t="array" ref="EN9">IF('PBA Summary'!$D$3="","",_xll.ASAssetStatistic($A9,"Annual Jensen Alpha vs Benchmark 1 (Rf)",'PBA Summary'!$D$3,,,"m",'PBA Summary'!$F$2,'PBA Summary'!$G$2))</f>
        <v>7.7661872099175175E-2</v>
      </c>
      <c r="EO9" s="33" cm="1">
        <f t="array" ref="EO9">IF('PBA Summary'!$D$2="","",_xll.ASAssetStatistic($A9,"Ann. Information Ratio vs Benchmark 1",'PBA Summary'!$D$2,,,"m",'PBA Summary'!$F$2,'PBA Summary'!$G$2))</f>
        <v>-0.57635542401638795</v>
      </c>
      <c r="EP9" s="33" cm="1">
        <f t="array" ref="EP9">IF('PBA Summary'!$D$3="","",_xll.ASAssetStatistic($A9,"Ann. Information Ratio vs Benchmark 1",'PBA Summary'!$D$3,,,"m",'PBA Summary'!$F$2,'PBA Summary'!$G$2))</f>
        <v>-0.57635542401638795</v>
      </c>
      <c r="EQ9" s="17" cm="1">
        <f t="array" ref="EQ9">IF('PBA Summary'!$D$2="","",_xll.ASAssetStatistic($A9,"Alpha Monthly vs Benchmark 1",'PBA Summary'!$D$2,,,"m",'PBA Summary'!$F$2,'PBA Summary'!$G$2))</f>
        <v>6.4255518052110513E-3</v>
      </c>
      <c r="ER9" s="17" cm="1">
        <f t="array" ref="ER9">IF('PBA Summary'!$D$3="","",_xll.ASAssetStatistic($A9,"Alpha Monthly vs Benchmark 1",'PBA Summary'!$D$3,,,"m",'PBA Summary'!$F$2,'PBA Summary'!$G$2))</f>
        <v>6.4255518052110513E-3</v>
      </c>
      <c r="ES9" s="11" cm="1">
        <f t="array" ref="ES9">_xll.ASAssetInfo($A9,"Company AUM (m)")</f>
        <v>913</v>
      </c>
      <c r="ET9" s="16" cm="1">
        <f t="array" ref="ET9">_xll.ASAssetStatistic($A9,"Exponential Annualized Volatility",,,,"m",'PBA Summary'!$F$2,'PBA Summary'!$G$2)</f>
        <v>1.9708308884466473E-2</v>
      </c>
      <c r="EU9" s="16" cm="1">
        <f t="array" ref="EU9">_xll.ASAssetStatistic($A9,"Exponential Annualized Volatility Last 1 year",,,,"m",'PBA Summary'!$F$2,'PBA Summary'!$G$2)</f>
        <v>1.8238465895342674E-2</v>
      </c>
      <c r="EV9" s="16" t="str" cm="1">
        <f t="array" ref="EV9">_xll.ASAssetStatistic($A9,"Exponential Annualized Volatility Last 3 years",,,,"m",'PBA Summary'!$F$2,'PBA Summary'!$G$2)</f>
        <v/>
      </c>
      <c r="EW9" s="34" cm="1">
        <f t="array" ref="EW9">IF('PBA Summary'!$D$2="","",_xll.ASAssetStatistic($A9,"Exponential Correlation to Benchmark 1",'PBA Summary'!$D$2,,,"m",'PBA Summary'!$F$2,'PBA Summary'!$G$2))</f>
        <v>9.0623124449288467E-2</v>
      </c>
      <c r="EX9" s="34" cm="1">
        <f t="array" ref="EX9">IF('PBA Summary'!$D$3="","",_xll.ASAssetStatistic($A9,"Exponential Correlation to Benchmark 1",'PBA Summary'!$D$3,,,"m",'PBA Summary'!$F$2,'PBA Summary'!$G$2))</f>
        <v>9.0623124449288467E-2</v>
      </c>
      <c r="EY9" s="34" cm="1">
        <f t="array" ref="EY9">_xll.ASAssetStatistic($A9,"Exponential Annual Sharpe Ratio (Rf)",,,,"m",'PBA Summary'!$F$2,'PBA Summary'!$G$2)</f>
        <v>4.076107364709844</v>
      </c>
      <c r="EZ9" s="34" cm="1">
        <f t="array" ref="EZ9">_xll.ASAssetStatistic($A9,"Exponential Normal Monthly VaR 99%",,,,"m",'PBA Summary'!$F$2,'PBA Summary'!$G$2)</f>
        <v>-6.5815056260739085E-3</v>
      </c>
      <c r="FA9" s="34" cm="1">
        <f t="array" ref="FA9">_xll.ASAssetStatistic($A9,"Exponential Normal Monthly VaR 97%",,,,"m",'PBA Summary'!$F$2,'PBA Summary'!$G$2)</f>
        <v>-4.0466143115203213E-3</v>
      </c>
      <c r="FB9" s="34" cm="1">
        <f t="array" ref="FB9">_xll.ASAssetStatistic($A9,"Exponential Normal Monthly VaR 95%",,,,"m",'PBA Summary'!$F$2,'PBA Summary'!$G$2)</f>
        <v>-2.7042812785167446E-3</v>
      </c>
      <c r="FC9" s="34" cm="1">
        <f t="array" ref="FC9">_xll.ASAssetStatistic($A9,"Exponential Normal Monthly VaR 90%",,,,"m",'PBA Summary'!$F$2,'PBA Summary'!$G$2)</f>
        <v>-6.3734732563231096E-4</v>
      </c>
      <c r="FD9" s="34" t="str" cm="1">
        <f t="array" ref="FD9">_xll.ASAssetStatistic($A9,"Exponential Normal weekly VaR 99%",,,,"m",'PBA Summary'!$F$2,'PBA Summary'!$G$2)</f>
        <v/>
      </c>
      <c r="FE9" s="34" t="str" cm="1">
        <f t="array" ref="FE9">_xll.ASAssetStatistic($A9,"Exponential Normal weekly VaR 97%",,,,"m",'PBA Summary'!$F$2,'PBA Summary'!$G$2)</f>
        <v/>
      </c>
      <c r="FF9" s="34" t="str" cm="1">
        <f t="array" ref="FF9">_xll.ASAssetStatistic($A9,"Exponential Normal weekly VaR 95%",,,,"m",'PBA Summary'!$F$2,'PBA Summary'!$G$2)</f>
        <v/>
      </c>
      <c r="FG9" s="34" t="str" cm="1">
        <f t="array" ref="FG9">_xll.ASAssetStatistic($A9,"Exponential Normal weekly VaR 90%",,,,"m",'PBA Summary'!$F$2,'PBA Summary'!$G$2)</f>
        <v/>
      </c>
      <c r="FH9" s="34" t="str" cm="1">
        <f t="array" ref="FH9">_xll.ASAssetStatistic($A9,"Exponential Normal daily VaR 99%",,,,"m",'PBA Summary'!$F$2,'PBA Summary'!$G$2)</f>
        <v/>
      </c>
      <c r="FI9" s="34" t="str" cm="1">
        <f t="array" ref="FI9">_xll.ASAssetStatistic($A9,"Exponential Normal daily VaR 97%",,,,"m",'PBA Summary'!$F$2,'PBA Summary'!$G$2)</f>
        <v/>
      </c>
      <c r="FJ9" s="34" t="str" cm="1">
        <f t="array" ref="FJ9">_xll.ASAssetStatistic($A9,"Exponential Normal daily VaR 95%",,,,"m",'PBA Summary'!$F$2,'PBA Summary'!$G$2)</f>
        <v/>
      </c>
      <c r="FK9" s="34" t="str" cm="1">
        <f t="array" ref="FK9">_xll.ASAssetStatistic($A9,"Exponential Normal daily VaR 90%",,,,"m",'PBA Summary'!$F$2,'PBA Summary'!$G$2)</f>
        <v/>
      </c>
      <c r="FL9" s="34" cm="1">
        <f t="array" ref="FL9">_xll.ASAssetStatistic($A9,"Bias Ratio",,,,"m",'PBA Summary'!$F$2,'PBA Summary'!$G$2)</f>
        <v>1</v>
      </c>
      <c r="FM9" s="11" t="str" cm="1">
        <f t="array" ref="FM9">_xll.ASAssetInfo($A9,"Manager's Biography")</f>
        <v/>
      </c>
      <c r="FN9" s="11" cm="1">
        <f t="array" ref="FN9">_xll.ASAssetInfo($A9,"Investment Min")</f>
        <v>5000000</v>
      </c>
      <c r="FO9" s="11" t="str" cm="1">
        <f t="array" ref="FO9">_xll.ASAssetInfo($A9,"Auditor")</f>
        <v>PricewaterhouseCoopers SC</v>
      </c>
      <c r="FP9" s="11" t="str" cm="1">
        <f t="array" ref="FP9">_xll.ASAssetInfo($A9,"Custodian")</f>
        <v>State Street Bank Luxembourg SCA</v>
      </c>
      <c r="FQ9" s="11" t="str" cm="1">
        <f t="array" ref="FQ9">_xll.ASAssetInfo($A9,"Administrator")</f>
        <v>State Street Bank Luxembourg SCA</v>
      </c>
      <c r="FR9" s="14" t="str" cm="1">
        <f t="array" ref="FR9">_xll.ASAssetInfo($A9,"Proxy 1 Start Date")</f>
        <v/>
      </c>
      <c r="FS9" s="14" t="str" cm="1">
        <f t="array" ref="FS9">_xll.ASAssetInfo($A9,"Proxy 1 End Date")</f>
        <v/>
      </c>
      <c r="FT9" s="14" t="str" cm="1">
        <f t="array" ref="FT9">_xll.ASAssetInfo($A9,"Proxy 2 Start Date")</f>
        <v/>
      </c>
      <c r="FU9" s="14" t="str" cm="1">
        <f t="array" ref="FU9">_xll.ASAssetInfo($A9,"Proxy 2 End Date")</f>
        <v/>
      </c>
      <c r="FV9" s="14" t="str" cm="1">
        <f t="array" ref="FV9">_xll.ASAssetInfo($A9,"Proxy 3 Start Date")</f>
        <v/>
      </c>
      <c r="FW9" s="14" t="str" cm="1">
        <f t="array" ref="FW9">_xll.ASAssetInfo($A9,"Proxy 3 End Date")</f>
        <v/>
      </c>
      <c r="FX9" s="14" t="str" cm="1">
        <f t="array" ref="FX9">_xll.ASAssetInfo($A9,"Fund Domicile")</f>
        <v>LU</v>
      </c>
      <c r="FY9" s="14" t="str" cm="1">
        <f t="array" ref="FY9">_xll.ASAssetInfo($A9,"Fund Contact")</f>
        <v/>
      </c>
      <c r="FZ9" s="14" t="str" cm="1">
        <f t="array" ref="FZ9">_xll.ASAssetInfo($A9,"Fund Contact Email")</f>
        <v/>
      </c>
      <c r="GA9" s="14" t="str" cm="1">
        <f t="array" ref="GA9">_xll.ASAssetInfo($A9,"Fund Contact Number")</f>
        <v/>
      </c>
      <c r="GB9" s="14" t="str" cm="1">
        <f t="array" ref="GB9">_xll.ASAssetInfo($A9,"City")</f>
        <v>Luxembourg</v>
      </c>
      <c r="GC9" s="14" t="str" cm="1">
        <f t="array" ref="GC9">_xll.ASAssetInfo($A9,"Leverage")</f>
        <v>Yes (Average ~130% gross; Max 200% gross)</v>
      </c>
      <c r="GD9" s="14" t="str" cm="1">
        <f t="array" ref="GD9">_xll.ASAssetInfo($A9,"Lockup 1 Duration")</f>
        <v>0 Months</v>
      </c>
      <c r="GE9" s="14" t="str" cm="1">
        <f t="array" ref="GE9">_xll.ASAssetInfo($A9,"Lockup 2 Duration")</f>
        <v>0 Months</v>
      </c>
      <c r="GF9" s="14" t="str" cm="1">
        <f t="array" ref="GF9">_xll.ASAssetInfo($A9,"Lockup 3 Duration")</f>
        <v>0 Months</v>
      </c>
      <c r="GG9" s="31" t="str" cm="1">
        <f t="array" ref="GG9">_xll.ASAssetInfo($A9,"Fund Level Gate")</f>
        <v/>
      </c>
      <c r="GH9" s="31" t="str" cm="1">
        <f t="array" ref="GH9">_xll.ASAssetInfo($A9,"Fund Level Gate Frequency")</f>
        <v>Unknown</v>
      </c>
      <c r="GI9" s="35" cm="1">
        <f t="array" ref="GI9">_xll.ASAssetInfo($A9,"Payment 2 (%)")</f>
        <v>0</v>
      </c>
      <c r="GJ9" s="35" t="str" cm="1">
        <f t="array" ref="GJ9">_xll.ASAssetInfo($A9,"Payment 2 (days)")</f>
        <v/>
      </c>
      <c r="GK9" s="35" t="str" cm="1">
        <f t="array" ref="GK9">_xll.ASAssetInfo($A9,"Payment 2 (Paid After)")</f>
        <v>NAV Date</v>
      </c>
      <c r="GL9" s="35" cm="1">
        <f t="array" ref="GL9">_xll.ASAssetInfo($A9,"Payment 3 (%)")</f>
        <v>0</v>
      </c>
      <c r="GM9" s="36" t="str" cm="1">
        <f t="array" ref="GM9">_xll.ASAssetInfo($A9,"Payment 3 (Days)")</f>
        <v/>
      </c>
      <c r="GN9" s="35" t="str" cm="1">
        <f t="array" ref="GN9">_xll.ASAssetInfo($A9,"Payment 3 (Paid After)")</f>
        <v>NAV Date</v>
      </c>
      <c r="GO9" s="35" cm="1">
        <f t="array" ref="GO9">_xll.ASAssetInfo($A9,"Payment 4 (%)")</f>
        <v>0</v>
      </c>
      <c r="GP9" s="36" t="str" cm="1">
        <f t="array" ref="GP9">_xll.ASAssetInfo($A9,"Payment 4 (days)")</f>
        <v/>
      </c>
      <c r="GQ9" s="35" t="str" cm="1">
        <f t="array" ref="GQ9">_xll.ASAssetInfo($A9,"Payment 4 (Paid After)")</f>
        <v>NAV Date</v>
      </c>
      <c r="GR9" s="31" cm="1">
        <f t="array" ref="GR9">_xll.ASAssetInfo($A9,"Payment 1 (%)")</f>
        <v>1</v>
      </c>
      <c r="GS9" s="35" cm="1">
        <f t="array" ref="GS9">_xll.ASAssetInfo($A9,"Lockup 1 Fee")</f>
        <v>0</v>
      </c>
      <c r="GT9" s="35" cm="1">
        <f t="array" ref="GT9">_xll.ASAssetInfo($A9,"Lockup 2 Fee")</f>
        <v>0</v>
      </c>
      <c r="GU9" s="35" cm="1">
        <f t="array" ref="GU9">_xll.ASAssetInfo($A9,"Lockup 3 Fee")</f>
        <v>0</v>
      </c>
      <c r="GV9" s="35" t="str" cm="1">
        <f t="array" ref="GV9">_xll.ASAssetInfo($A9,"Lockup 1 type")</f>
        <v>None</v>
      </c>
      <c r="GW9" s="35" t="str" cm="1">
        <f t="array" ref="GW9">_xll.ASAssetInfo($A9,"Lockup 2 type")</f>
        <v>None</v>
      </c>
      <c r="GX9" s="35" t="str" cm="1">
        <f t="array" ref="GX9">_xll.ASAssetInfo($A9,"Lockup 3 type")</f>
        <v>None</v>
      </c>
      <c r="GY9" s="35" t="str" cm="1">
        <f t="array" ref="GY9">_xll.ASAssetInfo($A9,"Redemption 1 type")</f>
        <v>Calendar</v>
      </c>
      <c r="GZ9" s="35" t="str" cm="1">
        <f t="array" ref="GZ9">_xll.ASAssetInfo($A9,"Redemption 2 type")</f>
        <v>Calendar</v>
      </c>
      <c r="HA9" s="35" t="str" cm="1">
        <f t="array" ref="HA9">_xll.ASAssetInfo($A9,"Redemption 3 type")</f>
        <v>Calendar</v>
      </c>
      <c r="HB9" s="35" t="str" cm="1">
        <f t="array" ref="HB9">_xll.ASAssetInfo($A9,"Redemption 1 Fee")</f>
        <v/>
      </c>
      <c r="HC9" s="35" t="str" cm="1">
        <f t="array" ref="HC9">_xll.ASAssetInfo($A9,"Redemption 2 Fee")</f>
        <v/>
      </c>
      <c r="HD9" s="35" t="str" cm="1">
        <f t="array" ref="HD9">_xll.ASAssetInfo($A9,"Redemption 3 Fee")</f>
        <v/>
      </c>
      <c r="HE9" s="35" t="str" cm="1">
        <f t="array" ref="HE9">_xll.ASAssetInfo($A9,"Redemption 1 Frequency")</f>
        <v>Daily</v>
      </c>
      <c r="HF9" s="35" t="str" cm="1">
        <f t="array" ref="HF9">_xll.ASAssetInfo($A9,"Redemption 2 Frequency")</f>
        <v>Unknown</v>
      </c>
      <c r="HG9" s="35" t="str" cm="1">
        <f t="array" ref="HG9">_xll.ASAssetInfo($A9,"Redemption 3 Frequency")</f>
        <v>Unknown</v>
      </c>
      <c r="HH9" s="35" t="str" cm="1">
        <f t="array" ref="HH9">_xll.ASAssetInfo($A9,"Asset Calendar")</f>
        <v>[Default]</v>
      </c>
      <c r="HI9" s="16" cm="1">
        <f t="array" ref="HI9">_xll.ASAssetStatistic($A9,"Max Second Drawdown",,,,"m",'PBA Summary'!$F$2,'PBA Summary'!$G$2)</f>
        <v>-1.2505862122873523E-3</v>
      </c>
      <c r="HJ9" s="37" cm="1">
        <f t="array" ref="HJ9">_xll.ASAssetStatistic($A9,"Date Max Second Drawdown",,,,"m",'PBA Summary'!$F$2,'PBA Summary'!$G$2)</f>
        <v>43434</v>
      </c>
      <c r="HK9" s="37" t="str" cm="1">
        <f t="array" ref="HK9">_xll.ASAssetInfo($A9,HK$1)</f>
        <v>AWGSBIU LX</v>
      </c>
      <c r="HL9" s="37" t="str" cm="1">
        <f t="array" ref="HL9">_xll.ASAssetInfo($A9,HL$1)</f>
        <v/>
      </c>
      <c r="HM9" s="34" t="str" cm="1">
        <f t="array" ref="HM9">_xll.ASAssetInfo($A9,HM$1)</f>
        <v/>
      </c>
      <c r="HN9" s="37" t="str" cm="1">
        <f t="array" ref="HN9">_xll.ASAssetInfo($A9,HN$1)</f>
        <v/>
      </c>
      <c r="HO9" s="15" cm="1">
        <f t="array" ref="HO9">_xll.ASAssetInfo($A9,HO$1)</f>
        <v>0</v>
      </c>
      <c r="HP9" s="15" cm="1">
        <f t="array" ref="HP9">_xll.ASAssetInfo($A9,HP$1)</f>
        <v>3.4000000000000002E-2</v>
      </c>
      <c r="HQ9" s="34" t="str" cm="1">
        <f t="array" ref="HQ9">_xll.ASAssetInfo($A9,HQ$1)</f>
        <v/>
      </c>
      <c r="HR9" s="37" t="str" cm="1">
        <f t="array" ref="HR9">_xll.ASAssetInfo($A9,HR$1)</f>
        <v/>
      </c>
      <c r="HS9" s="37" t="str" cm="1">
        <f t="array" ref="HS9">_xll.ASAssetInfo($A9,HS$1)</f>
        <v/>
      </c>
      <c r="HT9" s="37" t="str" cm="1">
        <f t="array" ref="HT9">_xll.ASAssetInfo($A9,HT$1)</f>
        <v>BBB+</v>
      </c>
      <c r="HU9" s="37" t="str" cm="1">
        <f t="array" ref="HU9">_xll.ASAssetInfo($A9,HU$1)</f>
        <v>Global</v>
      </c>
      <c r="HV9" s="37" t="str" cm="1">
        <f t="array" ref="HV9">_xll.ASAssetInfo($A9,HV$1)</f>
        <v/>
      </c>
      <c r="HW9" s="37" t="str" cm="1">
        <f t="array" ref="HW9">_xll.ASAssetInfo($A9,HW$1)</f>
        <v/>
      </c>
    </row>
    <row r="10" spans="1:231" s="11" customFormat="1" ht="13.9" customHeight="1" x14ac:dyDescent="0.25">
      <c r="A10" t="s">
        <v>293</v>
      </c>
      <c r="B10" cm="1">
        <f t="array" ref="B10">_xll.ASPortfolioWeights('PBA Summary'!$C$2,"OR",$A10)</f>
        <v>0</v>
      </c>
      <c r="C10" cm="1">
        <f t="array" ref="C10">_xll.ASAssetStatistic($A10,"Annualized Return since inception",,,,"m",_xll.ASAssetInfo($A10,"Start Date"),_xll.ASAssetInfo($A10,"Last Return Date"))</f>
        <v>6.3891652314699954E-2</v>
      </c>
      <c r="D10" cm="1">
        <f t="array" ref="D10">_xll.ASAssetStatistic($A10,"Annualized Return",,,,"m",'PBA Summary'!$F$2,'PBA Summary'!$G$2)</f>
        <v>0.11958362902553232</v>
      </c>
      <c r="E10" s="19" cm="1">
        <f t="array" ref="E10">_xll.ASAssetStatistic($A10,"Equilibrium Annual Return",,,,"m",'PBA Summary'!$F$2,'PBA Summary'!$G$2)</f>
        <v>7.9588723106800652E-2</v>
      </c>
      <c r="F10" cm="1">
        <f t="array" ref="F10">_xll.ASAssetStatistic($A10,"Annualized Volatility (Inception)",,,,"m",_xll.ASAssetInfo($A10,"Start Date"),_xll.ASAssetInfo($A10,"Last Return Date"))</f>
        <v>4.6067138137337732E-2</v>
      </c>
      <c r="G10" cm="1">
        <f t="array" ref="G10">_xll.ASAssetStatistic($A10,"Annualized Volatility",,,,"m",'PBA Summary'!$F$2,'PBA Summary'!$G$2)</f>
        <v>3.1290419545792841E-2</v>
      </c>
      <c r="H10" s="20" cm="1">
        <f t="array" ref="H10">_xll.ASAssetStatistic($A10,"Skewness",,,,"m",'PBA Summary'!$F$2,'PBA Summary'!$G$2)</f>
        <v>-0.25442447359314257</v>
      </c>
      <c r="I10" s="20" cm="1">
        <f t="array" ref="I10">_xll.ASAssetStatistic($A10,"Excess kurtosis",,,,"m",'PBA Summary'!$F$2,'PBA Summary'!$G$2)</f>
        <v>-0.22318230788732615</v>
      </c>
      <c r="J10" s="19" cm="1">
        <f t="array" ref="J10">_xll.ASAssetStatistic($A10,"Return Last 1 month",,,,"m",'PBA Summary'!$F$2,'PBA Summary'!$G$2)</f>
        <v>1.7232763332552192E-2</v>
      </c>
      <c r="K10" s="19" cm="1">
        <f t="array" ref="K10">_xll.ASAssetStatistic($A10,"Return Last 3 months",,,,"m",'PBA Summary'!$F$2,'PBA Summary'!$G$2)</f>
        <v>2.9458944756576511E-2</v>
      </c>
      <c r="L10" s="19" cm="1">
        <f t="array" ref="L10">_xll.ASAssetStatistic($A10,"Return Last 1 year",,,,"m",'PBA Summary'!$F$2,'PBA Summary'!$G$2)</f>
        <v>0.13408604209829678</v>
      </c>
      <c r="M10" s="19" cm="1">
        <f t="array" ref="M10">_xll.ASAssetStatistic($A10,"Year-to-date Return",,,,"m",'PBA Summary'!$F$2,'PBA Summary'!$G$2)</f>
        <v>1.7232763332552192E-2</v>
      </c>
      <c r="N10" s="19" cm="1">
        <f t="array" ref="N10">_xll.ASAssetStatistic($A10,"Annualized Return",,,,"m",EOMONTH('PBA Summary'!$G$2,-2),'PBA Summary'!$G$2)</f>
        <v>0.12314577006773986</v>
      </c>
      <c r="O10" s="19" t="str" cm="1">
        <f t="array" ref="O10">_xll.ASAssetStatistic($A10,"Annualized Return Last 3 years",,,,"m",'PBA Summary'!$F$2,'PBA Summary'!$G$2)</f>
        <v/>
      </c>
      <c r="P10" s="19" t="str" cm="1">
        <f t="array" ref="P10">_xll.ASAssetStatistic($A10,"Annualized Return Last 5 years",,,,"m",'PBA Summary'!$F$2,'PBA Summary'!$G$2)</f>
        <v/>
      </c>
      <c r="Q10" s="19" cm="1">
        <f t="array" ref="Q10">_xll.ASAssetStatistic($A10,"Annualized Volatility Last 1 year",,,,"m",'PBA Summary'!$F$2,'PBA Summary'!$G$2)</f>
        <v>2.8534689786079287E-2</v>
      </c>
      <c r="R10" s="19" t="str" cm="1">
        <f t="array" ref="R10">_xll.ASAssetStatistic($A10,"Annualized Volatility Last 3 years",,,,"m",'PBA Summary'!$F$2,'PBA Summary'!$G$2)</f>
        <v/>
      </c>
      <c r="S10" s="19" t="str" cm="1">
        <f t="array" ref="S10">_xll.ASAssetStatistic($A10,"Annualized Volatility Last 5 years",,,,"m",'PBA Summary'!$F$2,'PBA Summary'!$G$2)</f>
        <v/>
      </c>
      <c r="T10" s="19" cm="1">
        <f t="array" ref="T10">_xll.ASAssetStatistic($A10,"Normal monthly VaR 99%",,,,"m",'PBA Summary'!$F$2,'PBA Summary'!$G$2)</f>
        <v>-1.1518072495030849E-2</v>
      </c>
      <c r="U10" s="19" cm="1">
        <f t="array" ref="U10">_xll.ASAssetStatistic($A10,"Modified monthly VaR 99%",,,,"m",'PBA Summary'!$F$2,'PBA Summary'!$G$2)</f>
        <v>-1.2516590682139053E-2</v>
      </c>
      <c r="V10" s="19" cm="1">
        <f t="array" ref="V10">_xll.ASAssetStatistic($A10,"Conditional monthly VaR 99%",,,,"m",'PBA Summary'!$F$2,'PBA Summary'!$G$2)</f>
        <v>-8.8223334099470918E-3</v>
      </c>
      <c r="W10" s="19" cm="1">
        <f t="array" ref="W10">_xll.ASAssetStatistic($A10,"Normal monthly VaR 97%",,,,"m",'PBA Summary'!$F$2,'PBA Summary'!$G$2)</f>
        <v>-7.4934850380175191E-3</v>
      </c>
      <c r="X10" s="19" cm="1">
        <f t="array" ref="X10">_xll.ASAssetStatistic($A10,"Modified monthly VaR 97%",,,,"m",'PBA Summary'!$F$2,'PBA Summary'!$G$2)</f>
        <v>-8.3170927542321072E-3</v>
      </c>
      <c r="Y10" s="19" cm="1">
        <f t="array" ref="Y10">_xll.ASAssetStatistic($A10,"Conditional monthly VaR 97%",,,,"m",'PBA Summary'!$F$2,'PBA Summary'!$G$2)</f>
        <v>-8.8223334099470918E-3</v>
      </c>
      <c r="Z10" s="19" cm="1">
        <f t="array" ref="Z10">_xll.ASAssetStatistic($A10,"Normal monthly VaR 95%",,,,"m",'PBA Summary'!$F$2,'PBA Summary'!$G$2)</f>
        <v>-5.362294380357218E-3</v>
      </c>
      <c r="AA10" s="19" cm="1">
        <f t="array" ref="AA10">_xll.ASAssetStatistic($A10,"Modified monthly VaR 95%",,,,"m",'PBA Summary'!$F$2,'PBA Summary'!$G$2)</f>
        <v>-6.0452631380024345E-3</v>
      </c>
      <c r="AB10" s="19" cm="1">
        <f t="array" ref="AB10">_xll.ASAssetStatistic($A10,"Conditional monthly VaR 95%",,,,"m",'PBA Summary'!$F$2,'PBA Summary'!$G$2)</f>
        <v>-8.8223334099470918E-3</v>
      </c>
      <c r="AC10" s="66" cm="1">
        <f t="array" ref="AC10">_xll.ASAssetStatistic($A10,"Correlation to Benchmark 1","MSCI ACWI Index",,,"m",'PBA Summary'!$F$2,'PBA Summary'!$G$2)</f>
        <v>0.13698630372625614</v>
      </c>
      <c r="AD10" s="38" cm="1">
        <f t="array" ref="AD10">IF('PBA Summary'!$D$3="","",_xll.ASAssetStatistic($A10,"Correlation to Benchmark 1",'PBA Summary'!$D$3,,,"m",'PBA Summary'!$F$2,'PBA Summary'!$G$2))</f>
        <v>0.18271322181939986</v>
      </c>
      <c r="AE10" s="21" cm="1">
        <f t="array" ref="AE10">IF('PBA Summary'!$D$2="","",_xll.ASAssetStatistic($A10,"Bull correlation to Benchmark 1",'PBA Summary'!$D$2,,,"m",'PBA Summary'!$F$2,'PBA Summary'!$G$2))</f>
        <v>0.64446081154012302</v>
      </c>
      <c r="AF10" s="21" cm="1">
        <f t="array" ref="AF10">IF('PBA Summary'!$D$2="","",_xll.ASAssetStatistic($A10,"Bear correlation to Benchmark 1",'PBA Summary'!$D$2,,,"m",'PBA Summary'!$F$2,'PBA Summary'!$G$2))</f>
        <v>0.81989564094096667</v>
      </c>
      <c r="AG10" s="21" cm="1">
        <f t="array" ref="AG10">IF('PBA Summary'!$D$3="","",_xll.ASAssetStatistic($A10,"Bull correlation to Benchmark 1",'PBA Summary'!$D$3,,,"m",'PBA Summary'!$F$2,'PBA Summary'!$G$2))</f>
        <v>0.64446081154012302</v>
      </c>
      <c r="AH10" s="21" cm="1">
        <f t="array" ref="AH10">IF('PBA Summary'!$D$3="","",_xll.ASAssetStatistic($A10,"Bear correlation to Benchmark 1",'PBA Summary'!$D$3,,,"m",'PBA Summary'!$F$2,'PBA Summary'!$G$2))</f>
        <v>0.81989564094096667</v>
      </c>
      <c r="AI10" s="24" cm="1">
        <f t="array" ref="AI10">IF('PBA Summary'!$D$2="","",_xll.ASAssetStatistic($A10,"Beta to Benchmark 1",'PBA Summary'!$D$2,,,"m",'PBA Summary'!$F$2,'PBA Summary'!$G$2))</f>
        <v>3.7239607451909608E-2</v>
      </c>
      <c r="AJ10" s="24" t="str" cm="1">
        <f t="array" ref="AJ10">IF('PBA Summary'!$D$2="","",_xll.ASAssetStatistic($A10,"Beta to Benchmark 1 Last 3 years",'PBA Summary'!$D$2,,,"m",'PBA Summary'!$F$2,'PBA Summary'!$G$2))</f>
        <v/>
      </c>
      <c r="AK10" s="24" t="str" cm="1">
        <f t="array" ref="AK10">IF('PBA Summary'!$D$2="","",_xll.ASAssetStatistic($A10,"Beta to Benchmark 1 Last 5 years",'PBA Summary'!$D$2,,,"m",'PBA Summary'!$F$2,'PBA Summary'!$G$2))</f>
        <v/>
      </c>
      <c r="AL10" s="25" cm="1">
        <f t="array" ref="AL10">IF('PBA Summary'!$D$3="","",_xll.ASAssetStatistic($A10,"Beta to Benchmark 1",'PBA Summary'!$D$3,,,"m",'PBA Summary'!$F$2,'PBA Summary'!$G$2))</f>
        <v>3.7239607451909608E-2</v>
      </c>
      <c r="AM10" s="25" t="str" cm="1">
        <f t="array" ref="AM10">IF('PBA Summary'!$D$3="","",_xll.ASAssetStatistic($A10,"Beta to Benchmark 1 Last 3 years",'PBA Summary'!$D$3,,,"m",'PBA Summary'!$F$2,'PBA Summary'!$G$2))</f>
        <v/>
      </c>
      <c r="AN10" s="25" t="str" cm="1">
        <f t="array" ref="AN10">IF('PBA Summary'!$D$3="","",_xll.ASAssetStatistic($A10,"Beta to Benchmark 1 Last 5 years",'PBA Summary'!$D$3,,,"m",'PBA Summary'!$F$2,'PBA Summary'!$G$2))</f>
        <v/>
      </c>
      <c r="AO10" s="25" cm="1">
        <f t="array" ref="AO10">IF('PBA Summary'!$D$2="","",_xll.ASAssetStatistic($A10,"Bull Beta to Benchmark 1",'PBA Summary'!$D$2,,,"m",'PBA Summary'!$F$2,'PBA Summary'!$G$2))</f>
        <v>0.27848729287448593</v>
      </c>
      <c r="AP10" s="25" cm="1">
        <f t="array" ref="AP10">IF('PBA Summary'!$D$2="","",_xll.ASAssetStatistic($A10,"Bear Beta to Benchmark 1",'PBA Summary'!$D$2,,,"m",'PBA Summary'!$F$2,'PBA Summary'!$G$2))</f>
        <v>0.15951621586188572</v>
      </c>
      <c r="AQ10" s="25" cm="1">
        <f t="array" ref="AQ10">IF('PBA Summary'!$D$3="","",_xll.ASAssetStatistic($A10,"Bull Beta to Benchmark 1",'PBA Summary'!$D$3,,,"m",'PBA Summary'!$F$2,'PBA Summary'!$G$2))</f>
        <v>0.27848729287448593</v>
      </c>
      <c r="AR10" s="25" cm="1">
        <f t="array" ref="AR10">IF('PBA Summary'!$D$3="","",_xll.ASAssetStatistic($A10,"Bear Beta to Benchmark 1",'PBA Summary'!$D$3,,,"m",'PBA Summary'!$F$2,'PBA Summary'!$G$2))</f>
        <v>0.15951621586188572</v>
      </c>
      <c r="AS10" s="25" cm="1">
        <f t="array" ref="AS10">_xll.ASAssetStatistic($A10,"Annual Sharpe Ratio (Rf)",,,'PBA Summary'!$H$2,"m",'PBA Summary'!$F$2,'PBA Summary'!$G$2)</f>
        <v>3.7418363424045178</v>
      </c>
      <c r="AT10" s="25" t="str" cm="1">
        <f t="array" ref="AT10">_xll.ASAssetStatistic($A10,"Annual Sharpe Ratio (Rf) Last 3 years",,,'PBA Summary'!$H$2,"m",'PBA Summary'!$F$2,'PBA Summary'!$G$2)</f>
        <v/>
      </c>
      <c r="AU10" s="25" t="str" cm="1">
        <f t="array" ref="AU10">_xll.ASAssetStatistic($A10,"Annual Sharpe Ratio (Rf) Last 5 years",,,'PBA Summary'!$H$2,"m",'PBA Summary'!$F$2,'PBA Summary'!$G$2)</f>
        <v/>
      </c>
      <c r="AV10" s="18" cm="1">
        <f t="array" ref="AV10">_xll.ASAssetStatistic($A10,"Ann. Downside Deviation (vs 0%)",,,'PBA Summary'!$H$2,"m",'PBA Summary'!$F$2,'PBA Summary'!$G$2)</f>
        <v>8.1145998025918906E-3</v>
      </c>
      <c r="AW10" s="18" cm="1">
        <f t="array" ref="AW10">_xll.ASAssetStatistic($A10,"Ann. Downside Deviation (vs Rf)",,,'PBA Summary'!$H$2,"m",'PBA Summary'!$F$2,'PBA Summary'!$G$2)</f>
        <v>8.3401289057537503E-3</v>
      </c>
      <c r="AX10" s="39" cm="1">
        <f t="array" ref="AX10">_xll.ASAssetStatistic($A10,"Annual Treynor ratio",,,'PBA Summary'!$H$2,"m",'PBA Summary'!$F$2,'PBA Summary'!$G$2)</f>
        <v>0.13896844860249069</v>
      </c>
      <c r="AY10" s="26" cm="1">
        <f t="array" ref="AY10">_xll.ASAssetStatistic($A10,"Annual Sortino Ratio (vs 0%)",,,'PBA Summary'!$H$2,"m",'PBA Summary'!$F$2,'PBA Summary'!$G$2)</f>
        <v>14.736848635139841</v>
      </c>
      <c r="AZ10" s="26" cm="1">
        <f t="array" ref="AZ10">_xll.ASAssetStatistic($A10,"Annual Sortino Ratio (vs Rf)",,,'PBA Summary'!$H$2,"m",'PBA Summary'!$F$2,'PBA Summary'!$G$2)</f>
        <v>14.038587454536559</v>
      </c>
      <c r="BA10" s="26" cm="1">
        <f t="array" ref="BA10">_xll.ASAssetStatistic($A10,"Sterling ratio",,,'PBA Summary'!$H$2,"m",'PBA Summary'!$F$2,'PBA Summary'!$G$2)</f>
        <v>1.1710638044750068</v>
      </c>
      <c r="BB10" s="26" cm="1">
        <f t="array" ref="BB10">_xll.ASAssetStatistic($A10,"Calmar ratio",,,'PBA Summary'!$H$2,"m",'PBA Summary'!$F$2,'PBA Summary'!$G$2)</f>
        <v>13.554648579785365</v>
      </c>
      <c r="BC10" s="26" cm="1">
        <f t="array" ref="BC10">_xll.ASAssetStatistic($A10,"Hurst index",,,'PBA Summary'!$H$2,"m",'PBA Summary'!$F$2,'PBA Summary'!$G$2)</f>
        <v>0.53999984023188197</v>
      </c>
      <c r="BD10" s="26" cm="1">
        <f t="array" ref="BD10">_xll.ASAssetStatistic($A10,"Omega (Threshold 1)",,,'PBA Summary'!$H$2,"m",'PBA Summary'!$F$2,'PBA Summary'!$G$2)</f>
        <v>14.021845535065326</v>
      </c>
      <c r="BE10" s="26" cm="1">
        <f t="array" ref="BE10">_xll.ASAssetStatistic($A10,"Omega (Threshold 2)",,,'PBA Summary'!$H$2,"m",'PBA Summary'!$F$2,'PBA Summary'!$G$2)</f>
        <v>3.6627048890027099</v>
      </c>
      <c r="BF10" s="26" cm="1">
        <f t="array" ref="BF10">_xll.ASAssetStatistic($A10,"Omega (Threshold 3)",,,'PBA Summary'!$H$2,"m",'PBA Summary'!$F$2,'PBA Summary'!$G$2)</f>
        <v>0.86858456170911358</v>
      </c>
      <c r="BG10" s="26" cm="1">
        <f t="array" ref="BG10">_xll.ASAssetStatistic($A10,"Omega (Threshold 4)",,,'PBA Summary'!$H$2,"m",'PBA Summary'!$F$2,'PBA Summary'!$G$2)</f>
        <v>0.20620661945145952</v>
      </c>
      <c r="BH10" s="26" cm="1">
        <f t="array" ref="BH10">_xll.ASAssetStatistic($A10,"Omega (Threshold 5)",,,'PBA Summary'!$H$2,"m",'PBA Summary'!$F$2,'PBA Summary'!$G$2)</f>
        <v>3.7324318889878833E-2</v>
      </c>
      <c r="BI10" s="26" t="str" cm="1">
        <f t="array" ref="BI10">_xll.ASAssetStatistic($A10,"Autocorrelated (illiquid)",,,'PBA Summary'!$H$2,"m",'PBA Summary'!$F$2,'PBA Summary'!$G$2)</f>
        <v>Yes</v>
      </c>
      <c r="BJ10" s="27" cm="1">
        <f t="array" ref="BJ10">_xll.ASAssetStatistic($A10,"% months in Run Up",,,'PBA Summary'!$H$2,"m",'PBA Summary'!$F$2,'PBA Summary'!$G$2)</f>
        <v>0.8666666666666667</v>
      </c>
      <c r="BK10" s="27" cm="1">
        <f t="array" ref="BK10">_xll.ASAssetStatistic($A10,"% months in Drawdown",,,'PBA Summary'!$H$2,"m",'PBA Summary'!$F$2,'PBA Summary'!$G$2)</f>
        <v>0.13333333333333333</v>
      </c>
      <c r="BL10" s="18" cm="1">
        <f t="array" ref="BL10">IF('PBA Summary'!$D$2="","",_xll.ASAssetStatistic($A10,"Bull Beta to Benchmark 1",'PBA Summary'!$D$2,,,"m",'PBA Summary'!$F$2,'PBA Summary'!$G$2))</f>
        <v>0.27848729287448593</v>
      </c>
      <c r="BM10" s="18" cm="1">
        <f t="array" ref="BM10">IF('PBA Summary'!$D$2="","",_xll.ASAssetStatistic($A10,"Average return during bear Benchmark 1",'PBA Summary'!$D$2,,,"m",'PBA Summary'!$F$2,'PBA Summary'!$G$2))</f>
        <v>1.3083534965924903E-2</v>
      </c>
      <c r="BN10" s="18" cm="1">
        <f t="array" ref="BN10">IF('PBA Summary'!$D$3="","",_xll.ASAssetStatistic($A10,"Average return during bull Benchmark 1",'PBA Summary'!$D$3,,,"m",'PBA Summary'!$F$2,'PBA Summary'!$G$2))</f>
        <v>8.1904650001878194E-3</v>
      </c>
      <c r="BO10" s="18" cm="1">
        <f t="array" ref="BO10">IF('PBA Summary'!$D$3="","",_xll.ASAssetStatistic($A10,"Average return during bear Benchmark 1",'PBA Summary'!$D$3,,,"m",'PBA Summary'!$F$2,'PBA Summary'!$G$2))</f>
        <v>1.3083534965924903E-2</v>
      </c>
      <c r="BP10" s="27" cm="1">
        <f t="array" ref="BP10">_xll.ASAssetStatistic($A10,"Maximum consecutive gain",,,'PBA Summary'!$H$2,"m",'PBA Summary'!$F$2,'PBA Summary'!$G$2)</f>
        <v>0.12991866148192943</v>
      </c>
      <c r="BQ10" s="27" cm="1">
        <f t="array" ref="BQ10">_xll.ASAssetStatistic($A10,"Maximum consecutive loss",,,'PBA Summary'!$H$2,"m",'PBA Summary'!$F$2,'PBA Summary'!$G$2)</f>
        <v>-8.8223334099470918E-3</v>
      </c>
      <c r="BR10" s="27" cm="1">
        <f t="array" ref="BR10">_xll.ASAssetStatistic($A10,"Max monthly gain",,,'PBA Summary'!$H$2,"m",'PBA Summary'!$F$2,'PBA Summary'!$G$2)</f>
        <v>2.3830538393645018E-2</v>
      </c>
      <c r="BS10" s="27" cm="1">
        <f t="array" ref="BS10">_xll.ASAssetStatistic($A10,"Max monthly loss",,,'PBA Summary'!$H$2,"m",'PBA Summary'!$F$2,'PBA Summary'!$G$2)</f>
        <v>-8.8223334099470918E-3</v>
      </c>
      <c r="BT10" s="27" cm="1">
        <f t="array" ref="BT10">_xll.ASAssetStatistic($A10,"Max drawdown",,,'PBA Summary'!$H$2,"m",'PBA Summary'!$F$2,'PBA Summary'!$G$2)</f>
        <v>-8.8223334099470918E-3</v>
      </c>
      <c r="BU10" s="28" cm="1">
        <f t="array" ref="BU10">_xll.ASAssetStatistic($A10,"Date Max drawdown",,,'PBA Summary'!$H$2,"m",'PBA Summary'!$F$2,'PBA Summary'!$G$2)</f>
        <v>43434</v>
      </c>
      <c r="BV10" s="28" cm="1">
        <f t="array" ref="BV10">_xll.ASAssetStatistic($A10,"Start Date Max Drawdown",,,'PBA Summary'!$H$2,"m",'PBA Summary'!$F$2,'PBA Summary'!$G$2)</f>
        <v>43434</v>
      </c>
      <c r="BW10" s="28" cm="1">
        <f t="array" ref="BW10">_xll.ASAssetStatistic($A10,"End Date Max Drawdown",,,'PBA Summary'!$H$2,"m",'PBA Summary'!$F$2,'PBA Summary'!$G$2)</f>
        <v>43465</v>
      </c>
      <c r="BX10" s="29" cm="1">
        <f t="array" ref="BX10">_xll.ASAssetStatistic($A10,"Max Time-under-water (months)",,,'PBA Summary'!$H$2,"m",'PBA Summary'!$F$2,'PBA Summary'!$G$2)</f>
        <v>2</v>
      </c>
      <c r="BY10" s="27" cm="1">
        <f t="array" ref="BY10">_xll.ASAssetStatistic($A10,"Max possible drawdown 99%",,,'PBA Summary'!$H$2,"m",'PBA Summary'!$F$2,'PBA Summary'!$G$2)</f>
        <v>-1.1625801627404713E-2</v>
      </c>
      <c r="BZ10" s="27" cm="1">
        <f t="array" ref="BZ10">_xll.ASAssetStatistic($A10,"Max possible drawdown 99.9%",,,'PBA Summary'!$H$2,"m",'PBA Summary'!$F$2,'PBA Summary'!$G$2)</f>
        <v>-2.0514259686161863E-2</v>
      </c>
      <c r="CA10" s="30" cm="1">
        <f t="array" ref="CA10">_xll.ASAssetStatistic($A10,"Max Possible Time-under-water 99% (months)",,,'PBA Summary'!$H$2,"m",'PBA Summary'!$F$2,'PBA Summary'!$G$2)</f>
        <v>4.8975057708593388</v>
      </c>
      <c r="CB10" s="30" cm="1">
        <f t="array" ref="CB10">_xll.ASAssetStatistic($A10,"Max Possible Time-under-water 99.9% (months)",,,'PBA Summary'!$H$2,"m",'PBA Summary'!$F$2,'PBA Summary'!$G$2)</f>
        <v>8.6418733449792207</v>
      </c>
      <c r="CC10" s="17" cm="1">
        <f t="array" ref="CC10">_xll.ASPortfolioReturnAttribution('PBA Summary'!$C$2,"OR",A10,"Last 1m",'PBA Summary'!$F$2,'PBA Summary'!$G$2)</f>
        <v>0</v>
      </c>
      <c r="CD10" s="11" t="str" cm="1">
        <f t="array" ref="CD10">_xll.ASAssetInfo($A10,"Strategy")</f>
        <v>Funds - Credit Long Only</v>
      </c>
      <c r="CE10" s="14" cm="1">
        <f t="array" ref="CE10">_xll.ASAssetInfo($A10,"Start Date")</f>
        <v>41121</v>
      </c>
      <c r="CF10" s="14" t="str" cm="1">
        <f t="array" ref="CF10">_xll.ASAssetRatings($A10,"Quantitative",0,0,0,0,0,'PBA Summary'!$F$2,'PBA Summary'!$G$2)</f>
        <v/>
      </c>
      <c r="CG10" s="14" t="str" cm="1">
        <f t="array" ref="CG10">_xll.ASAssetRatings($A10,"Qualitative",0,0,0,0,0,'PBA Summary'!$F$2,'PBA Summary'!$G$2)</f>
        <v/>
      </c>
      <c r="CH10" s="14" t="str" cm="1">
        <f t="array" ref="CH10">_xll.ASAssetRatings($A10,"Final",0,0,0,0,0,'PBA Summary'!$F$2,'PBA Summary'!$G$2)</f>
        <v/>
      </c>
      <c r="CI10" s="14" cm="1">
        <f t="array" ref="CI10">_xll.ASAssetInfo($A10,"Last Return Date")</f>
        <v>44135</v>
      </c>
      <c r="CJ10" s="14" t="str" cm="1">
        <f t="array" ref="CJ10">_xll.ASAssetInfo($A10,"Company Name")</f>
        <v>Baillie Gifford Worldwide Fund</v>
      </c>
      <c r="CK10" s="14" t="str" cm="1">
        <f t="array" ref="CK10">_xll.ASAssetInfo($A10,"Manager Name")</f>
        <v/>
      </c>
      <c r="CL10" s="14" t="str" cm="1">
        <f t="array" ref="CL10">_xll.ASAssetInfo($A10,"Address")</f>
        <v>Baillie Gifford Overseas Ltd. Calton Square. 1 Greenside Row. Edinburgh EH1 3AN. United Kingdom</v>
      </c>
      <c r="CM10" s="14" t="str" cm="1">
        <f t="array" ref="CM10">_xll.ASAssetInfo($A10,"Phone Number")</f>
        <v/>
      </c>
      <c r="CN10" s="14" t="str" cm="1">
        <f t="array" ref="CN10">_xll.ASAssetInfo($A10,"Email")</f>
        <v/>
      </c>
      <c r="CO10" s="14" t="str" cm="1">
        <f t="array" ref="CO10">_xll.ASAssetInfo($A10,"Asset Type")</f>
        <v>Fixed Income</v>
      </c>
      <c r="CP10" s="14" t="str" cm="1">
        <f t="array" ref="CP10">_xll.ASAssetInfo($A10,"Proprietary ID")</f>
        <v/>
      </c>
      <c r="CQ10" s="14" t="str" cm="1">
        <f t="array" ref="CQ10">_xll.ASAssetInfo($A10,"Country")</f>
        <v>Ireland</v>
      </c>
      <c r="CR10" s="14" t="str" cm="1">
        <f t="array" ref="CR10">_xll.ASAssetInfo($A10,"Currency")</f>
        <v>USD</v>
      </c>
      <c r="CS10" s="14" t="str" cm="1">
        <f t="array" ref="CS10">_xll.ASAssetInfo($A10,"Sub-Strategy")</f>
        <v>Investment Grade</v>
      </c>
      <c r="CT10" s="31" cm="1">
        <f t="array" ref="CT10">_xll.ASAssetInfo($A10,"Fund AUM (m)")</f>
        <v>405.34179999999998</v>
      </c>
      <c r="CU10" s="31" t="str" cm="1">
        <f t="array" ref="CU10">_xll.ASAssetInfo($A10,"Status")</f>
        <v>Unknown</v>
      </c>
      <c r="CV10" s="31" t="str" cm="1">
        <f t="array" ref="CV10">_xll.ASAssetInfo($A10,"Redemption 1 Frequency")</f>
        <v>Daily</v>
      </c>
      <c r="CW10" s="31" t="str" cm="1">
        <f t="array" ref="CW10">_xll.ASAssetInfo($A10,"Redemption 2 Frequency")</f>
        <v>Unknown</v>
      </c>
      <c r="CX10" s="31" t="str" cm="1">
        <f t="array" ref="CX10">_xll.ASAssetInfo($A10,"Redemption 3 Frequency")</f>
        <v>Unknown</v>
      </c>
      <c r="CY10" s="31" t="str" cm="1">
        <f t="array" ref="CY10">_xll.ASAssetInfo($A10,"Notice Period")</f>
        <v/>
      </c>
      <c r="CZ10" s="15" t="str" cm="1">
        <f t="array" ref="CZ10">_xll.ASAssetInfo($A10,"Performance Fee")</f>
        <v/>
      </c>
      <c r="DA10" s="15" cm="1">
        <f t="array" ref="DA10">_xll.ASAssetInfo($A10,"Management Fee")</f>
        <v>4.5000000000000005E-3</v>
      </c>
      <c r="DB10" s="15" t="str" cm="1">
        <f t="array" ref="DB10">_xll.ASAssetInfo($A10,"ISIN")</f>
        <v>IE00BYM6HL37</v>
      </c>
      <c r="DC10" s="16" cm="1">
        <f t="array" ref="DC10">_xll.ASAssetStatistic($A10,"Return during " &amp;YEAR(EOMONTH('PBA Summary'!$G$2,-60)),,,,"M",DATE(YEAR(EOMONTH('PBA Summary'!$G$2,-60)),1,31),DATE(YEAR(EOMONTH('PBA Summary'!$G$2,-60)),12,31))</f>
        <v>-1.07617065118637E-4</v>
      </c>
      <c r="DD10" s="16" cm="1">
        <f t="array" ref="DD10">_xll.ASAssetStatistic($A10,"Return during " &amp;YEAR(EOMONTH('PBA Summary'!$G$2,-48)),,,,"M",DATE(YEAR(EOMONTH('PBA Summary'!$G$2,-48)),1,31),DATE(YEAR(EOMONTH('PBA Summary'!$G$2,-48)),12,31))</f>
        <v>8.3772027886743539E-2</v>
      </c>
      <c r="DE10" s="16" cm="1">
        <f t="array" ref="DE10">_xll.ASAssetStatistic($A10,"Return during " &amp;YEAR(EOMONTH('PBA Summary'!$G$2,-36)),,,,"M",DATE(YEAR(EOMONTH('PBA Summary'!$G$2,-36)),1,31),DATE(YEAR(EOMONTH('PBA Summary'!$G$2,-36)),12,31))</f>
        <v>7.7127933909095781E-2</v>
      </c>
      <c r="DF10" s="16" cm="1">
        <f t="array" ref="DF10">_xll.ASAssetStatistic($A10,"Return during " &amp;YEAR(EOMONTH('PBA Summary'!$G$2,-24)),,,,"M",DATE(YEAR(EOMONTH('PBA Summary'!$G$2,-24)),1,31),DATE(YEAR(EOMONTH('PBA Summary'!$G$2,-24)),12,31))</f>
        <v>-1.5861960893563065E-2</v>
      </c>
      <c r="DG10" s="16" cm="1">
        <f t="array" ref="DG10">_xll.ASAssetStatistic($A10,"Return during " &amp;YEAR(EOMONTH('PBA Summary'!$G$2,-12)),,,,"M",DATE(YEAR(EOMONTH('PBA Summary'!$G$2,-12)),1,31),DATE(YEAR(EOMONTH('PBA Summary'!$G$2,-12)),12,31))</f>
        <v>0.13292169420756372</v>
      </c>
      <c r="DH10" s="11" t="str" cm="1">
        <f t="array" ref="DH10">_xll.ASAssetInfo($A10,"Prime Broker")</f>
        <v/>
      </c>
      <c r="DI10" s="16" cm="1">
        <f t="array" ref="DI10">_xll.ASAssetStatistic($A10,"Return",,,,"m",'PBA Summary'!$F$2,'PBA Summary'!$G$2)</f>
        <v>0.15165043050865168</v>
      </c>
      <c r="DJ10" s="33" cm="1">
        <f t="array" ref="DJ10">IF('PBA Summary'!$D$2="","",_xll.ASAssetStatistic($A10,"Ann. Information Ratio vs Benchmark 1",'PBA Summary'!$D$2,,,"m",'PBA Summary'!$F$2,'PBA Summary'!$G$2))</f>
        <v>-0.34925599746982816</v>
      </c>
      <c r="DK10" s="33" cm="1">
        <f t="array" ref="DK10">IF('PBA Summary'!$D$3="","",_xll.ASAssetStatistic($A10,"Ann. Information Ratio vs Benchmark 1",'PBA Summary'!$D$3,,,"m",'PBA Summary'!$F$2,'PBA Summary'!$G$2))</f>
        <v>-0.34925599746982816</v>
      </c>
      <c r="DL10" s="33" cm="1">
        <f t="array" ref="DL10">IF('PBA Summary'!$D$2="","",_xll.ASAssetStatistic($A10,"Ann. Tracking Error vs Benchmark 1",'PBA Summary'!$D$2,,,"m",'PBA Summary'!$F$2,'PBA Summary'!$G$2))</f>
        <v>0.15097437290447704</v>
      </c>
      <c r="DM10" s="33" cm="1">
        <f t="array" ref="DM10">IF('PBA Summary'!$D$3="","",_xll.ASAssetStatistic($A10,"Ann. Tracking Error vs Benchmark 1",'PBA Summary'!$D$3,,,"m",'PBA Summary'!$F$2,'PBA Summary'!$G$2))</f>
        <v>0.15097437290447704</v>
      </c>
      <c r="DN10" s="33" cm="1">
        <f t="array" ref="DN10">IF('PBA Summary'!$D$2="","",_xll.ASAssetStatistic($A10,"R² vs Benchmark 1",'PBA Summary'!$D$2,,,"m",'PBA Summary'!$F$2,'PBA Summary'!$G$2))</f>
        <v>3.3384121427625216E-2</v>
      </c>
      <c r="DO10" s="33" cm="1">
        <f t="array" ref="DO10">IF('PBA Summary'!$D$3="","",_xll.ASAssetStatistic($A10,"R² vs Benchmark 1",'PBA Summary'!$D$3,,,"m",'PBA Summary'!$F$2,'PBA Summary'!$G$2))</f>
        <v>3.3384121427625216E-2</v>
      </c>
      <c r="DP10" s="11" t="str" cm="1">
        <f t="array" ref="DP10">_xll.ASAssetInfo($A10,"On-/Offshore")</f>
        <v>Unknown</v>
      </c>
      <c r="DQ10" s="16" cm="1">
        <f t="array" ref="DQ10">_xll.ASAssetStatistic($A10,"Quarter-to-date",,,,"m",'PBA Summary'!$F$2,'PBA Summary'!$G$2)</f>
        <v>1.7232763332552192E-2</v>
      </c>
      <c r="DR10" s="16" cm="1">
        <f t="array" ref="DR10">_xll.ASAssetStatistic($A10,"Annualized Return Since inception",,,,"m",'PBA Summary'!$F$2,'PBA Summary'!$G$2)</f>
        <v>6.3891652314699954E-2</v>
      </c>
      <c r="DS10" s="16" cm="1">
        <f t="array" ref="DS10">IF('PBA Summary'!$D$2="","",_xll.ASAssetStatistic($A10,"Ann. Bear Market Return vs Benchmark 1",'PBA Summary'!$D$2,,,"m",'PBA Summary'!$F$2,'PBA Summary'!$G$2))</f>
        <v>0.16847100702039586</v>
      </c>
      <c r="DT10" s="16" cm="1">
        <f t="array" ref="DT10">IF('PBA Summary'!$D$2="","",_xll.ASAssetStatistic($A10,"Ann. Bull Market Return vs Benchmark 1",'PBA Summary'!$D$2,,,"m",'PBA Summary'!$F$2,'PBA Summary'!$G$2))</f>
        <v>0.10231810089202975</v>
      </c>
      <c r="DU10" s="16" cm="1">
        <f t="array" ref="DU10">IF('PBA Summary'!$D$3="","",_xll.ASAssetStatistic($A10,"Ann. Bear Market Return vs Benchmark 1",'PBA Summary'!$D$3,,,"m",'PBA Summary'!$F$2,'PBA Summary'!$G$2))</f>
        <v>0.16847100702039586</v>
      </c>
      <c r="DV10" s="16" cm="1">
        <f t="array" ref="DV10">IF('PBA Summary'!$D$3="","",_xll.ASAssetStatistic($A10,"Ann. Bull Market Return vs Benchmark 1",'PBA Summary'!$D$3,,,"m",'PBA Summary'!$F$2,'PBA Summary'!$G$2))</f>
        <v>0.10231810089202975</v>
      </c>
      <c r="DW10" s="17" cm="1">
        <f t="array" ref="DW10">_xll.ASAssetStatistic($A10,"Average Positive Return",,,,"m",'PBA Summary'!$F$2,'PBA Summary'!$G$2)</f>
        <v>1.1797459336397762E-2</v>
      </c>
      <c r="DX10" s="17" cm="1">
        <f t="array" ref="DX10">_xll.ASAssetStatistic($A10,"Average Negative Return",,,,"m",'PBA Summary'!$F$2,'PBA Summary'!$G$2)</f>
        <v>-5.4688582537026353E-3</v>
      </c>
      <c r="DY10" s="16" cm="1">
        <f t="array" ref="DY10">IF('PBA Summary'!$D$2="","",_xll.ASAssetStatistic($A10,"Outperformance vs Benchmark 1",'PBA Summary'!$D$2,,,"m",'PBA Summary'!$F$2,'PBA Summary'!$G$2))</f>
        <v>-6.8193214300066973E-2</v>
      </c>
      <c r="DZ10" s="16" cm="1">
        <f t="array" ref="DZ10">IF('PBA Summary'!$D$3="","",_xll.ASAssetStatistic($A10,"Outperformance vs Benchmark 1",'PBA Summary'!$D$3,,,"m",'PBA Summary'!$F$2,'PBA Summary'!$G$2))</f>
        <v>-6.8193214300066973E-2</v>
      </c>
      <c r="EA10" s="16" cm="1">
        <f t="array" ref="EA10">IF('PBA Summary'!$D$2="","",_xll.ASAssetStatistic($A10,"Annual Outperformance vs Benchmark 1",'PBA Summary'!$D$2,,,"m",'PBA Summary'!$F$2,'PBA Summary'!$G$2))</f>
        <v>-5.2728705201134929E-2</v>
      </c>
      <c r="EB10" s="16" cm="1">
        <f t="array" ref="EB10">IF('PBA Summary'!$D$3="","",_xll.ASAssetStatistic($A10,"Annual Outperformance vs Benchmark 1",'PBA Summary'!$D$3,,,"m",'PBA Summary'!$F$2,'PBA Summary'!$G$2))</f>
        <v>-5.2728705201134929E-2</v>
      </c>
      <c r="EC10" s="32" cm="1">
        <f t="array" ref="EC10">_xll.ASAssetStatistic($A10,"Rachev Ratio 99%",,,,"m",'PBA Summary'!$F$2,'PBA Summary'!$G$2)</f>
        <v>-2.7011604851360898</v>
      </c>
      <c r="ED10" s="32" cm="1">
        <f t="array" ref="ED10">_xll.ASAssetStatistic($A10,"Rachev Ratio 97%",,,,"m",'PBA Summary'!$F$2,'PBA Summary'!$G$2)</f>
        <v>-2.7011604851360898</v>
      </c>
      <c r="EE10" s="32" cm="1">
        <f t="array" ref="EE10">_xll.ASAssetStatistic($A10,"Rachev Ratio 95%",,,,"m",'PBA Summary'!$F$2,'PBA Summary'!$G$2)</f>
        <v>-2.7011604851360898</v>
      </c>
      <c r="EF10" s="32" cm="1">
        <f t="array" ref="EF10">_xll.ASAssetStatistic($A10,"Rachev Ratio 90%",,,,"m",'PBA Summary'!$F$2,'PBA Summary'!$G$2)</f>
        <v>-4.2156188710320146</v>
      </c>
      <c r="EG10" s="34" cm="1">
        <f t="array" ref="EG10">IF('PBA Summary'!$D$2="","",_xll.ASAssetStatistic($A10,"Annual Up Capture vs Benchmark 1",'PBA Summary'!$D$2,,,"m",'PBA Summary'!$F$2,'PBA Summary'!$G$2))</f>
        <v>0.20212665120448428</v>
      </c>
      <c r="EH10" s="34" cm="1">
        <f t="array" ref="EH10">IF('PBA Summary'!$D$3="","",_xll.ASAssetStatistic($A10,"Annual Up Capture vs Benchmark 1",'PBA Summary'!$D$3,,,"m",'PBA Summary'!$F$2,'PBA Summary'!$G$2))</f>
        <v>0.20212665120448428</v>
      </c>
      <c r="EI10" s="34" cm="1">
        <f t="array" ref="EI10">IF('PBA Summary'!$D$2="","",_xll.ASAssetStatistic($A10,"Annual Down Capture vs Benchmark 1",'PBA Summary'!$D$2,,,"m",'PBA Summary'!$F$2,'PBA Summary'!$G$2))</f>
        <v>-0.40938351355814162</v>
      </c>
      <c r="EJ10" s="34" cm="1">
        <f t="array" ref="EJ10">IF('PBA Summary'!$D$3="","",_xll.ASAssetStatistic($A10,"Annual Down Capture vs Benchmark 1",'PBA Summary'!$D$3,,,"m",'PBA Summary'!$F$2,'PBA Summary'!$G$2))</f>
        <v>-0.40938351355814162</v>
      </c>
      <c r="EK10" s="16" cm="1">
        <f t="array" ref="EK10">IF('PBA Summary'!$D$2="","",_xll.ASAssetStatistic($A10,"Ann. Tracking Error vs Benchmark 1",'PBA Summary'!$D$2,,,"m",'PBA Summary'!$F$2,'PBA Summary'!$G$2))</f>
        <v>0.15097437290447704</v>
      </c>
      <c r="EL10" s="16" cm="1">
        <f t="array" ref="EL10">IF('PBA Summary'!$D$3="","",_xll.ASAssetStatistic($A10,"Ann. Tracking Error vs Benchmark 1",'PBA Summary'!$D$3,,,"m",'PBA Summary'!$F$2,'PBA Summary'!$G$2))</f>
        <v>0.15097437290447704</v>
      </c>
      <c r="EM10" s="16" cm="1">
        <f t="array" ref="EM10">IF('PBA Summary'!$D$2="","",_xll.ASAssetStatistic($A10,"Annual Jensen Alpha vs Benchmark 1 (Rf)",'PBA Summary'!$D$2,,,"m",'PBA Summary'!$F$2,'PBA Summary'!$G$2))</f>
        <v>0.11075988435843875</v>
      </c>
      <c r="EN10" s="16" cm="1">
        <f t="array" ref="EN10">IF('PBA Summary'!$D$3="","",_xll.ASAssetStatistic($A10,"Annual Jensen Alpha vs Benchmark 1 (Rf)",'PBA Summary'!$D$3,,,"m",'PBA Summary'!$F$2,'PBA Summary'!$G$2))</f>
        <v>0.11075988435843875</v>
      </c>
      <c r="EO10" s="33" cm="1">
        <f t="array" ref="EO10">IF('PBA Summary'!$D$2="","",_xll.ASAssetStatistic($A10,"Ann. Information Ratio vs Benchmark 1",'PBA Summary'!$D$2,,,"m",'PBA Summary'!$F$2,'PBA Summary'!$G$2))</f>
        <v>-0.34925599746982816</v>
      </c>
      <c r="EP10" s="33" cm="1">
        <f t="array" ref="EP10">IF('PBA Summary'!$D$3="","",_xll.ASAssetStatistic($A10,"Ann. Information Ratio vs Benchmark 1",'PBA Summary'!$D$3,,,"m",'PBA Summary'!$F$2,'PBA Summary'!$G$2))</f>
        <v>-0.34925599746982816</v>
      </c>
      <c r="EQ10" s="17" cm="1">
        <f t="array" ref="EQ10">IF('PBA Summary'!$D$2="","",_xll.ASAssetStatistic($A10,"Alpha Monthly vs Benchmark 1",'PBA Summary'!$D$2,,,"m",'PBA Summary'!$F$2,'PBA Summary'!$G$2))</f>
        <v>8.9639684182776722E-3</v>
      </c>
      <c r="ER10" s="17" cm="1">
        <f t="array" ref="ER10">IF('PBA Summary'!$D$3="","",_xll.ASAssetStatistic($A10,"Alpha Monthly vs Benchmark 1",'PBA Summary'!$D$3,,,"m",'PBA Summary'!$F$2,'PBA Summary'!$G$2))</f>
        <v>8.9639684182776722E-3</v>
      </c>
      <c r="ES10" s="11" t="str" cm="1">
        <f t="array" ref="ES10">_xll.ASAssetInfo($A10,"Company AUM (m)")</f>
        <v/>
      </c>
      <c r="ET10" s="16" cm="1">
        <f t="array" ref="ET10">_xll.ASAssetStatistic($A10,"Exponential Annualized Volatility",,,,"m",'PBA Summary'!$F$2,'PBA Summary'!$G$2)</f>
        <v>2.9907455693638212E-2</v>
      </c>
      <c r="EU10" s="16" cm="1">
        <f t="array" ref="EU10">_xll.ASAssetStatistic($A10,"Exponential Annualized Volatility Last 1 year",,,,"m",'PBA Summary'!$F$2,'PBA Summary'!$G$2)</f>
        <v>2.8928851433511683E-2</v>
      </c>
      <c r="EV10" s="16" t="str" cm="1">
        <f t="array" ref="EV10">_xll.ASAssetStatistic($A10,"Exponential Annualized Volatility Last 3 years",,,,"m",'PBA Summary'!$F$2,'PBA Summary'!$G$2)</f>
        <v/>
      </c>
      <c r="EW10" s="34" cm="1">
        <f t="array" ref="EW10">IF('PBA Summary'!$D$2="","",_xll.ASAssetStatistic($A10,"Exponential Correlation to Benchmark 1",'PBA Summary'!$D$2,,,"m",'PBA Summary'!$F$2,'PBA Summary'!$G$2))</f>
        <v>7.4753580422732571E-2</v>
      </c>
      <c r="EX10" s="34" cm="1">
        <f t="array" ref="EX10">IF('PBA Summary'!$D$3="","",_xll.ASAssetStatistic($A10,"Exponential Correlation to Benchmark 1",'PBA Summary'!$D$3,,,"m",'PBA Summary'!$F$2,'PBA Summary'!$G$2))</f>
        <v>7.4753580422732571E-2</v>
      </c>
      <c r="EY10" s="34" cm="1">
        <f t="array" ref="EY10">_xll.ASAssetStatistic($A10,"Exponential Annual Sharpe Ratio (Rf)",,,,"m",'PBA Summary'!$F$2,'PBA Summary'!$G$2)</f>
        <v>3.9655097832660111</v>
      </c>
      <c r="EZ10" s="34" cm="1">
        <f t="array" ref="EZ10">_xll.ASAssetStatistic($A10,"Exponential Normal Monthly VaR 99%",,,,"m",'PBA Summary'!$F$2,'PBA Summary'!$G$2)</f>
        <v>-1.0513363973477652E-2</v>
      </c>
      <c r="FA10" s="34" cm="1">
        <f t="array" ref="FA10">_xll.ASAssetStatistic($A10,"Exponential Normal Monthly VaR 97%",,,,"m",'PBA Summary'!$F$2,'PBA Summary'!$G$2)</f>
        <v>-6.6666539324171156E-3</v>
      </c>
      <c r="FB10" s="34" cm="1">
        <f t="array" ref="FB10">_xll.ASAssetStatistic($A10,"Exponential Normal Monthly VaR 95%",,,,"m",'PBA Summary'!$F$2,'PBA Summary'!$G$2)</f>
        <v>-4.6296569507885601E-3</v>
      </c>
      <c r="FC10" s="34" cm="1">
        <f t="array" ref="FC10">_xll.ASAssetStatistic($A10,"Exponential Normal Monthly VaR 90%",,,,"m",'PBA Summary'!$F$2,'PBA Summary'!$G$2)</f>
        <v>-1.4930745083299949E-3</v>
      </c>
      <c r="FD10" s="34" t="str" cm="1">
        <f t="array" ref="FD10">_xll.ASAssetStatistic($A10,"Exponential Normal weekly VaR 99%",,,,"m",'PBA Summary'!$F$2,'PBA Summary'!$G$2)</f>
        <v/>
      </c>
      <c r="FE10" s="34" t="str" cm="1">
        <f t="array" ref="FE10">_xll.ASAssetStatistic($A10,"Exponential Normal weekly VaR 97%",,,,"m",'PBA Summary'!$F$2,'PBA Summary'!$G$2)</f>
        <v/>
      </c>
      <c r="FF10" s="34" t="str" cm="1">
        <f t="array" ref="FF10">_xll.ASAssetStatistic($A10,"Exponential Normal weekly VaR 95%",,,,"m",'PBA Summary'!$F$2,'PBA Summary'!$G$2)</f>
        <v/>
      </c>
      <c r="FG10" s="34" t="str" cm="1">
        <f t="array" ref="FG10">_xll.ASAssetStatistic($A10,"Exponential Normal weekly VaR 90%",,,,"m",'PBA Summary'!$F$2,'PBA Summary'!$G$2)</f>
        <v/>
      </c>
      <c r="FH10" s="34" t="str" cm="1">
        <f t="array" ref="FH10">_xll.ASAssetStatistic($A10,"Exponential Normal daily VaR 99%",,,,"m",'PBA Summary'!$F$2,'PBA Summary'!$G$2)</f>
        <v/>
      </c>
      <c r="FI10" s="34" t="str" cm="1">
        <f t="array" ref="FI10">_xll.ASAssetStatistic($A10,"Exponential Normal daily VaR 97%",,,,"m",'PBA Summary'!$F$2,'PBA Summary'!$G$2)</f>
        <v/>
      </c>
      <c r="FJ10" s="34" t="str" cm="1">
        <f t="array" ref="FJ10">_xll.ASAssetStatistic($A10,"Exponential Normal daily VaR 95%",,,,"m",'PBA Summary'!$F$2,'PBA Summary'!$G$2)</f>
        <v/>
      </c>
      <c r="FK10" s="34" t="str" cm="1">
        <f t="array" ref="FK10">_xll.ASAssetStatistic($A10,"Exponential Normal daily VaR 90%",,,,"m",'PBA Summary'!$F$2,'PBA Summary'!$G$2)</f>
        <v/>
      </c>
      <c r="FL10" s="34" cm="1">
        <f t="array" ref="FL10">_xll.ASAssetStatistic($A10,"Bias Ratio",,,,"m",'PBA Summary'!$F$2,'PBA Summary'!$G$2)</f>
        <v>2</v>
      </c>
      <c r="FM10" s="11" t="str" cm="1">
        <f t="array" ref="FM10">_xll.ASAssetInfo($A10,"Manager's Biography")</f>
        <v/>
      </c>
      <c r="FN10" s="11" cm="1">
        <f t="array" ref="FN10">_xll.ASAssetInfo($A10,"Investment Min")</f>
        <v>1000000</v>
      </c>
      <c r="FO10" s="11" t="str" cm="1">
        <f t="array" ref="FO10">_xll.ASAssetInfo($A10,"Auditor")</f>
        <v>PricewaterhouseCoopers/Ireland</v>
      </c>
      <c r="FP10" s="11" t="str" cm="1">
        <f t="array" ref="FP10">_xll.ASAssetInfo($A10,"Custodian")</f>
        <v>Brown Brothers Harriman Trustee Services Ireland Ltd/Ireland</v>
      </c>
      <c r="FQ10" s="11" t="str" cm="1">
        <f t="array" ref="FQ10">_xll.ASAssetInfo($A10,"Administrator")</f>
        <v>Brown Brothers Harriman Fund Administration Services Ireland Ltd</v>
      </c>
      <c r="FR10" s="14" cm="1">
        <f t="array" ref="FR10">_xll.ASAssetInfo($A10,"Proxy 1 Start Date")</f>
        <v>41091</v>
      </c>
      <c r="FS10" s="14" cm="1">
        <f t="array" ref="FS10">_xll.ASAssetInfo($A10,"Proxy 1 End Date")</f>
        <v>44135</v>
      </c>
      <c r="FT10" s="14" t="str" cm="1">
        <f t="array" ref="FT10">_xll.ASAssetInfo($A10,"Proxy 2 Start Date")</f>
        <v/>
      </c>
      <c r="FU10" s="14" t="str" cm="1">
        <f t="array" ref="FU10">_xll.ASAssetInfo($A10,"Proxy 2 End Date")</f>
        <v/>
      </c>
      <c r="FV10" s="14" t="str" cm="1">
        <f t="array" ref="FV10">_xll.ASAssetInfo($A10,"Proxy 3 Start Date")</f>
        <v/>
      </c>
      <c r="FW10" s="14" t="str" cm="1">
        <f t="array" ref="FW10">_xll.ASAssetInfo($A10,"Proxy 3 End Date")</f>
        <v/>
      </c>
      <c r="FX10" s="14" t="str" cm="1">
        <f t="array" ref="FX10">_xll.ASAssetInfo($A10,"Fund Domicile")</f>
        <v>IE</v>
      </c>
      <c r="FY10" s="14" t="str" cm="1">
        <f t="array" ref="FY10">_xll.ASAssetInfo($A10,"Fund Contact")</f>
        <v/>
      </c>
      <c r="FZ10" s="14" t="str" cm="1">
        <f t="array" ref="FZ10">_xll.ASAssetInfo($A10,"Fund Contact Email")</f>
        <v/>
      </c>
      <c r="GA10" s="14" t="str" cm="1">
        <f t="array" ref="GA10">_xll.ASAssetInfo($A10,"Fund Contact Number")</f>
        <v/>
      </c>
      <c r="GB10" s="14" t="str" cm="1">
        <f t="array" ref="GB10">_xll.ASAssetInfo($A10,"City")</f>
        <v>Dublin</v>
      </c>
      <c r="GC10" s="14" t="str" cm="1">
        <f t="array" ref="GC10">_xll.ASAssetInfo($A10,"Leverage")</f>
        <v>N</v>
      </c>
      <c r="GD10" s="14" t="str" cm="1">
        <f t="array" ref="GD10">_xll.ASAssetInfo($A10,"Lockup 1 Duration")</f>
        <v>0 Months</v>
      </c>
      <c r="GE10" s="14" t="str" cm="1">
        <f t="array" ref="GE10">_xll.ASAssetInfo($A10,"Lockup 2 Duration")</f>
        <v>0 Months</v>
      </c>
      <c r="GF10" s="14" t="str" cm="1">
        <f t="array" ref="GF10">_xll.ASAssetInfo($A10,"Lockup 3 Duration")</f>
        <v>0 Months</v>
      </c>
      <c r="GG10" s="31" t="str" cm="1">
        <f t="array" ref="GG10">_xll.ASAssetInfo($A10,"Fund Level Gate")</f>
        <v/>
      </c>
      <c r="GH10" s="31" t="str" cm="1">
        <f t="array" ref="GH10">_xll.ASAssetInfo($A10,"Fund Level Gate Frequency")</f>
        <v>Unknown</v>
      </c>
      <c r="GI10" s="35" cm="1">
        <f t="array" ref="GI10">_xll.ASAssetInfo($A10,"Payment 2 (%)")</f>
        <v>0</v>
      </c>
      <c r="GJ10" s="35" t="str" cm="1">
        <f t="array" ref="GJ10">_xll.ASAssetInfo($A10,"Payment 2 (days)")</f>
        <v/>
      </c>
      <c r="GK10" s="35" t="str" cm="1">
        <f t="array" ref="GK10">_xll.ASAssetInfo($A10,"Payment 2 (Paid After)")</f>
        <v>NAV Date</v>
      </c>
      <c r="GL10" s="35" cm="1">
        <f t="array" ref="GL10">_xll.ASAssetInfo($A10,"Payment 3 (%)")</f>
        <v>0</v>
      </c>
      <c r="GM10" s="36" t="str" cm="1">
        <f t="array" ref="GM10">_xll.ASAssetInfo($A10,"Payment 3 (Days)")</f>
        <v/>
      </c>
      <c r="GN10" s="35" t="str" cm="1">
        <f t="array" ref="GN10">_xll.ASAssetInfo($A10,"Payment 3 (Paid After)")</f>
        <v>NAV Date</v>
      </c>
      <c r="GO10" s="35" cm="1">
        <f t="array" ref="GO10">_xll.ASAssetInfo($A10,"Payment 4 (%)")</f>
        <v>0</v>
      </c>
      <c r="GP10" s="36" t="str" cm="1">
        <f t="array" ref="GP10">_xll.ASAssetInfo($A10,"Payment 4 (days)")</f>
        <v/>
      </c>
      <c r="GQ10" s="35" t="str" cm="1">
        <f t="array" ref="GQ10">_xll.ASAssetInfo($A10,"Payment 4 (Paid After)")</f>
        <v>NAV Date</v>
      </c>
      <c r="GR10" s="31" cm="1">
        <f t="array" ref="GR10">_xll.ASAssetInfo($A10,"Payment 1 (%)")</f>
        <v>1</v>
      </c>
      <c r="GS10" s="35" cm="1">
        <f t="array" ref="GS10">_xll.ASAssetInfo($A10,"Lockup 1 Fee")</f>
        <v>0</v>
      </c>
      <c r="GT10" s="35" cm="1">
        <f t="array" ref="GT10">_xll.ASAssetInfo($A10,"Lockup 2 Fee")</f>
        <v>0</v>
      </c>
      <c r="GU10" s="35" cm="1">
        <f t="array" ref="GU10">_xll.ASAssetInfo($A10,"Lockup 3 Fee")</f>
        <v>0</v>
      </c>
      <c r="GV10" s="35" t="str" cm="1">
        <f t="array" ref="GV10">_xll.ASAssetInfo($A10,"Lockup 1 type")</f>
        <v>None</v>
      </c>
      <c r="GW10" s="35" t="str" cm="1">
        <f t="array" ref="GW10">_xll.ASAssetInfo($A10,"Lockup 2 type")</f>
        <v>None</v>
      </c>
      <c r="GX10" s="35" t="str" cm="1">
        <f t="array" ref="GX10">_xll.ASAssetInfo($A10,"Lockup 3 type")</f>
        <v>None</v>
      </c>
      <c r="GY10" s="35" t="str" cm="1">
        <f t="array" ref="GY10">_xll.ASAssetInfo($A10,"Redemption 1 type")</f>
        <v>Calendar</v>
      </c>
      <c r="GZ10" s="35" t="str" cm="1">
        <f t="array" ref="GZ10">_xll.ASAssetInfo($A10,"Redemption 2 type")</f>
        <v>Calendar</v>
      </c>
      <c r="HA10" s="35" t="str" cm="1">
        <f t="array" ref="HA10">_xll.ASAssetInfo($A10,"Redemption 3 type")</f>
        <v>Calendar</v>
      </c>
      <c r="HB10" s="35" t="str" cm="1">
        <f t="array" ref="HB10">_xll.ASAssetInfo($A10,"Redemption 1 Fee")</f>
        <v/>
      </c>
      <c r="HC10" s="35" t="str" cm="1">
        <f t="array" ref="HC10">_xll.ASAssetInfo($A10,"Redemption 2 Fee")</f>
        <v/>
      </c>
      <c r="HD10" s="35" t="str" cm="1">
        <f t="array" ref="HD10">_xll.ASAssetInfo($A10,"Redemption 3 Fee")</f>
        <v/>
      </c>
      <c r="HE10" s="35" t="str" cm="1">
        <f t="array" ref="HE10">_xll.ASAssetInfo($A10,"Redemption 1 Frequency")</f>
        <v>Daily</v>
      </c>
      <c r="HF10" s="35" t="str" cm="1">
        <f t="array" ref="HF10">_xll.ASAssetInfo($A10,"Redemption 2 Frequency")</f>
        <v>Unknown</v>
      </c>
      <c r="HG10" s="35" t="str" cm="1">
        <f t="array" ref="HG10">_xll.ASAssetInfo($A10,"Redemption 3 Frequency")</f>
        <v>Unknown</v>
      </c>
      <c r="HH10" s="35" t="str" cm="1">
        <f t="array" ref="HH10">_xll.ASAssetInfo($A10,"Asset Calendar")</f>
        <v>[Default]</v>
      </c>
      <c r="HI10" s="16" cm="1">
        <f t="array" ref="HI10">_xll.ASAssetStatistic($A10,"Max Second Drawdown",,,,"m",'PBA Summary'!$F$2,'PBA Summary'!$G$2)</f>
        <v>-2.1153830974581789E-3</v>
      </c>
      <c r="HJ10" s="37" cm="1">
        <f t="array" ref="HJ10">_xll.ASAssetStatistic($A10,"Date Max Second Drawdown",,,,"m",'PBA Summary'!$F$2,'PBA Summary'!$G$2)</f>
        <v>43738</v>
      </c>
      <c r="HK10" s="37" t="str" cm="1">
        <f t="array" ref="HK10">_xll.ASAssetInfo($A10,HK$1)</f>
        <v>BGWGBUA ID</v>
      </c>
      <c r="HL10" s="37" t="str" cm="1">
        <f t="array" ref="HL10">_xll.ASAssetInfo($A10,HL$1)</f>
        <v/>
      </c>
      <c r="HM10" s="34" t="str" cm="1">
        <f t="array" ref="HM10">_xll.ASAssetInfo($A10,HM$1)</f>
        <v/>
      </c>
      <c r="HN10" s="37" t="str" cm="1">
        <f t="array" ref="HN10">_xll.ASAssetInfo($A10,HN$1)</f>
        <v/>
      </c>
      <c r="HO10" s="15" cm="1">
        <f t="array" ref="HO10">_xll.ASAssetInfo($A10,HO$1)</f>
        <v>0</v>
      </c>
      <c r="HP10" s="15" cm="1">
        <f t="array" ref="HP10">_xll.ASAssetInfo($A10,HP$1)</f>
        <v>2.8999999999999998E-2</v>
      </c>
      <c r="HQ10" s="34" t="str" cm="1">
        <f t="array" ref="HQ10">_xll.ASAssetInfo($A10,HQ$1)</f>
        <v/>
      </c>
      <c r="HR10" s="37" t="str" cm="1">
        <f t="array" ref="HR10">_xll.ASAssetInfo($A10,HR$1)</f>
        <v/>
      </c>
      <c r="HS10" s="37" t="str" cm="1">
        <f t="array" ref="HS10">_xll.ASAssetInfo($A10,HS$1)</f>
        <v/>
      </c>
      <c r="HT10" s="37" t="str" cm="1">
        <f t="array" ref="HT10">_xll.ASAssetInfo($A10,HT$1)</f>
        <v>BBB</v>
      </c>
      <c r="HU10" s="37" t="str" cm="1">
        <f t="array" ref="HU10">_xll.ASAssetInfo($A10,HU$1)</f>
        <v>Global</v>
      </c>
      <c r="HV10" s="37" t="str" cm="1">
        <f t="array" ref="HV10">_xll.ASAssetInfo($A10,HV$1)</f>
        <v/>
      </c>
      <c r="HW10" s="37" t="str" cm="1">
        <f t="array" ref="HW10">_xll.ASAssetInfo($A10,HW$1)</f>
        <v/>
      </c>
    </row>
    <row r="11" spans="1:231" s="11" customFormat="1" ht="13.9" customHeight="1" x14ac:dyDescent="0.25">
      <c r="A11" t="s">
        <v>294</v>
      </c>
      <c r="B11" cm="1">
        <f t="array" ref="B11">_xll.ASPortfolioWeights('PBA Summary'!$C$2,"OR",$A11)</f>
        <v>0</v>
      </c>
      <c r="C11" cm="1">
        <f t="array" ref="C11">_xll.ASAssetStatistic($A11,"Annualized Return since inception",,,,"m",_xll.ASAssetInfo($A11,"Start Date"),_xll.ASAssetInfo($A11,"Last Return Date"))</f>
        <v>0.15071473343473962</v>
      </c>
      <c r="D11" cm="1">
        <f t="array" ref="D11">_xll.ASAssetStatistic($A11,"Annualized Return",,,,"m",'PBA Summary'!$F$2,'PBA Summary'!$G$2)</f>
        <v>0.30598380155234417</v>
      </c>
      <c r="E11" s="19" cm="1">
        <f t="array" ref="E11">_xll.ASAssetStatistic($A11,"Equilibrium Annual Return",,,,"m",'PBA Summary'!$F$2,'PBA Summary'!$G$2)</f>
        <v>0.35946035442306057</v>
      </c>
      <c r="F11" cm="1">
        <f t="array" ref="F11">_xll.ASAssetStatistic($A11,"Annualized Volatility (Inception)",,,,"m",_xll.ASAssetInfo($A11,"Start Date"),_xll.ASAssetInfo($A11,"Last Return Date"))</f>
        <v>0.25086940998243684</v>
      </c>
      <c r="G11" cm="1">
        <f t="array" ref="G11">_xll.ASAssetStatistic($A11,"Annualized Volatility",,,,"m",'PBA Summary'!$F$2,'PBA Summary'!$G$2)</f>
        <v>0.19851748590905396</v>
      </c>
      <c r="H11" s="20" cm="1">
        <f t="array" ref="H11">_xll.ASAssetStatistic($A11,"Skewness",,,,"m",'PBA Summary'!$F$2,'PBA Summary'!$G$2)</f>
        <v>4.3021582294407383E-2</v>
      </c>
      <c r="I11" s="20" cm="1">
        <f t="array" ref="I11">_xll.ASAssetStatistic($A11,"Excess kurtosis",,,,"m",'PBA Summary'!$F$2,'PBA Summary'!$G$2)</f>
        <v>6.1651629945413622E-2</v>
      </c>
      <c r="J11" s="19" cm="1">
        <f t="array" ref="J11">_xll.ASAssetStatistic($A11,"Return Last 1 month",,,,"m",'PBA Summary'!$F$2,'PBA Summary'!$G$2)</f>
        <v>6.7899732294962378E-2</v>
      </c>
      <c r="K11" s="19" cm="1">
        <f t="array" ref="K11">_xll.ASAssetStatistic($A11,"Return Last 3 months",,,,"m",'PBA Summary'!$F$2,'PBA Summary'!$G$2)</f>
        <v>0.14839047369798464</v>
      </c>
      <c r="L11" s="19" cm="1">
        <f t="array" ref="L11">_xll.ASAssetStatistic($A11,"Return Last 1 year",,,,"m",'PBA Summary'!$F$2,'PBA Summary'!$G$2)</f>
        <v>0.32969696969697071</v>
      </c>
      <c r="M11" s="19" cm="1">
        <f t="array" ref="M11">_xll.ASAssetStatistic($A11,"Year-to-date Return",,,,"m",'PBA Summary'!$F$2,'PBA Summary'!$G$2)</f>
        <v>6.7899732294962378E-2</v>
      </c>
      <c r="N11" s="19" cm="1">
        <f t="array" ref="N11">_xll.ASAssetStatistic($A11,"Annualized Return",,,,"m",EOMONTH('PBA Summary'!$G$2,-2),'PBA Summary'!$G$2)</f>
        <v>0.73923523378021305</v>
      </c>
      <c r="O11" s="19" t="str" cm="1">
        <f t="array" ref="O11">_xll.ASAssetStatistic($A11,"Annualized Return Last 3 years",,,,"m",'PBA Summary'!$F$2,'PBA Summary'!$G$2)</f>
        <v/>
      </c>
      <c r="P11" s="19" t="str" cm="1">
        <f t="array" ref="P11">_xll.ASAssetStatistic($A11,"Annualized Return Last 5 years",,,,"m",'PBA Summary'!$F$2,'PBA Summary'!$G$2)</f>
        <v/>
      </c>
      <c r="Q11" s="19" cm="1">
        <f t="array" ref="Q11">_xll.ASAssetStatistic($A11,"Annualized Volatility Last 1 year",,,,"m",'PBA Summary'!$F$2,'PBA Summary'!$G$2)</f>
        <v>0.16518656940019349</v>
      </c>
      <c r="R11" s="19" t="str" cm="1">
        <f t="array" ref="R11">_xll.ASAssetStatistic($A11,"Annualized Volatility Last 3 years",,,,"m",'PBA Summary'!$F$2,'PBA Summary'!$G$2)</f>
        <v/>
      </c>
      <c r="S11" s="19" t="str" cm="1">
        <f t="array" ref="S11">_xll.ASAssetStatistic($A11,"Annualized Volatility Last 5 years",,,,"m",'PBA Summary'!$F$2,'PBA Summary'!$G$2)</f>
        <v/>
      </c>
      <c r="T11" s="19" cm="1">
        <f t="array" ref="T11">_xll.ASAssetStatistic($A11,"Normal monthly VaR 99%",,,,"m",'PBA Summary'!$F$2,'PBA Summary'!$G$2)</f>
        <v>-0.10932117356841806</v>
      </c>
      <c r="U11" s="19" cm="1">
        <f t="array" ref="U11">_xll.ASAssetStatistic($A11,"Modified monthly VaR 99%",,,,"m",'PBA Summary'!$F$2,'PBA Summary'!$G$2)</f>
        <v>-0.10829436859984132</v>
      </c>
      <c r="V11" s="19" cm="1">
        <f t="array" ref="V11">_xll.ASAssetStatistic($A11,"Conditional monthly VaR 99%",,,,"m",'PBA Summary'!$F$2,'PBA Summary'!$G$2)</f>
        <v>-7.2969543147208049E-2</v>
      </c>
      <c r="W11" s="19" cm="1">
        <f t="array" ref="W11">_xll.ASAssetStatistic($A11,"Normal monthly VaR 97%",,,,"m",'PBA Summary'!$F$2,'PBA Summary'!$G$2)</f>
        <v>-8.3787767644660754E-2</v>
      </c>
      <c r="X11" s="19" cm="1">
        <f t="array" ref="X11">_xll.ASAssetStatistic($A11,"Modified monthly VaR 97%",,,,"m",'PBA Summary'!$F$2,'PBA Summary'!$G$2)</f>
        <v>-8.2882430037045235E-2</v>
      </c>
      <c r="Y11" s="19" cm="1">
        <f t="array" ref="Y11">_xll.ASAssetStatistic($A11,"Conditional monthly VaR 97%",,,,"m",'PBA Summary'!$F$2,'PBA Summary'!$G$2)</f>
        <v>-7.2969543147208049E-2</v>
      </c>
      <c r="Z11" s="19" cm="1">
        <f t="array" ref="Z11">_xll.ASAssetStatistic($A11,"Normal monthly VaR 95%",,,,"m",'PBA Summary'!$F$2,'PBA Summary'!$G$2)</f>
        <v>-7.0266740522208132E-2</v>
      </c>
      <c r="AA11" s="19" cm="1">
        <f t="array" ref="AA11">_xll.ASAssetStatistic($A11,"Modified monthly VaR 95%",,,,"m",'PBA Summary'!$F$2,'PBA Summary'!$G$2)</f>
        <v>-6.9492628913815635E-2</v>
      </c>
      <c r="AB11" s="19" cm="1">
        <f t="array" ref="AB11">_xll.ASAssetStatistic($A11,"Conditional monthly VaR 95%",,,,"m",'PBA Summary'!$F$2,'PBA Summary'!$G$2)</f>
        <v>-7.2969543147208049E-2</v>
      </c>
      <c r="AC11" s="66" cm="1">
        <f t="array" ref="AC11">_xll.ASAssetStatistic($A11,"Correlation to Benchmark 1","MSCI ACWI Index",,,"m",'PBA Summary'!$F$2,'PBA Summary'!$G$2)</f>
        <v>0.67347963398603317</v>
      </c>
      <c r="AD11" s="38" cm="1">
        <f t="array" ref="AD11">IF('PBA Summary'!$D$3="","",_xll.ASAssetStatistic($A11,"Correlation to Benchmark 1",'PBA Summary'!$D$3,,,"m",'PBA Summary'!$F$2,'PBA Summary'!$G$2))</f>
        <v>0.70499868540749788</v>
      </c>
      <c r="AE11" s="21" cm="1">
        <f t="array" ref="AE11">IF('PBA Summary'!$D$2="","",_xll.ASAssetStatistic($A11,"Bull correlation to Benchmark 1",'PBA Summary'!$D$2,,,"m",'PBA Summary'!$F$2,'PBA Summary'!$G$2))</f>
        <v>0.57096940731104118</v>
      </c>
      <c r="AF11" s="21" cm="1">
        <f t="array" ref="AF11">IF('PBA Summary'!$D$2="","",_xll.ASAssetStatistic($A11,"Bear correlation to Benchmark 1",'PBA Summary'!$D$2,,,"m",'PBA Summary'!$F$2,'PBA Summary'!$G$2))</f>
        <v>0.93115433119645641</v>
      </c>
      <c r="AG11" s="21" cm="1">
        <f t="array" ref="AG11">IF('PBA Summary'!$D$3="","",_xll.ASAssetStatistic($A11,"Bull correlation to Benchmark 1",'PBA Summary'!$D$3,,,"m",'PBA Summary'!$F$2,'PBA Summary'!$G$2))</f>
        <v>0.57096940731104118</v>
      </c>
      <c r="AH11" s="21" cm="1">
        <f t="array" ref="AH11">IF('PBA Summary'!$D$3="","",_xll.ASAssetStatistic($A11,"Bear correlation to Benchmark 1",'PBA Summary'!$D$3,,,"m",'PBA Summary'!$F$2,'PBA Summary'!$G$2))</f>
        <v>0.93115433119645641</v>
      </c>
      <c r="AI11" s="24" cm="1">
        <f t="array" ref="AI11">IF('PBA Summary'!$D$2="","",_xll.ASAssetStatistic($A11,"Beta to Benchmark 1",'PBA Summary'!$D$2,,,"m",'PBA Summary'!$F$2,'PBA Summary'!$G$2))</f>
        <v>0.91161362203293483</v>
      </c>
      <c r="AJ11" s="24" t="str" cm="1">
        <f t="array" ref="AJ11">IF('PBA Summary'!$D$2="","",_xll.ASAssetStatistic($A11,"Beta to Benchmark 1 Last 3 years",'PBA Summary'!$D$2,,,"m",'PBA Summary'!$F$2,'PBA Summary'!$G$2))</f>
        <v/>
      </c>
      <c r="AK11" s="24" t="str" cm="1">
        <f t="array" ref="AK11">IF('PBA Summary'!$D$2="","",_xll.ASAssetStatistic($A11,"Beta to Benchmark 1 Last 5 years",'PBA Summary'!$D$2,,,"m",'PBA Summary'!$F$2,'PBA Summary'!$G$2))</f>
        <v/>
      </c>
      <c r="AL11" s="25" cm="1">
        <f t="array" ref="AL11">IF('PBA Summary'!$D$3="","",_xll.ASAssetStatistic($A11,"Beta to Benchmark 1",'PBA Summary'!$D$3,,,"m",'PBA Summary'!$F$2,'PBA Summary'!$G$2))</f>
        <v>0.91161362203293483</v>
      </c>
      <c r="AM11" s="25" t="str" cm="1">
        <f t="array" ref="AM11">IF('PBA Summary'!$D$3="","",_xll.ASAssetStatistic($A11,"Beta to Benchmark 1 Last 3 years",'PBA Summary'!$D$3,,,"m",'PBA Summary'!$F$2,'PBA Summary'!$G$2))</f>
        <v/>
      </c>
      <c r="AN11" s="25" t="str" cm="1">
        <f t="array" ref="AN11">IF('PBA Summary'!$D$3="","",_xll.ASAssetStatistic($A11,"Beta to Benchmark 1 Last 5 years",'PBA Summary'!$D$3,,,"m",'PBA Summary'!$F$2,'PBA Summary'!$G$2))</f>
        <v/>
      </c>
      <c r="AO11" s="25" cm="1">
        <f t="array" ref="AO11">IF('PBA Summary'!$D$2="","",_xll.ASAssetStatistic($A11,"Bull Beta to Benchmark 1",'PBA Summary'!$D$2,,,"m",'PBA Summary'!$F$2,'PBA Summary'!$G$2))</f>
        <v>1.380724564335625</v>
      </c>
      <c r="AP11" s="25" cm="1">
        <f t="array" ref="AP11">IF('PBA Summary'!$D$2="","",_xll.ASAssetStatistic($A11,"Bear Beta to Benchmark 1",'PBA Summary'!$D$2,,,"m",'PBA Summary'!$F$2,'PBA Summary'!$G$2))</f>
        <v>1.3533264476702707</v>
      </c>
      <c r="AQ11" s="25" cm="1">
        <f t="array" ref="AQ11">IF('PBA Summary'!$D$3="","",_xll.ASAssetStatistic($A11,"Bull Beta to Benchmark 1",'PBA Summary'!$D$3,,,"m",'PBA Summary'!$F$2,'PBA Summary'!$G$2))</f>
        <v>1.380724564335625</v>
      </c>
      <c r="AR11" s="25" cm="1">
        <f t="array" ref="AR11">IF('PBA Summary'!$D$3="","",_xll.ASAssetStatistic($A11,"Bear Beta to Benchmark 1",'PBA Summary'!$D$3,,,"m",'PBA Summary'!$F$2,'PBA Summary'!$G$2))</f>
        <v>1.3533264476702707</v>
      </c>
      <c r="AS11" s="25" cm="1">
        <f t="array" ref="AS11">_xll.ASAssetStatistic($A11,"Annual Sharpe Ratio (Rf)",,,'PBA Summary'!$H$2,"m",'PBA Summary'!$F$2,'PBA Summary'!$G$2)</f>
        <v>1.5287509821244563</v>
      </c>
      <c r="AT11" s="25" t="str" cm="1">
        <f t="array" ref="AT11">_xll.ASAssetStatistic($A11,"Annual Sharpe Ratio (Rf) Last 3 years",,,'PBA Summary'!$H$2,"m",'PBA Summary'!$F$2,'PBA Summary'!$G$2)</f>
        <v/>
      </c>
      <c r="AU11" s="25" t="str" cm="1">
        <f t="array" ref="AU11">_xll.ASAssetStatistic($A11,"Annual Sharpe Ratio (Rf) Last 5 years",,,'PBA Summary'!$H$2,"m",'PBA Summary'!$F$2,'PBA Summary'!$G$2)</f>
        <v/>
      </c>
      <c r="AV11" s="18" cm="1">
        <f t="array" ref="AV11">_xll.ASAssetStatistic($A11,"Ann. Downside Deviation (vs 0%)",,,'PBA Summary'!$H$2,"m",'PBA Summary'!$F$2,'PBA Summary'!$G$2)</f>
        <v>9.597355332978208E-2</v>
      </c>
      <c r="AW11" s="18" cm="1">
        <f t="array" ref="AW11">_xll.ASAssetStatistic($A11,"Ann. Downside Deviation (vs Rf)",,,'PBA Summary'!$H$2,"m",'PBA Summary'!$F$2,'PBA Summary'!$G$2)</f>
        <v>9.6298808118697676E-2</v>
      </c>
      <c r="AX11" s="39" cm="1">
        <f t="array" ref="AX11">_xll.ASAssetStatistic($A11,"Annual Treynor ratio",,,'PBA Summary'!$H$2,"m",'PBA Summary'!$F$2,'PBA Summary'!$G$2)</f>
        <v>0.10845940219344527</v>
      </c>
      <c r="AY11" s="26" cm="1">
        <f t="array" ref="AY11">_xll.ASAssetStatistic($A11,"Annual Sortino Ratio (vs 0%)",,,'PBA Summary'!$H$2,"m",'PBA Summary'!$F$2,'PBA Summary'!$G$2)</f>
        <v>3.1882095737450689</v>
      </c>
      <c r="AZ11" s="26" cm="1">
        <f t="array" ref="AZ11">_xll.ASAssetStatistic($A11,"Annual Sortino Ratio (vs Rf)",,,'PBA Summary'!$H$2,"m",'PBA Summary'!$F$2,'PBA Summary'!$G$2)</f>
        <v>3.1514803503930264</v>
      </c>
      <c r="BA11" s="26" cm="1">
        <f t="array" ref="BA11">_xll.ASAssetStatistic($A11,"Sterling ratio",,,'PBA Summary'!$H$2,"m",'PBA Summary'!$F$2,'PBA Summary'!$G$2)</f>
        <v>1.7753280222634866</v>
      </c>
      <c r="BB11" s="26" cm="1">
        <f t="array" ref="BB11">_xll.ASAssetStatistic($A11,"Calmar ratio",,,'PBA Summary'!$H$2,"m",'PBA Summary'!$F$2,'PBA Summary'!$G$2)</f>
        <v>4.1933084456216951</v>
      </c>
      <c r="BC11" s="26" cm="1">
        <f t="array" ref="BC11">_xll.ASAssetStatistic($A11,"Hurst index",,,'PBA Summary'!$H$2,"m",'PBA Summary'!$F$2,'PBA Summary'!$G$2)</f>
        <v>0.46422146913480178</v>
      </c>
      <c r="BD11" s="26" cm="1">
        <f t="array" ref="BD11">_xll.ASAssetStatistic($A11,"Omega (Threshold 1)",,,'PBA Summary'!$H$2,"m",'PBA Summary'!$F$2,'PBA Summary'!$G$2)</f>
        <v>2.9205085598871356</v>
      </c>
      <c r="BE11" s="26" cm="1">
        <f t="array" ref="BE11">_xll.ASAssetStatistic($A11,"Omega (Threshold 2)",,,'PBA Summary'!$H$2,"m",'PBA Summary'!$F$2,'PBA Summary'!$G$2)</f>
        <v>2.3597134444034977</v>
      </c>
      <c r="BF11" s="26" cm="1">
        <f t="array" ref="BF11">_xll.ASAssetStatistic($A11,"Omega (Threshold 3)",,,'PBA Summary'!$H$2,"m",'PBA Summary'!$F$2,'PBA Summary'!$G$2)</f>
        <v>1.8950197519341827</v>
      </c>
      <c r="BG11" s="26" cm="1">
        <f t="array" ref="BG11">_xll.ASAssetStatistic($A11,"Omega (Threshold 4)",,,'PBA Summary'!$H$2,"m",'PBA Summary'!$F$2,'PBA Summary'!$G$2)</f>
        <v>1.5198459617841973</v>
      </c>
      <c r="BH11" s="26" cm="1">
        <f t="array" ref="BH11">_xll.ASAssetStatistic($A11,"Omega (Threshold 5)",,,'PBA Summary'!$H$2,"m",'PBA Summary'!$F$2,'PBA Summary'!$G$2)</f>
        <v>1.2105967586246213</v>
      </c>
      <c r="BI11" s="26" t="str" cm="1">
        <f t="array" ref="BI11">_xll.ASAssetStatistic($A11,"Autocorrelated (illiquid)",,,'PBA Summary'!$H$2,"m",'PBA Summary'!$F$2,'PBA Summary'!$G$2)</f>
        <v>No</v>
      </c>
      <c r="BJ11" s="27" cm="1">
        <f t="array" ref="BJ11">_xll.ASAssetStatistic($A11,"% months in Run Up",,,'PBA Summary'!$H$2,"m",'PBA Summary'!$F$2,'PBA Summary'!$G$2)</f>
        <v>0.73333333333333339</v>
      </c>
      <c r="BK11" s="27" cm="1">
        <f t="array" ref="BK11">_xll.ASAssetStatistic($A11,"% months in Drawdown",,,'PBA Summary'!$H$2,"m",'PBA Summary'!$F$2,'PBA Summary'!$G$2)</f>
        <v>0.26666666666666666</v>
      </c>
      <c r="BL11" s="18" cm="1">
        <f t="array" ref="BL11">IF('PBA Summary'!$D$2="","",_xll.ASAssetStatistic($A11,"Bull Beta to Benchmark 1",'PBA Summary'!$D$2,,,"m",'PBA Summary'!$F$2,'PBA Summary'!$G$2))</f>
        <v>1.380724564335625</v>
      </c>
      <c r="BM11" s="18" cm="1">
        <f t="array" ref="BM11">IF('PBA Summary'!$D$2="","",_xll.ASAssetStatistic($A11,"Average return during bear Benchmark 1",'PBA Summary'!$D$2,,,"m",'PBA Summary'!$F$2,'PBA Summary'!$G$2))</f>
        <v>-1.3270816510979527E-2</v>
      </c>
      <c r="BN11" s="18" cm="1">
        <f t="array" ref="BN11">IF('PBA Summary'!$D$3="","",_xll.ASAssetStatistic($A11,"Average return during bull Benchmark 1",'PBA Summary'!$D$3,,,"m",'PBA Summary'!$F$2,'PBA Summary'!$G$2))</f>
        <v>3.7546189912499715E-2</v>
      </c>
      <c r="BO11" s="18" cm="1">
        <f t="array" ref="BO11">IF('PBA Summary'!$D$3="","",_xll.ASAssetStatistic($A11,"Average return during bear Benchmark 1",'PBA Summary'!$D$3,,,"m",'PBA Summary'!$F$2,'PBA Summary'!$G$2))</f>
        <v>-1.3270816510979527E-2</v>
      </c>
      <c r="BP11" s="27" cm="1">
        <f t="array" ref="BP11">_xll.ASAssetStatistic($A11,"Maximum consecutive gain",,,'PBA Summary'!$H$2,"m",'PBA Summary'!$F$2,'PBA Summary'!$G$2)</f>
        <v>0.32238193018480521</v>
      </c>
      <c r="BQ11" s="27" cm="1">
        <f t="array" ref="BQ11">_xll.ASAssetStatistic($A11,"Maximum consecutive loss",,,'PBA Summary'!$H$2,"m",'PBA Summary'!$F$2,'PBA Summary'!$G$2)</f>
        <v>-7.2969543147208049E-2</v>
      </c>
      <c r="BR11" s="27" cm="1">
        <f t="array" ref="BR11">_xll.ASAssetStatistic($A11,"Max monthly gain",,,'PBA Summary'!$H$2,"m",'PBA Summary'!$F$2,'PBA Summary'!$G$2)</f>
        <v>0.12936344969199198</v>
      </c>
      <c r="BS11" s="27" cm="1">
        <f t="array" ref="BS11">_xll.ASAssetStatistic($A11,"Max monthly loss",,,'PBA Summary'!$H$2,"m",'PBA Summary'!$F$2,'PBA Summary'!$G$2)</f>
        <v>-7.2969543147208049E-2</v>
      </c>
      <c r="BT11" s="27" cm="1">
        <f t="array" ref="BT11">_xll.ASAssetStatistic($A11,"Max drawdown",,,'PBA Summary'!$H$2,"m",'PBA Summary'!$F$2,'PBA Summary'!$G$2)</f>
        <v>-7.2969543147208049E-2</v>
      </c>
      <c r="BU11" s="28" cm="1">
        <f t="array" ref="BU11">_xll.ASAssetStatistic($A11,"Date Max drawdown",,,'PBA Summary'!$H$2,"m",'PBA Summary'!$F$2,'PBA Summary'!$G$2)</f>
        <v>43465</v>
      </c>
      <c r="BV11" s="28" cm="1">
        <f t="array" ref="BV11">_xll.ASAssetStatistic($A11,"Start Date Max Drawdown",,,'PBA Summary'!$H$2,"m",'PBA Summary'!$F$2,'PBA Summary'!$G$2)</f>
        <v>43465</v>
      </c>
      <c r="BW11" s="28" cm="1">
        <f t="array" ref="BW11">_xll.ASAssetStatistic($A11,"End Date Max Drawdown",,,'PBA Summary'!$H$2,"m",'PBA Summary'!$F$2,'PBA Summary'!$G$2)</f>
        <v>43465</v>
      </c>
      <c r="BX11" s="29" cm="1">
        <f t="array" ref="BX11">_xll.ASAssetStatistic($A11,"Max Time-under-water (months)",,,'PBA Summary'!$H$2,"m",'PBA Summary'!$F$2,'PBA Summary'!$G$2)</f>
        <v>3</v>
      </c>
      <c r="BY11" s="27" cm="1">
        <f t="array" ref="BY11">_xll.ASAssetStatistic($A11,"Max possible drawdown 99%",,,'PBA Summary'!$H$2,"m",'PBA Summary'!$F$2,'PBA Summary'!$G$2)</f>
        <v>-0.18517615887873151</v>
      </c>
      <c r="BZ11" s="27" cm="1">
        <f t="array" ref="BZ11">_xll.ASAssetStatistic($A11,"Max possible drawdown 99.9%",,,'PBA Summary'!$H$2,"m",'PBA Summary'!$F$2,'PBA Summary'!$G$2)</f>
        <v>-0.32675181743766624</v>
      </c>
      <c r="CA11" s="30" cm="1">
        <f t="array" ref="CA11">_xll.ASAssetStatistic($A11,"Max Possible Time-under-water 99% (months)",,,'PBA Summary'!$H$2,"m",'PBA Summary'!$F$2,'PBA Summary'!$G$2)</f>
        <v>30.869139395040033</v>
      </c>
      <c r="CB11" s="30" cm="1">
        <f t="array" ref="CB11">_xll.ASAssetStatistic($A11,"Max Possible Time-under-water 99.9% (months)",,,'PBA Summary'!$H$2,"m",'PBA Summary'!$F$2,'PBA Summary'!$G$2)</f>
        <v>54.470010940617279</v>
      </c>
      <c r="CC11" s="17" cm="1">
        <f t="array" ref="CC11">_xll.ASPortfolioReturnAttribution('PBA Summary'!$C$2,"OR",A11,"Last 1m",'PBA Summary'!$F$2,'PBA Summary'!$G$2)</f>
        <v>0</v>
      </c>
      <c r="CD11" s="11" t="str" cm="1">
        <f t="array" ref="CD11">_xll.ASAssetInfo($A11,"Strategy")</f>
        <v>Funds - Equities Long Only</v>
      </c>
      <c r="CE11" s="14" cm="1">
        <f t="array" ref="CE11">_xll.ASAssetInfo($A11,"Start Date")</f>
        <v>38754</v>
      </c>
      <c r="CF11" s="14" t="str" cm="1">
        <f t="array" ref="CF11">_xll.ASAssetRatings($A11,"Quantitative",0,0,0,0,0,'PBA Summary'!$F$2,'PBA Summary'!$G$2)</f>
        <v/>
      </c>
      <c r="CG11" s="14" t="str" cm="1">
        <f t="array" ref="CG11">_xll.ASAssetRatings($A11,"Qualitative",0,0,0,0,0,'PBA Summary'!$F$2,'PBA Summary'!$G$2)</f>
        <v/>
      </c>
      <c r="CH11" s="14" t="str" cm="1">
        <f t="array" ref="CH11">_xll.ASAssetRatings($A11,"Final",0,0,0,0,0,'PBA Summary'!$F$2,'PBA Summary'!$G$2)</f>
        <v/>
      </c>
      <c r="CI11" s="14" cm="1">
        <f t="array" ref="CI11">_xll.ASAssetInfo($A11,"Last Return Date")</f>
        <v>44134</v>
      </c>
      <c r="CJ11" s="14" t="str" cm="1">
        <f t="array" ref="CJ11">_xll.ASAssetInfo($A11,"Company Name")</f>
        <v>Berkshire Capital Investment T</v>
      </c>
      <c r="CK11" s="14" t="str" cm="1">
        <f t="array" ref="CK11">_xll.ASAssetInfo($A11,"Manager Name")</f>
        <v>Malcolm R Fobes III</v>
      </c>
      <c r="CL11" s="14" t="str" cm="1">
        <f t="array" ref="CL11">_xll.ASAssetInfo($A11,"Address")</f>
        <v>The Berkshire Funds. 475 Milan Drive. Suite 103. San Jose, CA 95134-2453</v>
      </c>
      <c r="CM11" s="14" t="str" cm="1">
        <f t="array" ref="CM11">_xll.ASAssetInfo($A11,"Phone Number")</f>
        <v>1-408-526-0707</v>
      </c>
      <c r="CN11" s="14" t="str" cm="1">
        <f t="array" ref="CN11">_xll.ASAssetInfo($A11,"Email")</f>
        <v/>
      </c>
      <c r="CO11" s="14" t="str" cm="1">
        <f t="array" ref="CO11">_xll.ASAssetInfo($A11,"Asset Type")</f>
        <v>Equities</v>
      </c>
      <c r="CP11" s="14" t="str" cm="1">
        <f t="array" ref="CP11">_xll.ASAssetInfo($A11,"Proprietary ID")</f>
        <v/>
      </c>
      <c r="CQ11" s="14" t="str" cm="1">
        <f t="array" ref="CQ11">_xll.ASAssetInfo($A11,"Country")</f>
        <v>United States of America</v>
      </c>
      <c r="CR11" s="14" t="str" cm="1">
        <f t="array" ref="CR11">_xll.ASAssetInfo($A11,"Currency")</f>
        <v>USD</v>
      </c>
      <c r="CS11" s="14" t="str" cm="1">
        <f t="array" ref="CS11">_xll.ASAssetInfo($A11,"Sub-Strategy")</f>
        <v>Disruption</v>
      </c>
      <c r="CT11" s="31" cm="1">
        <f t="array" ref="CT11">_xll.ASAssetInfo($A11,"Fund AUM (m)")</f>
        <v>742.69921875</v>
      </c>
      <c r="CU11" s="31" t="str" cm="1">
        <f t="array" ref="CU11">_xll.ASAssetInfo($A11,"Status")</f>
        <v>Unknown</v>
      </c>
      <c r="CV11" s="31" t="str" cm="1">
        <f t="array" ref="CV11">_xll.ASAssetInfo($A11,"Redemption 1 Frequency")</f>
        <v>Daily</v>
      </c>
      <c r="CW11" s="31" t="str" cm="1">
        <f t="array" ref="CW11">_xll.ASAssetInfo($A11,"Redemption 2 Frequency")</f>
        <v>Unknown</v>
      </c>
      <c r="CX11" s="31" t="str" cm="1">
        <f t="array" ref="CX11">_xll.ASAssetInfo($A11,"Redemption 3 Frequency")</f>
        <v>Unknown</v>
      </c>
      <c r="CY11" s="31" t="str" cm="1">
        <f t="array" ref="CY11">_xll.ASAssetInfo($A11,"Notice Period")</f>
        <v/>
      </c>
      <c r="CZ11" s="15" t="str" cm="1">
        <f t="array" ref="CZ11">_xll.ASAssetInfo($A11,"Performance Fee")</f>
        <v/>
      </c>
      <c r="DA11" s="15" cm="1">
        <f t="array" ref="DA11">_xll.ASAssetInfo($A11,"Management Fee")</f>
        <v>1.4999999999999999E-2</v>
      </c>
      <c r="DB11" s="15" t="str" cm="1">
        <f t="array" ref="DB11">_xll.ASAssetInfo($A11,"ISIN")</f>
        <v>US0846491027</v>
      </c>
      <c r="DC11" s="16" cm="1">
        <f t="array" ref="DC11">_xll.ASAssetStatistic($A11,"Return during " &amp;YEAR(EOMONTH('PBA Summary'!$G$2,-60)),,,,"M",DATE(YEAR(EOMONTH('PBA Summary'!$G$2,-60)),1,31),DATE(YEAR(EOMONTH('PBA Summary'!$G$2,-60)),12,31))</f>
        <v>0.133131618759458</v>
      </c>
      <c r="DD11" s="16" cm="1">
        <f t="array" ref="DD11">_xll.ASAssetStatistic($A11,"Return during " &amp;YEAR(EOMONTH('PBA Summary'!$G$2,-48)),,,,"M",DATE(YEAR(EOMONTH('PBA Summary'!$G$2,-48)),1,31),DATE(YEAR(EOMONTH('PBA Summary'!$G$2,-48)),12,31))</f>
        <v>-3.1152647975085657E-3</v>
      </c>
      <c r="DE11" s="16" cm="1">
        <f t="array" ref="DE11">_xll.ASAssetStatistic($A11,"Return during " &amp;YEAR(EOMONTH('PBA Summary'!$G$2,-36)),,,,"M",DATE(YEAR(EOMONTH('PBA Summary'!$G$2,-36)),1,31),DATE(YEAR(EOMONTH('PBA Summary'!$G$2,-36)),12,31))</f>
        <v>0.18571428571428505</v>
      </c>
      <c r="DF11" s="16" cm="1">
        <f t="array" ref="DF11">_xll.ASAssetStatistic($A11,"Return during " &amp;YEAR(EOMONTH('PBA Summary'!$G$2,-24)),,,,"M",DATE(YEAR(EOMONTH('PBA Summary'!$G$2,-24)),1,31),DATE(YEAR(EOMONTH('PBA Summary'!$G$2,-24)),12,31))</f>
        <v>0.10015060240964035</v>
      </c>
      <c r="DG11" s="16" cm="1">
        <f t="array" ref="DG11">_xll.ASAssetStatistic($A11,"Return during " &amp;YEAR(EOMONTH('PBA Summary'!$G$2,-12)),,,,"M",DATE(YEAR(EOMONTH('PBA Summary'!$G$2,-12)),1,31),DATE(YEAR(EOMONTH('PBA Summary'!$G$2,-12)),12,31))</f>
        <v>0.40622861054072668</v>
      </c>
      <c r="DH11" s="11" t="str" cm="1">
        <f t="array" ref="DH11">_xll.ASAssetInfo($A11,"Prime Broker")</f>
        <v/>
      </c>
      <c r="DI11" s="16" cm="1">
        <f t="array" ref="DI11">_xll.ASAssetStatistic($A11,"Return",,,,"m",'PBA Summary'!$F$2,'PBA Summary'!$G$2)</f>
        <v>0.39611835825644381</v>
      </c>
      <c r="DJ11" s="33" cm="1">
        <f t="array" ref="DJ11">IF('PBA Summary'!$D$2="","",_xll.ASAssetStatistic($A11,"Ann. Information Ratio vs Benchmark 1",'PBA Summary'!$D$2,,,"m",'PBA Summary'!$F$2,'PBA Summary'!$G$2))</f>
        <v>0.9450572951058509</v>
      </c>
      <c r="DK11" s="33" cm="1">
        <f t="array" ref="DK11">IF('PBA Summary'!$D$3="","",_xll.ASAssetStatistic($A11,"Ann. Information Ratio vs Benchmark 1",'PBA Summary'!$D$3,,,"m",'PBA Summary'!$F$2,'PBA Summary'!$G$2))</f>
        <v>0.9450572951058509</v>
      </c>
      <c r="DL11" s="33" cm="1">
        <f t="array" ref="DL11">IF('PBA Summary'!$D$2="","",_xll.ASAssetStatistic($A11,"Ann. Tracking Error vs Benchmark 1",'PBA Summary'!$D$2,,,"m",'PBA Summary'!$F$2,'PBA Summary'!$G$2))</f>
        <v>0.14144271254020116</v>
      </c>
      <c r="DM11" s="33" cm="1">
        <f t="array" ref="DM11">IF('PBA Summary'!$D$3="","",_xll.ASAssetStatistic($A11,"Ann. Tracking Error vs Benchmark 1",'PBA Summary'!$D$3,,,"m",'PBA Summary'!$F$2,'PBA Summary'!$G$2))</f>
        <v>0.14144271254020116</v>
      </c>
      <c r="DN11" s="33" cm="1">
        <f t="array" ref="DN11">IF('PBA Summary'!$D$2="","",_xll.ASAssetStatistic($A11,"R² vs Benchmark 1",'PBA Summary'!$D$2,,,"m",'PBA Summary'!$F$2,'PBA Summary'!$G$2))</f>
        <v>0.49702314642630019</v>
      </c>
      <c r="DO11" s="33" cm="1">
        <f t="array" ref="DO11">IF('PBA Summary'!$D$3="","",_xll.ASAssetStatistic($A11,"R² vs Benchmark 1",'PBA Summary'!$D$3,,,"m",'PBA Summary'!$F$2,'PBA Summary'!$G$2))</f>
        <v>0.49702314642630019</v>
      </c>
      <c r="DP11" s="11" t="str" cm="1">
        <f t="array" ref="DP11">_xll.ASAssetInfo($A11,"On-/Offshore")</f>
        <v>Unknown</v>
      </c>
      <c r="DQ11" s="16" cm="1">
        <f t="array" ref="DQ11">_xll.ASAssetStatistic($A11,"Quarter-to-date",,,,"m",'PBA Summary'!$F$2,'PBA Summary'!$G$2)</f>
        <v>6.7899732294962378E-2</v>
      </c>
      <c r="DR11" s="16" cm="1">
        <f t="array" ref="DR11">_xll.ASAssetStatistic($A11,"Annualized Return Since inception",,,,"m",'PBA Summary'!$F$2,'PBA Summary'!$G$2)</f>
        <v>0.15071473343473962</v>
      </c>
      <c r="DS11" s="16" cm="1">
        <f t="array" ref="DS11">IF('PBA Summary'!$D$2="","",_xll.ASAssetStatistic($A11,"Ann. Bear Market Return vs Benchmark 1",'PBA Summary'!$D$2,,,"m",'PBA Summary'!$F$2,'PBA Summary'!$G$2))</f>
        <v>-0.16222432625735528</v>
      </c>
      <c r="DT11" s="16" cm="1">
        <f t="array" ref="DT11">IF('PBA Summary'!$D$2="","",_xll.ASAssetStatistic($A11,"Ann. Bull Market Return vs Benchmark 1",'PBA Summary'!$D$2,,,"m",'PBA Summary'!$F$2,'PBA Summary'!$G$2))</f>
        <v>0.53479555870578577</v>
      </c>
      <c r="DU11" s="16" cm="1">
        <f t="array" ref="DU11">IF('PBA Summary'!$D$3="","",_xll.ASAssetStatistic($A11,"Ann. Bear Market Return vs Benchmark 1",'PBA Summary'!$D$3,,,"m",'PBA Summary'!$F$2,'PBA Summary'!$G$2))</f>
        <v>-0.16222432625735528</v>
      </c>
      <c r="DV11" s="16" cm="1">
        <f t="array" ref="DV11">IF('PBA Summary'!$D$3="","",_xll.ASAssetStatistic($A11,"Ann. Bull Market Return vs Benchmark 1",'PBA Summary'!$D$3,,,"m",'PBA Summary'!$F$2,'PBA Summary'!$G$2))</f>
        <v>0.53479555870578577</v>
      </c>
      <c r="DW11" s="17" cm="1">
        <f t="array" ref="DW11">_xll.ASAssetStatistic($A11,"Average Positive Return",,,,"m",'PBA Summary'!$F$2,'PBA Summary'!$G$2)</f>
        <v>4.9757820706444147E-2</v>
      </c>
      <c r="DX11" s="17" cm="1">
        <f t="array" ref="DX11">_xll.ASAssetStatistic($A11,"Average Negative Return",,,,"m",'PBA Summary'!$F$2,'PBA Summary'!$G$2)</f>
        <v>-4.6852801194326721E-2</v>
      </c>
      <c r="DY11" s="16" cm="1">
        <f t="array" ref="DY11">IF('PBA Summary'!$D$2="","",_xll.ASAssetStatistic($A11,"Outperformance vs Benchmark 1",'PBA Summary'!$D$2,,,"m",'PBA Summary'!$F$2,'PBA Summary'!$G$2))</f>
        <v>0.17627471344772516</v>
      </c>
      <c r="DZ11" s="16" cm="1">
        <f t="array" ref="DZ11">IF('PBA Summary'!$D$3="","",_xll.ASAssetStatistic($A11,"Outperformance vs Benchmark 1",'PBA Summary'!$D$3,,,"m",'PBA Summary'!$F$2,'PBA Summary'!$G$2))</f>
        <v>0.17627471344772516</v>
      </c>
      <c r="EA11" s="16" cm="1">
        <f t="array" ref="EA11">IF('PBA Summary'!$D$2="","",_xll.ASAssetStatistic($A11,"Annual Outperformance vs Benchmark 1",'PBA Summary'!$D$2,,,"m",'PBA Summary'!$F$2,'PBA Summary'!$G$2))</f>
        <v>0.13367146732567692</v>
      </c>
      <c r="EB11" s="16" cm="1">
        <f t="array" ref="EB11">IF('PBA Summary'!$D$3="","",_xll.ASAssetStatistic($A11,"Annual Outperformance vs Benchmark 1",'PBA Summary'!$D$3,,,"m",'PBA Summary'!$F$2,'PBA Summary'!$G$2))</f>
        <v>0.13367146732567692</v>
      </c>
      <c r="EC11" s="32" cm="1">
        <f t="array" ref="EC11">_xll.ASAssetStatistic($A11,"Rachev Ratio 99%",,,,"m",'PBA Summary'!$F$2,'PBA Summary'!$G$2)</f>
        <v>-1.7728417105615615</v>
      </c>
      <c r="ED11" s="32" cm="1">
        <f t="array" ref="ED11">_xll.ASAssetStatistic($A11,"Rachev Ratio 97%",,,,"m",'PBA Summary'!$F$2,'PBA Summary'!$G$2)</f>
        <v>-1.7728417105615615</v>
      </c>
      <c r="EE11" s="32" cm="1">
        <f t="array" ref="EE11">_xll.ASAssetStatistic($A11,"Rachev Ratio 95%",,,,"m",'PBA Summary'!$F$2,'PBA Summary'!$G$2)</f>
        <v>-1.7728417105615615</v>
      </c>
      <c r="EF11" s="32" cm="1">
        <f t="array" ref="EF11">_xll.ASAssetStatistic($A11,"Rachev Ratio 90%",,,,"m",'PBA Summary'!$F$2,'PBA Summary'!$G$2)</f>
        <v>-1.764950417707555</v>
      </c>
      <c r="EG11" s="34" cm="1">
        <f t="array" ref="EG11">IF('PBA Summary'!$D$2="","",_xll.ASAssetStatistic($A11,"Annual Up Capture vs Benchmark 1",'PBA Summary'!$D$2,,,"m",'PBA Summary'!$F$2,'PBA Summary'!$G$2))</f>
        <v>1.0564742153912674</v>
      </c>
      <c r="EH11" s="34" cm="1">
        <f t="array" ref="EH11">IF('PBA Summary'!$D$3="","",_xll.ASAssetStatistic($A11,"Annual Up Capture vs Benchmark 1",'PBA Summary'!$D$3,,,"m",'PBA Summary'!$F$2,'PBA Summary'!$G$2))</f>
        <v>1.0564742153912674</v>
      </c>
      <c r="EI11" s="34" cm="1">
        <f t="array" ref="EI11">IF('PBA Summary'!$D$2="","",_xll.ASAssetStatistic($A11,"Annual Down Capture vs Benchmark 1",'PBA Summary'!$D$2,,,"m",'PBA Summary'!$F$2,'PBA Summary'!$G$2))</f>
        <v>0.39420411762481045</v>
      </c>
      <c r="EJ11" s="34" cm="1">
        <f t="array" ref="EJ11">IF('PBA Summary'!$D$3="","",_xll.ASAssetStatistic($A11,"Annual Down Capture vs Benchmark 1",'PBA Summary'!$D$3,,,"m",'PBA Summary'!$F$2,'PBA Summary'!$G$2))</f>
        <v>0.39420411762481045</v>
      </c>
      <c r="EK11" s="16" cm="1">
        <f t="array" ref="EK11">IF('PBA Summary'!$D$2="","",_xll.ASAssetStatistic($A11,"Ann. Tracking Error vs Benchmark 1",'PBA Summary'!$D$2,,,"m",'PBA Summary'!$F$2,'PBA Summary'!$G$2))</f>
        <v>0.14144271254020116</v>
      </c>
      <c r="EL11" s="16" cm="1">
        <f t="array" ref="EL11">IF('PBA Summary'!$D$3="","",_xll.ASAssetStatistic($A11,"Ann. Tracking Error vs Benchmark 1",'PBA Summary'!$D$3,,,"m",'PBA Summary'!$F$2,'PBA Summary'!$G$2))</f>
        <v>0.14144271254020116</v>
      </c>
      <c r="EM11" s="16" cm="1">
        <f t="array" ref="EM11">IF('PBA Summary'!$D$2="","",_xll.ASAssetStatistic($A11,"Annual Jensen Alpha vs Benchmark 1 (Rf)",'PBA Summary'!$D$2,,,"m",'PBA Summary'!$F$2,'PBA Summary'!$G$2))</f>
        <v>0.14868056448210473</v>
      </c>
      <c r="EN11" s="16" cm="1">
        <f t="array" ref="EN11">IF('PBA Summary'!$D$3="","",_xll.ASAssetStatistic($A11,"Annual Jensen Alpha vs Benchmark 1 (Rf)",'PBA Summary'!$D$3,,,"m",'PBA Summary'!$F$2,'PBA Summary'!$G$2))</f>
        <v>0.14868056448210473</v>
      </c>
      <c r="EO11" s="33" cm="1">
        <f t="array" ref="EO11">IF('PBA Summary'!$D$2="","",_xll.ASAssetStatistic($A11,"Ann. Information Ratio vs Benchmark 1",'PBA Summary'!$D$2,,,"m",'PBA Summary'!$F$2,'PBA Summary'!$G$2))</f>
        <v>0.9450572951058509</v>
      </c>
      <c r="EP11" s="33" cm="1">
        <f t="array" ref="EP11">IF('PBA Summary'!$D$3="","",_xll.ASAssetStatistic($A11,"Ann. Information Ratio vs Benchmark 1",'PBA Summary'!$D$3,,,"m",'PBA Summary'!$F$2,'PBA Summary'!$G$2))</f>
        <v>0.9450572951058509</v>
      </c>
      <c r="EQ11" s="17" cm="1">
        <f t="array" ref="EQ11">IF('PBA Summary'!$D$2="","",_xll.ASAssetStatistic($A11,"Alpha Monthly vs Benchmark 1",'PBA Summary'!$D$2,,,"m",'PBA Summary'!$F$2,'PBA Summary'!$G$2))</f>
        <v>1.0988561896805128E-2</v>
      </c>
      <c r="ER11" s="17" cm="1">
        <f t="array" ref="ER11">IF('PBA Summary'!$D$3="","",_xll.ASAssetStatistic($A11,"Alpha Monthly vs Benchmark 1",'PBA Summary'!$D$3,,,"m",'PBA Summary'!$F$2,'PBA Summary'!$G$2))</f>
        <v>1.0988561896805128E-2</v>
      </c>
      <c r="ES11" s="11" t="str" cm="1">
        <f t="array" ref="ES11">_xll.ASAssetInfo($A11,"Company AUM (m)")</f>
        <v/>
      </c>
      <c r="ET11" s="16" cm="1">
        <f t="array" ref="ET11">_xll.ASAssetStatistic($A11,"Exponential Annualized Volatility",,,,"m",'PBA Summary'!$F$2,'PBA Summary'!$G$2)</f>
        <v>0.17555815350022125</v>
      </c>
      <c r="EU11" s="16" cm="1">
        <f t="array" ref="EU11">_xll.ASAssetStatistic($A11,"Exponential Annualized Volatility Last 1 year",,,,"m",'PBA Summary'!$F$2,'PBA Summary'!$G$2)</f>
        <v>0.15572369818512047</v>
      </c>
      <c r="EV11" s="16" t="str" cm="1">
        <f t="array" ref="EV11">_xll.ASAssetStatistic($A11,"Exponential Annualized Volatility Last 3 years",,,,"m",'PBA Summary'!$F$2,'PBA Summary'!$G$2)</f>
        <v/>
      </c>
      <c r="EW11" s="34" cm="1">
        <f t="array" ref="EW11">IF('PBA Summary'!$D$2="","",_xll.ASAssetStatistic($A11,"Exponential Correlation to Benchmark 1",'PBA Summary'!$D$2,,,"m",'PBA Summary'!$F$2,'PBA Summary'!$G$2))</f>
        <v>0.524712302050659</v>
      </c>
      <c r="EX11" s="34" cm="1">
        <f t="array" ref="EX11">IF('PBA Summary'!$D$3="","",_xll.ASAssetStatistic($A11,"Exponential Correlation to Benchmark 1",'PBA Summary'!$D$3,,,"m",'PBA Summary'!$F$2,'PBA Summary'!$G$2))</f>
        <v>0.524712302050659</v>
      </c>
      <c r="EY11" s="34" cm="1">
        <f t="array" ref="EY11">_xll.ASAssetStatistic($A11,"Exponential Annual Sharpe Ratio (Rf)",,,,"m",'PBA Summary'!$F$2,'PBA Summary'!$G$2)</f>
        <v>2.0009666532381929</v>
      </c>
      <c r="EZ11" s="34" cm="1">
        <f t="array" ref="EZ11">_xll.ASAssetStatistic($A11,"Exponential Normal Monthly VaR 99%",,,,"m",'PBA Summary'!$F$2,'PBA Summary'!$G$2)</f>
        <v>-9.2334247864855196E-2</v>
      </c>
      <c r="FA11" s="34" cm="1">
        <f t="array" ref="FA11">_xll.ASAssetStatistic($A11,"Exponential Normal Monthly VaR 97%",,,,"m",'PBA Summary'!$F$2,'PBA Summary'!$G$2)</f>
        <v>-6.9753881324247091E-2</v>
      </c>
      <c r="FB11" s="34" cm="1">
        <f t="array" ref="FB11">_xll.ASAssetStatistic($A11,"Exponential Normal Monthly VaR 95%",,,,"m",'PBA Summary'!$F$2,'PBA Summary'!$G$2)</f>
        <v>-5.7796614465993316E-2</v>
      </c>
      <c r="FC11" s="34" cm="1">
        <f t="array" ref="FC11">_xll.ASAssetStatistic($A11,"Exponential Normal Monthly VaR 90%",,,,"m",'PBA Summary'!$F$2,'PBA Summary'!$G$2)</f>
        <v>-3.9384729899818997E-2</v>
      </c>
      <c r="FD11" s="34" t="str" cm="1">
        <f t="array" ref="FD11">_xll.ASAssetStatistic($A11,"Exponential Normal weekly VaR 99%",,,,"m",'PBA Summary'!$F$2,'PBA Summary'!$G$2)</f>
        <v/>
      </c>
      <c r="FE11" s="34" t="str" cm="1">
        <f t="array" ref="FE11">_xll.ASAssetStatistic($A11,"Exponential Normal weekly VaR 97%",,,,"m",'PBA Summary'!$F$2,'PBA Summary'!$G$2)</f>
        <v/>
      </c>
      <c r="FF11" s="34" t="str" cm="1">
        <f t="array" ref="FF11">_xll.ASAssetStatistic($A11,"Exponential Normal weekly VaR 95%",,,,"m",'PBA Summary'!$F$2,'PBA Summary'!$G$2)</f>
        <v/>
      </c>
      <c r="FG11" s="34" t="str" cm="1">
        <f t="array" ref="FG11">_xll.ASAssetStatistic($A11,"Exponential Normal weekly VaR 90%",,,,"m",'PBA Summary'!$F$2,'PBA Summary'!$G$2)</f>
        <v/>
      </c>
      <c r="FH11" s="34" t="str" cm="1">
        <f t="array" ref="FH11">_xll.ASAssetStatistic($A11,"Exponential Normal daily VaR 99%",,,,"m",'PBA Summary'!$F$2,'PBA Summary'!$G$2)</f>
        <v/>
      </c>
      <c r="FI11" s="34" t="str" cm="1">
        <f t="array" ref="FI11">_xll.ASAssetStatistic($A11,"Exponential Normal daily VaR 97%",,,,"m",'PBA Summary'!$F$2,'PBA Summary'!$G$2)</f>
        <v/>
      </c>
      <c r="FJ11" s="34" t="str" cm="1">
        <f t="array" ref="FJ11">_xll.ASAssetStatistic($A11,"Exponential Normal daily VaR 95%",,,,"m",'PBA Summary'!$F$2,'PBA Summary'!$G$2)</f>
        <v/>
      </c>
      <c r="FK11" s="34" t="str" cm="1">
        <f t="array" ref="FK11">_xll.ASAssetStatistic($A11,"Exponential Normal daily VaR 90%",,,,"m",'PBA Summary'!$F$2,'PBA Summary'!$G$2)</f>
        <v/>
      </c>
      <c r="FL11" s="34" cm="1">
        <f t="array" ref="FL11">_xll.ASAssetStatistic($A11,"Bias Ratio",,,,"m",'PBA Summary'!$F$2,'PBA Summary'!$G$2)</f>
        <v>2.6666666666666665</v>
      </c>
      <c r="FM11" s="11" t="str" cm="1">
        <f t="array" ref="FM11">_xll.ASAssetInfo($A11,"Manager's Biography")</f>
        <v/>
      </c>
      <c r="FN11" s="11" cm="1">
        <f t="array" ref="FN11">_xll.ASAssetInfo($A11,"Investment Min")</f>
        <v>5000</v>
      </c>
      <c r="FO11" s="11" t="str" cm="1">
        <f t="array" ref="FO11">_xll.ASAssetInfo($A11,"Auditor")</f>
        <v>Cohen &amp; Co Ltd</v>
      </c>
      <c r="FP11" s="11" t="str" cm="1">
        <f t="array" ref="FP11">_xll.ASAssetInfo($A11,"Custodian")</f>
        <v>Huntington National Bank/The</v>
      </c>
      <c r="FQ11" s="11" t="str" cm="1">
        <f t="array" ref="FQ11">_xll.ASAssetInfo($A11,"Administrator")</f>
        <v>Premier Fund Solutions Inc</v>
      </c>
      <c r="FR11" s="14" t="str" cm="1">
        <f t="array" ref="FR11">_xll.ASAssetInfo($A11,"Proxy 1 Start Date")</f>
        <v/>
      </c>
      <c r="FS11" s="14" t="str" cm="1">
        <f t="array" ref="FS11">_xll.ASAssetInfo($A11,"Proxy 1 End Date")</f>
        <v/>
      </c>
      <c r="FT11" s="14" t="str" cm="1">
        <f t="array" ref="FT11">_xll.ASAssetInfo($A11,"Proxy 2 Start Date")</f>
        <v/>
      </c>
      <c r="FU11" s="14" t="str" cm="1">
        <f t="array" ref="FU11">_xll.ASAssetInfo($A11,"Proxy 2 End Date")</f>
        <v/>
      </c>
      <c r="FV11" s="14" t="str" cm="1">
        <f t="array" ref="FV11">_xll.ASAssetInfo($A11,"Proxy 3 Start Date")</f>
        <v/>
      </c>
      <c r="FW11" s="14" t="str" cm="1">
        <f t="array" ref="FW11">_xll.ASAssetInfo($A11,"Proxy 3 End Date")</f>
        <v/>
      </c>
      <c r="FX11" s="14" t="str" cm="1">
        <f t="array" ref="FX11">_xll.ASAssetInfo($A11,"Fund Domicile")</f>
        <v>US</v>
      </c>
      <c r="FY11" s="14" t="str" cm="1">
        <f t="array" ref="FY11">_xll.ASAssetInfo($A11,"Fund Contact")</f>
        <v/>
      </c>
      <c r="FZ11" s="14" t="str" cm="1">
        <f t="array" ref="FZ11">_xll.ASAssetInfo($A11,"Fund Contact Email")</f>
        <v/>
      </c>
      <c r="GA11" s="14" t="str" cm="1">
        <f t="array" ref="GA11">_xll.ASAssetInfo($A11,"Fund Contact Number")</f>
        <v/>
      </c>
      <c r="GB11" s="14" t="str" cm="1">
        <f t="array" ref="GB11">_xll.ASAssetInfo($A11,"City")</f>
        <v>San Jose</v>
      </c>
      <c r="GC11" s="14" t="str" cm="1">
        <f t="array" ref="GC11">_xll.ASAssetInfo($A11,"Leverage")</f>
        <v>N</v>
      </c>
      <c r="GD11" s="14" t="str" cm="1">
        <f t="array" ref="GD11">_xll.ASAssetInfo($A11,"Lockup 1 Duration")</f>
        <v>0 Months</v>
      </c>
      <c r="GE11" s="14" t="str" cm="1">
        <f t="array" ref="GE11">_xll.ASAssetInfo($A11,"Lockup 2 Duration")</f>
        <v>0 Months</v>
      </c>
      <c r="GF11" s="14" t="str" cm="1">
        <f t="array" ref="GF11">_xll.ASAssetInfo($A11,"Lockup 3 Duration")</f>
        <v>0 Months</v>
      </c>
      <c r="GG11" s="31" t="str" cm="1">
        <f t="array" ref="GG11">_xll.ASAssetInfo($A11,"Fund Level Gate")</f>
        <v/>
      </c>
      <c r="GH11" s="31" t="str" cm="1">
        <f t="array" ref="GH11">_xll.ASAssetInfo($A11,"Fund Level Gate Frequency")</f>
        <v>Unknown</v>
      </c>
      <c r="GI11" s="35" cm="1">
        <f t="array" ref="GI11">_xll.ASAssetInfo($A11,"Payment 2 (%)")</f>
        <v>0</v>
      </c>
      <c r="GJ11" s="35" t="str" cm="1">
        <f t="array" ref="GJ11">_xll.ASAssetInfo($A11,"Payment 2 (days)")</f>
        <v/>
      </c>
      <c r="GK11" s="35" t="str" cm="1">
        <f t="array" ref="GK11">_xll.ASAssetInfo($A11,"Payment 2 (Paid After)")</f>
        <v>NAV Date</v>
      </c>
      <c r="GL11" s="35" cm="1">
        <f t="array" ref="GL11">_xll.ASAssetInfo($A11,"Payment 3 (%)")</f>
        <v>0</v>
      </c>
      <c r="GM11" s="36" t="str" cm="1">
        <f t="array" ref="GM11">_xll.ASAssetInfo($A11,"Payment 3 (Days)")</f>
        <v/>
      </c>
      <c r="GN11" s="35" t="str" cm="1">
        <f t="array" ref="GN11">_xll.ASAssetInfo($A11,"Payment 3 (Paid After)")</f>
        <v>NAV Date</v>
      </c>
      <c r="GO11" s="35" cm="1">
        <f t="array" ref="GO11">_xll.ASAssetInfo($A11,"Payment 4 (%)")</f>
        <v>0</v>
      </c>
      <c r="GP11" s="36" t="str" cm="1">
        <f t="array" ref="GP11">_xll.ASAssetInfo($A11,"Payment 4 (days)")</f>
        <v/>
      </c>
      <c r="GQ11" s="35" t="str" cm="1">
        <f t="array" ref="GQ11">_xll.ASAssetInfo($A11,"Payment 4 (Paid After)")</f>
        <v>NAV Date</v>
      </c>
      <c r="GR11" s="31" cm="1">
        <f t="array" ref="GR11">_xll.ASAssetInfo($A11,"Payment 1 (%)")</f>
        <v>1</v>
      </c>
      <c r="GS11" s="35" cm="1">
        <f t="array" ref="GS11">_xll.ASAssetInfo($A11,"Lockup 1 Fee")</f>
        <v>0</v>
      </c>
      <c r="GT11" s="35" cm="1">
        <f t="array" ref="GT11">_xll.ASAssetInfo($A11,"Lockup 2 Fee")</f>
        <v>0</v>
      </c>
      <c r="GU11" s="35" cm="1">
        <f t="array" ref="GU11">_xll.ASAssetInfo($A11,"Lockup 3 Fee")</f>
        <v>0</v>
      </c>
      <c r="GV11" s="35" t="str" cm="1">
        <f t="array" ref="GV11">_xll.ASAssetInfo($A11,"Lockup 1 type")</f>
        <v>None</v>
      </c>
      <c r="GW11" s="35" t="str" cm="1">
        <f t="array" ref="GW11">_xll.ASAssetInfo($A11,"Lockup 2 type")</f>
        <v>None</v>
      </c>
      <c r="GX11" s="35" t="str" cm="1">
        <f t="array" ref="GX11">_xll.ASAssetInfo($A11,"Lockup 3 type")</f>
        <v>None</v>
      </c>
      <c r="GY11" s="35" t="str" cm="1">
        <f t="array" ref="GY11">_xll.ASAssetInfo($A11,"Redemption 1 type")</f>
        <v>Calendar</v>
      </c>
      <c r="GZ11" s="35" t="str" cm="1">
        <f t="array" ref="GZ11">_xll.ASAssetInfo($A11,"Redemption 2 type")</f>
        <v>Calendar</v>
      </c>
      <c r="HA11" s="35" t="str" cm="1">
        <f t="array" ref="HA11">_xll.ASAssetInfo($A11,"Redemption 3 type")</f>
        <v>Calendar</v>
      </c>
      <c r="HB11" s="35" t="str" cm="1">
        <f t="array" ref="HB11">_xll.ASAssetInfo($A11,"Redemption 1 Fee")</f>
        <v/>
      </c>
      <c r="HC11" s="35" t="str" cm="1">
        <f t="array" ref="HC11">_xll.ASAssetInfo($A11,"Redemption 2 Fee")</f>
        <v/>
      </c>
      <c r="HD11" s="35" t="str" cm="1">
        <f t="array" ref="HD11">_xll.ASAssetInfo($A11,"Redemption 3 Fee")</f>
        <v/>
      </c>
      <c r="HE11" s="35" t="str" cm="1">
        <f t="array" ref="HE11">_xll.ASAssetInfo($A11,"Redemption 1 Frequency")</f>
        <v>Daily</v>
      </c>
      <c r="HF11" s="35" t="str" cm="1">
        <f t="array" ref="HF11">_xll.ASAssetInfo($A11,"Redemption 2 Frequency")</f>
        <v>Unknown</v>
      </c>
      <c r="HG11" s="35" t="str" cm="1">
        <f t="array" ref="HG11">_xll.ASAssetInfo($A11,"Redemption 3 Frequency")</f>
        <v>Unknown</v>
      </c>
      <c r="HH11" s="35" t="str" cm="1">
        <f t="array" ref="HH11">_xll.ASAssetInfo($A11,"Asset Calendar")</f>
        <v>[Default]</v>
      </c>
      <c r="HI11" s="16" cm="1">
        <f t="array" ref="HI11">_xll.ASAssetStatistic($A11,"Max Second Drawdown",,,,"m",'PBA Summary'!$F$2,'PBA Summary'!$G$2)</f>
        <v>-7.2353389185072725E-2</v>
      </c>
      <c r="HJ11" s="37" cm="1">
        <f t="array" ref="HJ11">_xll.ASAssetStatistic($A11,"Date Max Second Drawdown",,,,"m",'PBA Summary'!$F$2,'PBA Summary'!$G$2)</f>
        <v>43738</v>
      </c>
      <c r="HK11" s="37" t="str" cm="1">
        <f t="array" ref="HK11">_xll.ASAssetInfo($A11,HK$1)</f>
        <v>BFOCX US</v>
      </c>
      <c r="HL11" s="37" t="str" cm="1">
        <f t="array" ref="HL11">_xll.ASAssetInfo($A11,HL$1)</f>
        <v/>
      </c>
      <c r="HM11" s="34" t="str" cm="1">
        <f t="array" ref="HM11">_xll.ASAssetInfo($A11,HM$1)</f>
        <v/>
      </c>
      <c r="HN11" s="37" t="str" cm="1">
        <f t="array" ref="HN11">_xll.ASAssetInfo($A11,HN$1)</f>
        <v/>
      </c>
      <c r="HO11" s="15" cm="1">
        <f t="array" ref="HO11">_xll.ASAssetInfo($A11,HO$1)</f>
        <v>0</v>
      </c>
      <c r="HP11" s="15" t="str" cm="1">
        <f t="array" ref="HP11">_xll.ASAssetInfo($A11,HP$1)</f>
        <v/>
      </c>
      <c r="HQ11" s="34" t="str" cm="1">
        <f t="array" ref="HQ11">_xll.ASAssetInfo($A11,HQ$1)</f>
        <v/>
      </c>
      <c r="HR11" s="37" t="str" cm="1">
        <f t="array" ref="HR11">_xll.ASAssetInfo($A11,HR$1)</f>
        <v/>
      </c>
      <c r="HS11" s="37" t="str" cm="1">
        <f t="array" ref="HS11">_xll.ASAssetInfo($A11,HS$1)</f>
        <v/>
      </c>
      <c r="HT11" s="37" t="str" cm="1">
        <f t="array" ref="HT11">_xll.ASAssetInfo($A11,HT$1)</f>
        <v/>
      </c>
      <c r="HU11" s="37" t="str" cm="1">
        <f t="array" ref="HU11">_xll.ASAssetInfo($A11,HU$1)</f>
        <v>U.S.</v>
      </c>
      <c r="HV11" s="37" t="str" cm="1">
        <f t="array" ref="HV11">_xll.ASAssetInfo($A11,HV$1)</f>
        <v>Technology</v>
      </c>
      <c r="HW11" s="37" t="str" cm="1">
        <f t="array" ref="HW11">_xll.ASAssetInfo($A11,HW$1)</f>
        <v/>
      </c>
    </row>
    <row r="12" spans="1:231" s="11" customFormat="1" ht="13.9" customHeight="1" x14ac:dyDescent="0.25">
      <c r="A12" t="s">
        <v>272</v>
      </c>
      <c r="B12" cm="1">
        <f t="array" ref="B12">_xll.ASPortfolioWeights('PBA Summary'!$C$2,"OR",$A12)</f>
        <v>0</v>
      </c>
      <c r="C12" cm="1">
        <f t="array" ref="C12">_xll.ASAssetStatistic($A12,"Annualized Return since inception",,,,"m",_xll.ASAssetInfo($A12,"Start Date"),_xll.ASAssetInfo($A12,"Last Return Date"))</f>
        <v>0.13316072541735413</v>
      </c>
      <c r="D12" cm="1">
        <f t="array" ref="D12">_xll.ASAssetStatistic($A12,"Annualized Return",,,,"m",'PBA Summary'!$F$2,'PBA Summary'!$G$2)</f>
        <v>0.2248423166652449</v>
      </c>
      <c r="E12" s="19" cm="1">
        <f t="array" ref="E12">_xll.ASAssetStatistic($A12,"Equilibrium Annual Return",,,,"m",'PBA Summary'!$F$2,'PBA Summary'!$G$2)</f>
        <v>7.3593730304699179E-2</v>
      </c>
      <c r="F12" cm="1">
        <f t="array" ref="F12">_xll.ASAssetStatistic($A12,"Annualized Volatility (Inception)",,,,"m",_xll.ASAssetInfo($A12,"Start Date"),_xll.ASAssetInfo($A12,"Last Return Date"))</f>
        <v>0.17963639788252087</v>
      </c>
      <c r="G12" cm="1">
        <f t="array" ref="G12">_xll.ASAssetStatistic($A12,"Annualized Volatility",,,,"m",'PBA Summary'!$F$2,'PBA Summary'!$G$2)</f>
        <v>0.16296933655254456</v>
      </c>
      <c r="H12" s="20" cm="1">
        <f t="array" ref="H12">_xll.ASAssetStatistic($A12,"Skewness",,,,"m",'PBA Summary'!$F$2,'PBA Summary'!$G$2)</f>
        <v>0.56667473197723883</v>
      </c>
      <c r="I12" s="20" cm="1">
        <f t="array" ref="I12">_xll.ASAssetStatistic($A12,"Excess kurtosis",,,,"m",'PBA Summary'!$F$2,'PBA Summary'!$G$2)</f>
        <v>0.7628405733937853</v>
      </c>
      <c r="J12" s="19" cm="1">
        <f t="array" ref="J12">_xll.ASAssetStatistic($A12,"Return Last 1 month",,,,"m",'PBA Summary'!$F$2,'PBA Summary'!$G$2)</f>
        <v>-5.0000000000000044E-3</v>
      </c>
      <c r="K12" s="19" cm="1">
        <f t="array" ref="K12">_xll.ASAssetStatistic($A12,"Return Last 3 months",,,,"m",'PBA Summary'!$F$2,'PBA Summary'!$G$2)</f>
        <v>4.4332099999999874E-2</v>
      </c>
      <c r="L12" s="19" cm="1">
        <f t="array" ref="L12">_xll.ASAssetStatistic($A12,"Return Last 1 year",,,,"m",'PBA Summary'!$F$2,'PBA Summary'!$G$2)</f>
        <v>0.26792204065721137</v>
      </c>
      <c r="M12" s="19" cm="1">
        <f t="array" ref="M12">_xll.ASAssetStatistic($A12,"Year-to-date Return",,,,"m",'PBA Summary'!$F$2,'PBA Summary'!$G$2)</f>
        <v>-5.0000000000000044E-3</v>
      </c>
      <c r="N12" s="19" cm="1">
        <f t="array" ref="N12">_xll.ASAssetStatistic($A12,"Annualized Return",,,,"m",EOMONTH('PBA Summary'!$G$2,-2),'PBA Summary'!$G$2)</f>
        <v>0.18947278281152324</v>
      </c>
      <c r="O12" s="19" t="str" cm="1">
        <f t="array" ref="O12">_xll.ASAssetStatistic($A12,"Annualized Return Last 3 years",,,,"m",'PBA Summary'!$F$2,'PBA Summary'!$G$2)</f>
        <v/>
      </c>
      <c r="P12" s="19" t="str" cm="1">
        <f t="array" ref="P12">_xll.ASAssetStatistic($A12,"Annualized Return Last 5 years",,,,"m",'PBA Summary'!$F$2,'PBA Summary'!$G$2)</f>
        <v/>
      </c>
      <c r="Q12" s="19" cm="1">
        <f t="array" ref="Q12">_xll.ASAssetStatistic($A12,"Annualized Volatility Last 1 year",,,,"m",'PBA Summary'!$F$2,'PBA Summary'!$G$2)</f>
        <v>0.10827576610594503</v>
      </c>
      <c r="R12" s="19" t="str" cm="1">
        <f t="array" ref="R12">_xll.ASAssetStatistic($A12,"Annualized Volatility Last 3 years",,,,"m",'PBA Summary'!$F$2,'PBA Summary'!$G$2)</f>
        <v/>
      </c>
      <c r="S12" s="19" t="str" cm="1">
        <f t="array" ref="S12">_xll.ASAssetStatistic($A12,"Annualized Volatility Last 5 years",,,,"m",'PBA Summary'!$F$2,'PBA Summary'!$G$2)</f>
        <v/>
      </c>
      <c r="T12" s="19" cm="1">
        <f t="array" ref="T12">_xll.ASAssetStatistic($A12,"Normal monthly VaR 99%",,,,"m",'PBA Summary'!$F$2,'PBA Summary'!$G$2)</f>
        <v>-9.1397083493834075E-2</v>
      </c>
      <c r="U12" s="19" cm="1">
        <f t="array" ref="U12">_xll.ASAssetStatistic($A12,"Modified monthly VaR 99%",,,,"m",'PBA Summary'!$F$2,'PBA Summary'!$G$2)</f>
        <v>-7.4498837238078347E-2</v>
      </c>
      <c r="V12" s="19" cm="1">
        <f t="array" ref="V12">_xll.ASAssetStatistic($A12,"Conditional monthly VaR 99%",,,,"m",'PBA Summary'!$F$2,'PBA Summary'!$G$2)</f>
        <v>-5.2000000000000005E-2</v>
      </c>
      <c r="W12" s="19" cm="1">
        <f t="array" ref="W12">_xll.ASAssetStatistic($A12,"Normal monthly VaR 97%",,,,"m",'PBA Summary'!$F$2,'PBA Summary'!$G$2)</f>
        <v>-7.0435896098846235E-2</v>
      </c>
      <c r="X12" s="19" cm="1">
        <f t="array" ref="X12">_xll.ASAssetStatistic($A12,"Modified monthly VaR 97%",,,,"m",'PBA Summary'!$F$2,'PBA Summary'!$G$2)</f>
        <v>-5.903554557805276E-2</v>
      </c>
      <c r="Y12" s="19" cm="1">
        <f t="array" ref="Y12">_xll.ASAssetStatistic($A12,"Conditional monthly VaR 97%",,,,"m",'PBA Summary'!$F$2,'PBA Summary'!$G$2)</f>
        <v>-5.2000000000000005E-2</v>
      </c>
      <c r="Z12" s="19" cm="1">
        <f t="array" ref="Z12">_xll.ASAssetStatistic($A12,"Normal monthly VaR 95%",,,,"m",'PBA Summary'!$F$2,'PBA Summary'!$G$2)</f>
        <v>-5.9336053636280743E-2</v>
      </c>
      <c r="AA12" s="19" cm="1">
        <f t="array" ref="AA12">_xll.ASAssetStatistic($A12,"Modified monthly VaR 95%",,,,"m",'PBA Summary'!$F$2,'PBA Summary'!$G$2)</f>
        <v>-5.074994799721478E-2</v>
      </c>
      <c r="AB12" s="19" cm="1">
        <f t="array" ref="AB12">_xll.ASAssetStatistic($A12,"Conditional monthly VaR 95%",,,,"m",'PBA Summary'!$F$2,'PBA Summary'!$G$2)</f>
        <v>-5.2000000000000005E-2</v>
      </c>
      <c r="AC12" s="66" cm="1">
        <f t="array" ref="AC12">_xll.ASAssetStatistic($A12,"Correlation to Benchmark 1","MSCI ACWI Index",,,"m",'PBA Summary'!$F$2,'PBA Summary'!$G$2)</f>
        <v>0.85357146859517186</v>
      </c>
      <c r="AD12" s="38" cm="1">
        <f t="array" ref="AD12">IF('PBA Summary'!$D$3="","",_xll.ASAssetStatistic($A12,"Correlation to Benchmark 1",'PBA Summary'!$D$3,,,"m",'PBA Summary'!$F$2,'PBA Summary'!$G$2))</f>
        <v>0.83214041852595777</v>
      </c>
      <c r="AE12" s="21" cm="1">
        <f t="array" ref="AE12">IF('PBA Summary'!$D$2="","",_xll.ASAssetStatistic($A12,"Bull correlation to Benchmark 1",'PBA Summary'!$D$2,,,"m",'PBA Summary'!$F$2,'PBA Summary'!$G$2))</f>
        <v>0.87709900798201523</v>
      </c>
      <c r="AF12" s="21" cm="1">
        <f t="array" ref="AF12">IF('PBA Summary'!$D$2="","",_xll.ASAssetStatistic($A12,"Bear correlation to Benchmark 1",'PBA Summary'!$D$2,,,"m",'PBA Summary'!$F$2,'PBA Summary'!$G$2))</f>
        <v>0.93066004020535009</v>
      </c>
      <c r="AG12" s="21" cm="1">
        <f t="array" ref="AG12">IF('PBA Summary'!$D$3="","",_xll.ASAssetStatistic($A12,"Bull correlation to Benchmark 1",'PBA Summary'!$D$3,,,"m",'PBA Summary'!$F$2,'PBA Summary'!$G$2))</f>
        <v>0.87709900798201523</v>
      </c>
      <c r="AH12" s="21" cm="1">
        <f t="array" ref="AH12">IF('PBA Summary'!$D$3="","",_xll.ASAssetStatistic($A12,"Bear correlation to Benchmark 1",'PBA Summary'!$D$3,,,"m",'PBA Summary'!$F$2,'PBA Summary'!$G$2))</f>
        <v>0.93066004020535009</v>
      </c>
      <c r="AI12" s="24" cm="1">
        <f t="array" ref="AI12">IF('PBA Summary'!$D$2="","",_xll.ASAssetStatistic($A12,"Beta to Benchmark 1",'PBA Summary'!$D$2,,,"m",'PBA Summary'!$F$2,'PBA Summary'!$G$2))</f>
        <v>0.88333664405487289</v>
      </c>
      <c r="AJ12" s="24" t="str" cm="1">
        <f t="array" ref="AJ12">IF('PBA Summary'!$D$2="","",_xll.ASAssetStatistic($A12,"Beta to Benchmark 1 Last 3 years",'PBA Summary'!$D$2,,,"m",'PBA Summary'!$F$2,'PBA Summary'!$G$2))</f>
        <v/>
      </c>
      <c r="AK12" s="24" t="str" cm="1">
        <f t="array" ref="AK12">IF('PBA Summary'!$D$2="","",_xll.ASAssetStatistic($A12,"Beta to Benchmark 1 Last 5 years",'PBA Summary'!$D$2,,,"m",'PBA Summary'!$F$2,'PBA Summary'!$G$2))</f>
        <v/>
      </c>
      <c r="AL12" s="25" cm="1">
        <f t="array" ref="AL12">IF('PBA Summary'!$D$3="","",_xll.ASAssetStatistic($A12,"Beta to Benchmark 1",'PBA Summary'!$D$3,,,"m",'PBA Summary'!$F$2,'PBA Summary'!$G$2))</f>
        <v>0.88333664405487289</v>
      </c>
      <c r="AM12" s="25" t="str" cm="1">
        <f t="array" ref="AM12">IF('PBA Summary'!$D$3="","",_xll.ASAssetStatistic($A12,"Beta to Benchmark 1 Last 3 years",'PBA Summary'!$D$3,,,"m",'PBA Summary'!$F$2,'PBA Summary'!$G$2))</f>
        <v/>
      </c>
      <c r="AN12" s="25" t="str" cm="1">
        <f t="array" ref="AN12">IF('PBA Summary'!$D$3="","",_xll.ASAssetStatistic($A12,"Beta to Benchmark 1 Last 5 years",'PBA Summary'!$D$3,,,"m",'PBA Summary'!$F$2,'PBA Summary'!$G$2))</f>
        <v/>
      </c>
      <c r="AO12" s="25" cm="1">
        <f t="array" ref="AO12">IF('PBA Summary'!$D$2="","",_xll.ASAssetStatistic($A12,"Bull Beta to Benchmark 1",'PBA Summary'!$D$2,,,"m",'PBA Summary'!$F$2,'PBA Summary'!$G$2))</f>
        <v>1.7919486893611405</v>
      </c>
      <c r="AP12" s="25" cm="1">
        <f t="array" ref="AP12">IF('PBA Summary'!$D$2="","",_xll.ASAssetStatistic($A12,"Bear Beta to Benchmark 1",'PBA Summary'!$D$2,,,"m",'PBA Summary'!$F$2,'PBA Summary'!$G$2))</f>
        <v>0.65282826789129011</v>
      </c>
      <c r="AQ12" s="25" cm="1">
        <f t="array" ref="AQ12">IF('PBA Summary'!$D$3="","",_xll.ASAssetStatistic($A12,"Bull Beta to Benchmark 1",'PBA Summary'!$D$3,,,"m",'PBA Summary'!$F$2,'PBA Summary'!$G$2))</f>
        <v>1.7919486893611405</v>
      </c>
      <c r="AR12" s="25" cm="1">
        <f t="array" ref="AR12">IF('PBA Summary'!$D$3="","",_xll.ASAssetStatistic($A12,"Bear Beta to Benchmark 1",'PBA Summary'!$D$3,,,"m",'PBA Summary'!$F$2,'PBA Summary'!$G$2))</f>
        <v>0.65282826789129011</v>
      </c>
      <c r="AS12" s="25" cm="1">
        <f t="array" ref="AS12">_xll.ASAssetStatistic($A12,"Annual Sharpe Ratio (Rf)",,,'PBA Summary'!$H$2,"m",'PBA Summary'!$F$2,'PBA Summary'!$G$2)</f>
        <v>1.3643199473513064</v>
      </c>
      <c r="AT12" s="25" t="str" cm="1">
        <f t="array" ref="AT12">_xll.ASAssetStatistic($A12,"Annual Sharpe Ratio (Rf) Last 3 years",,,'PBA Summary'!$H$2,"m",'PBA Summary'!$F$2,'PBA Summary'!$G$2)</f>
        <v/>
      </c>
      <c r="AU12" s="25" t="str" cm="1">
        <f t="array" ref="AU12">_xll.ASAssetStatistic($A12,"Annual Sharpe Ratio (Rf) Last 5 years",,,'PBA Summary'!$H$2,"m",'PBA Summary'!$F$2,'PBA Summary'!$G$2)</f>
        <v/>
      </c>
      <c r="AV12" s="18" cm="1">
        <f t="array" ref="AV12">_xll.ASAssetStatistic($A12,"Ann. Downside Deviation (vs 0%)",,,'PBA Summary'!$H$2,"m",'PBA Summary'!$F$2,'PBA Summary'!$G$2)</f>
        <v>7.2521246177833384E-2</v>
      </c>
      <c r="AW12" s="18" cm="1">
        <f t="array" ref="AW12">_xll.ASAssetStatistic($A12,"Ann. Downside Deviation (vs Rf)",,,'PBA Summary'!$H$2,"m",'PBA Summary'!$F$2,'PBA Summary'!$G$2)</f>
        <v>7.2853338903727236E-2</v>
      </c>
      <c r="AX12" s="39" cm="1">
        <f t="array" ref="AX12">_xll.ASAssetStatistic($A12,"Annual Treynor ratio",,,'PBA Summary'!$H$2,"m",'PBA Summary'!$F$2,'PBA Summary'!$G$2)</f>
        <v>0.25166970482745782</v>
      </c>
      <c r="AY12" s="26" cm="1">
        <f t="array" ref="AY12">_xll.ASAssetStatistic($A12,"Annual Sortino Ratio (vs 0%)",,,'PBA Summary'!$H$2,"m",'PBA Summary'!$F$2,'PBA Summary'!$G$2)</f>
        <v>3.1003647691587721</v>
      </c>
      <c r="AZ12" s="26" cm="1">
        <f t="array" ref="AZ12">_xll.ASAssetStatistic($A12,"Annual Sortino Ratio (vs Rf)",,,'PBA Summary'!$H$2,"m",'PBA Summary'!$F$2,'PBA Summary'!$G$2)</f>
        <v>3.0519166315638788</v>
      </c>
      <c r="BA12" s="26" cm="1">
        <f t="array" ref="BA12">_xll.ASAssetStatistic($A12,"Sterling ratio",,,'PBA Summary'!$H$2,"m",'PBA Summary'!$F$2,'PBA Summary'!$G$2)</f>
        <v>1.5880576912240254</v>
      </c>
      <c r="BB12" s="26" cm="1">
        <f t="array" ref="BB12">_xll.ASAssetStatistic($A12,"Calmar ratio",,,'PBA Summary'!$H$2,"m",'PBA Summary'!$F$2,'PBA Summary'!$G$2)</f>
        <v>2.3517102822488138</v>
      </c>
      <c r="BC12" s="26" cm="1">
        <f t="array" ref="BC12">_xll.ASAssetStatistic($A12,"Hurst index",,,'PBA Summary'!$H$2,"m",'PBA Summary'!$F$2,'PBA Summary'!$G$2)</f>
        <v>0.45853617787848283</v>
      </c>
      <c r="BD12" s="26" cm="1">
        <f t="array" ref="BD12">_xll.ASAssetStatistic($A12,"Omega (Threshold 1)",,,'PBA Summary'!$H$2,"m",'PBA Summary'!$F$2,'PBA Summary'!$G$2)</f>
        <v>2.872251147574266</v>
      </c>
      <c r="BE12" s="26" cm="1">
        <f t="array" ref="BE12">_xll.ASAssetStatistic($A12,"Omega (Threshold 2)",,,'PBA Summary'!$H$2,"m",'PBA Summary'!$F$2,'PBA Summary'!$G$2)</f>
        <v>2.1890403985181974</v>
      </c>
      <c r="BF12" s="26" cm="1">
        <f t="array" ref="BF12">_xll.ASAssetStatistic($A12,"Omega (Threshold 3)",,,'PBA Summary'!$H$2,"m",'PBA Summary'!$F$2,'PBA Summary'!$G$2)</f>
        <v>1.6349402009442151</v>
      </c>
      <c r="BG12" s="26" cm="1">
        <f t="array" ref="BG12">_xll.ASAssetStatistic($A12,"Omega (Threshold 4)",,,'PBA Summary'!$H$2,"m",'PBA Summary'!$F$2,'PBA Summary'!$G$2)</f>
        <v>1.2032637614852117</v>
      </c>
      <c r="BH12" s="26" cm="1">
        <f t="array" ref="BH12">_xll.ASAssetStatistic($A12,"Omega (Threshold 5)",,,'PBA Summary'!$H$2,"m",'PBA Summary'!$F$2,'PBA Summary'!$G$2)</f>
        <v>0.88934063695425425</v>
      </c>
      <c r="BI12" s="26" t="str" cm="1">
        <f t="array" ref="BI12">_xll.ASAssetStatistic($A12,"Autocorrelated (illiquid)",,,'PBA Summary'!$H$2,"m",'PBA Summary'!$F$2,'PBA Summary'!$G$2)</f>
        <v>No</v>
      </c>
      <c r="BJ12" s="27" cm="1">
        <f t="array" ref="BJ12">_xll.ASAssetStatistic($A12,"% months in Run Up",,,'PBA Summary'!$H$2,"m",'PBA Summary'!$F$2,'PBA Summary'!$G$2)</f>
        <v>0.73333333333333339</v>
      </c>
      <c r="BK12" s="27" cm="1">
        <f t="array" ref="BK12">_xll.ASAssetStatistic($A12,"% months in Drawdown",,,'PBA Summary'!$H$2,"m",'PBA Summary'!$F$2,'PBA Summary'!$G$2)</f>
        <v>0.26666666666666666</v>
      </c>
      <c r="BL12" s="18" cm="1">
        <f t="array" ref="BL12">IF('PBA Summary'!$D$2="","",_xll.ASAssetStatistic($A12,"Bull Beta to Benchmark 1",'PBA Summary'!$D$2,,,"m",'PBA Summary'!$F$2,'PBA Summary'!$G$2))</f>
        <v>1.7919486893611405</v>
      </c>
      <c r="BM12" s="18" cm="1">
        <f t="array" ref="BM12">IF('PBA Summary'!$D$2="","",_xll.ASAssetStatistic($A12,"Average return during bear Benchmark 1",'PBA Summary'!$D$2,,,"m",'PBA Summary'!$F$2,'PBA Summary'!$G$2))</f>
        <v>-2.2272622493333602E-2</v>
      </c>
      <c r="BN12" s="18" cm="1">
        <f t="array" ref="BN12">IF('PBA Summary'!$D$3="","",_xll.ASAssetStatistic($A12,"Average return during bull Benchmark 1",'PBA Summary'!$D$3,,,"m",'PBA Summary'!$F$2,'PBA Summary'!$G$2))</f>
        <v>3.2707871261326148E-2</v>
      </c>
      <c r="BO12" s="18" cm="1">
        <f t="array" ref="BO12">IF('PBA Summary'!$D$3="","",_xll.ASAssetStatistic($A12,"Average return during bear Benchmark 1",'PBA Summary'!$D$3,,,"m",'PBA Summary'!$F$2,'PBA Summary'!$G$2))</f>
        <v>-2.2272622493333602E-2</v>
      </c>
      <c r="BP12" s="27" cm="1">
        <f t="array" ref="BP12">_xll.ASAssetStatistic($A12,"Maximum consecutive gain",,,'PBA Summary'!$H$2,"m",'PBA Summary'!$F$2,'PBA Summary'!$G$2)</f>
        <v>0.24234687633360941</v>
      </c>
      <c r="BQ12" s="27" cm="1">
        <f t="array" ref="BQ12">_xll.ASAssetStatistic($A12,"Maximum consecutive loss",,,'PBA Summary'!$H$2,"m",'PBA Summary'!$F$2,'PBA Summary'!$G$2)</f>
        <v>-9.5608000000000137E-2</v>
      </c>
      <c r="BR12" s="27" cm="1">
        <f t="array" ref="BR12">_xll.ASAssetStatistic($A12,"Max monthly gain",,,'PBA Summary'!$H$2,"m",'PBA Summary'!$F$2,'PBA Summary'!$G$2)</f>
        <v>0.123701509819092</v>
      </c>
      <c r="BS12" s="27" cm="1">
        <f t="array" ref="BS12">_xll.ASAssetStatistic($A12,"Max monthly loss",,,'PBA Summary'!$H$2,"m",'PBA Summary'!$F$2,'PBA Summary'!$G$2)</f>
        <v>-5.2000000000000005E-2</v>
      </c>
      <c r="BT12" s="27" cm="1">
        <f t="array" ref="BT12">_xll.ASAssetStatistic($A12,"Max drawdown",,,'PBA Summary'!$H$2,"m",'PBA Summary'!$F$2,'PBA Summary'!$G$2)</f>
        <v>-9.5608000000000137E-2</v>
      </c>
      <c r="BU12" s="28" cm="1">
        <f t="array" ref="BU12">_xll.ASAssetStatistic($A12,"Date Max drawdown",,,'PBA Summary'!$H$2,"m",'PBA Summary'!$F$2,'PBA Summary'!$G$2)</f>
        <v>43465</v>
      </c>
      <c r="BV12" s="28" cm="1">
        <f t="array" ref="BV12">_xll.ASAssetStatistic($A12,"Start Date Max Drawdown",,,'PBA Summary'!$H$2,"m",'PBA Summary'!$F$2,'PBA Summary'!$G$2)</f>
        <v>43434</v>
      </c>
      <c r="BW12" s="28" cm="1">
        <f t="array" ref="BW12">_xll.ASAssetStatistic($A12,"End Date Max Drawdown",,,'PBA Summary'!$H$2,"m",'PBA Summary'!$F$2,'PBA Summary'!$G$2)</f>
        <v>43465</v>
      </c>
      <c r="BX12" s="29" cm="1">
        <f t="array" ref="BX12">_xll.ASAssetStatistic($A12,"Max Time-under-water (months)",,,'PBA Summary'!$H$2,"m",'PBA Summary'!$F$2,'PBA Summary'!$G$2)</f>
        <v>2</v>
      </c>
      <c r="BY12" s="27" cm="1">
        <f t="array" ref="BY12">_xll.ASAssetStatistic($A12,"Max possible drawdown 99%",,,'PBA Summary'!$H$2,"m",'PBA Summary'!$F$2,'PBA Summary'!$G$2)</f>
        <v>-0.16593161647936353</v>
      </c>
      <c r="BZ12" s="27" cm="1">
        <f t="array" ref="BZ12">_xll.ASAssetStatistic($A12,"Max possible drawdown 99.9%",,,'PBA Summary'!$H$2,"m",'PBA Summary'!$F$2,'PBA Summary'!$G$2)</f>
        <v>-0.2927939405553201</v>
      </c>
      <c r="CA12" s="30" cm="1">
        <f t="array" ref="CA12">_xll.ASAssetStatistic($A12,"Max Possible Time-under-water 99% (months)",,,'PBA Summary'!$H$2,"m",'PBA Summary'!$F$2,'PBA Summary'!$G$2)</f>
        <v>36.778872000988713</v>
      </c>
      <c r="CB12" s="30" cm="1">
        <f t="array" ref="CB12">_xll.ASAssetStatistic($A12,"Max Possible Time-under-water 99.9% (months)",,,'PBA Summary'!$H$2,"m",'PBA Summary'!$F$2,'PBA Summary'!$G$2)</f>
        <v>64.898004918119284</v>
      </c>
      <c r="CC12" s="17" cm="1">
        <f t="array" ref="CC12">_xll.ASPortfolioReturnAttribution('PBA Summary'!$C$2,"OR",A12,"Last 1m",'PBA Summary'!$F$2,'PBA Summary'!$G$2)</f>
        <v>0</v>
      </c>
      <c r="CD12" s="11" t="str" cm="1">
        <f t="array" ref="CD12">_xll.ASAssetInfo($A12,"Strategy")</f>
        <v>Funds - Short CDS</v>
      </c>
      <c r="CE12" s="14" cm="1">
        <f t="array" ref="CE12">_xll.ASAssetInfo($A12,"Start Date")</f>
        <v>41394</v>
      </c>
      <c r="CF12" s="14" t="str" cm="1">
        <f t="array" ref="CF12">_xll.ASAssetRatings($A12,"Quantitative",0,0,0,0,0,'PBA Summary'!$F$2,'PBA Summary'!$G$2)</f>
        <v/>
      </c>
      <c r="CG12" s="14" t="str" cm="1">
        <f t="array" ref="CG12">_xll.ASAssetRatings($A12,"Qualitative",0,0,0,0,0,'PBA Summary'!$F$2,'PBA Summary'!$G$2)</f>
        <v/>
      </c>
      <c r="CH12" s="14" t="str" cm="1">
        <f t="array" ref="CH12">_xll.ASAssetRatings($A12,"Final",0,0,0,0,0,'PBA Summary'!$F$2,'PBA Summary'!$G$2)</f>
        <v/>
      </c>
      <c r="CI12" s="14" cm="1">
        <f t="array" ref="CI12">_xll.ASAssetInfo($A12,"Last Return Date")</f>
        <v>44104</v>
      </c>
      <c r="CJ12" s="14" t="str" cm="1">
        <f t="array" ref="CJ12">_xll.ASAssetInfo($A12,"Company Name")</f>
        <v/>
      </c>
      <c r="CK12" s="14" t="str" cm="1">
        <f t="array" ref="CK12">_xll.ASAssetInfo($A12,"Manager Name")</f>
        <v/>
      </c>
      <c r="CL12" s="14" t="str" cm="1">
        <f t="array" ref="CL12">_xll.ASAssetInfo($A12,"Address")</f>
        <v/>
      </c>
      <c r="CM12" s="14" t="str" cm="1">
        <f t="array" ref="CM12">_xll.ASAssetInfo($A12,"Phone Number")</f>
        <v/>
      </c>
      <c r="CN12" s="14" t="str" cm="1">
        <f t="array" ref="CN12">_xll.ASAssetInfo($A12,"Email")</f>
        <v/>
      </c>
      <c r="CO12" s="14" t="str" cm="1">
        <f t="array" ref="CO12">_xll.ASAssetInfo($A12,"Asset Type")</f>
        <v>Fixed Income</v>
      </c>
      <c r="CP12" s="14" t="str" cm="1">
        <f t="array" ref="CP12">_xll.ASAssetInfo($A12,"Proprietary ID")</f>
        <v/>
      </c>
      <c r="CQ12" s="14" t="str" cm="1">
        <f t="array" ref="CQ12">_xll.ASAssetInfo($A12,"Country")</f>
        <v>[Not Classified]</v>
      </c>
      <c r="CR12" s="14" t="str" cm="1">
        <f t="array" ref="CR12">_xll.ASAssetInfo($A12,"Currency")</f>
        <v>USD</v>
      </c>
      <c r="CS12" s="14" t="str" cm="1">
        <f t="array" ref="CS12">_xll.ASAssetInfo($A12,"Sub-Strategy")</f>
        <v>Investment Grade</v>
      </c>
      <c r="CT12" s="31" cm="1">
        <f t="array" ref="CT12">_xll.ASAssetInfo($A12,"Fund AUM (m)")</f>
        <v>1500</v>
      </c>
      <c r="CU12" s="31" t="str" cm="1">
        <f t="array" ref="CU12">_xll.ASAssetInfo($A12,"Status")</f>
        <v>Unknown</v>
      </c>
      <c r="CV12" s="31" t="str" cm="1">
        <f t="array" ref="CV12">_xll.ASAssetInfo($A12,"Redemption 1 Frequency")</f>
        <v>Monthly</v>
      </c>
      <c r="CW12" s="31" t="str" cm="1">
        <f t="array" ref="CW12">_xll.ASAssetInfo($A12,"Redemption 2 Frequency")</f>
        <v>Unknown</v>
      </c>
      <c r="CX12" s="31" t="str" cm="1">
        <f t="array" ref="CX12">_xll.ASAssetInfo($A12,"Redemption 3 Frequency")</f>
        <v>Unknown</v>
      </c>
      <c r="CY12" s="31" t="str" cm="1">
        <f t="array" ref="CY12">_xll.ASAssetInfo($A12,"Notice Period")</f>
        <v>35 Days</v>
      </c>
      <c r="CZ12" s="15" cm="1">
        <f t="array" ref="CZ12">_xll.ASAssetInfo($A12,"Performance Fee")</f>
        <v>0.17499999999999999</v>
      </c>
      <c r="DA12" s="15" cm="1">
        <f t="array" ref="DA12">_xll.ASAssetInfo($A12,"Management Fee")</f>
        <v>1.4999999999999999E-2</v>
      </c>
      <c r="DB12" s="15" t="str" cm="1">
        <f t="array" ref="DB12">_xll.ASAssetInfo($A12,"ISIN")</f>
        <v>IE00BKSBCY24</v>
      </c>
      <c r="DC12" s="16" cm="1">
        <f t="array" ref="DC12">_xll.ASAssetStatistic($A12,"Return during " &amp;YEAR(EOMONTH('PBA Summary'!$G$2,-60)),,,,"M",DATE(YEAR(EOMONTH('PBA Summary'!$G$2,-60)),1,31),DATE(YEAR(EOMONTH('PBA Summary'!$G$2,-60)),12,31))</f>
        <v>2.054897215229512E-2</v>
      </c>
      <c r="DD12" s="16" cm="1">
        <f t="array" ref="DD12">_xll.ASAssetStatistic($A12,"Return during " &amp;YEAR(EOMONTH('PBA Summary'!$G$2,-48)),,,,"M",DATE(YEAR(EOMONTH('PBA Summary'!$G$2,-48)),1,31),DATE(YEAR(EOMONTH('PBA Summary'!$G$2,-48)),12,31))</f>
        <v>0.24034645539217681</v>
      </c>
      <c r="DE12" s="16" cm="1">
        <f t="array" ref="DE12">_xll.ASAssetStatistic($A12,"Return during " &amp;YEAR(EOMONTH('PBA Summary'!$G$2,-36)),,,,"M",DATE(YEAR(EOMONTH('PBA Summary'!$G$2,-36)),1,31),DATE(YEAR(EOMONTH('PBA Summary'!$G$2,-36)),12,31))</f>
        <v>0.28325794283224637</v>
      </c>
      <c r="DF12" s="16" cm="1">
        <f t="array" ref="DF12">_xll.ASAssetStatistic($A12,"Return during " &amp;YEAR(EOMONTH('PBA Summary'!$G$2,-24)),,,,"M",DATE(YEAR(EOMONTH('PBA Summary'!$G$2,-24)),1,31),DATE(YEAR(EOMONTH('PBA Summary'!$G$2,-24)),12,31))</f>
        <v>-6.8079295455983457E-2</v>
      </c>
      <c r="DG12" s="16" cm="1">
        <f t="array" ref="DG12">_xll.ASAssetStatistic($A12,"Return during " &amp;YEAR(EOMONTH('PBA Summary'!$G$2,-12)),,,,"M",DATE(YEAR(EOMONTH('PBA Summary'!$G$2,-12)),1,31),DATE(YEAR(EOMONTH('PBA Summary'!$G$2,-12)),12,31))</f>
        <v>0.43192553911498655</v>
      </c>
      <c r="DH12" s="11" t="str" cm="1">
        <f t="array" ref="DH12">_xll.ASAssetInfo($A12,"Prime Broker")</f>
        <v/>
      </c>
      <c r="DI12" s="16" cm="1">
        <f t="array" ref="DI12">_xll.ASAssetStatistic($A12,"Return",,,,"m",'PBA Summary'!$F$2,'PBA Summary'!$G$2)</f>
        <v>0.2885468921604244</v>
      </c>
      <c r="DJ12" s="33" cm="1">
        <f t="array" ref="DJ12">IF('PBA Summary'!$D$2="","",_xll.ASAssetStatistic($A12,"Ann. Information Ratio vs Benchmark 1",'PBA Summary'!$D$2,,,"m",'PBA Summary'!$F$2,'PBA Summary'!$G$2))</f>
        <v>0.57014311967551934</v>
      </c>
      <c r="DK12" s="33" cm="1">
        <f t="array" ref="DK12">IF('PBA Summary'!$D$3="","",_xll.ASAssetStatistic($A12,"Ann. Information Ratio vs Benchmark 1",'PBA Summary'!$D$3,,,"m",'PBA Summary'!$F$2,'PBA Summary'!$G$2))</f>
        <v>0.57014311967551934</v>
      </c>
      <c r="DL12" s="33" cm="1">
        <f t="array" ref="DL12">IF('PBA Summary'!$D$2="","",_xll.ASAssetStatistic($A12,"Ann. Tracking Error vs Benchmark 1",'PBA Summary'!$D$2,,,"m",'PBA Summary'!$F$2,'PBA Summary'!$G$2))</f>
        <v>9.2134730080534147E-2</v>
      </c>
      <c r="DM12" s="33" cm="1">
        <f t="array" ref="DM12">IF('PBA Summary'!$D$3="","",_xll.ASAssetStatistic($A12,"Ann. Tracking Error vs Benchmark 1",'PBA Summary'!$D$3,,,"m",'PBA Summary'!$F$2,'PBA Summary'!$G$2))</f>
        <v>9.2134730080534147E-2</v>
      </c>
      <c r="DN12" s="33" cm="1">
        <f t="array" ref="DN12">IF('PBA Summary'!$D$2="","",_xll.ASAssetStatistic($A12,"R² vs Benchmark 1",'PBA Summary'!$D$2,,,"m",'PBA Summary'!$F$2,'PBA Summary'!$G$2))</f>
        <v>0.69245767614455611</v>
      </c>
      <c r="DO12" s="33" cm="1">
        <f t="array" ref="DO12">IF('PBA Summary'!$D$3="","",_xll.ASAssetStatistic($A12,"R² vs Benchmark 1",'PBA Summary'!$D$3,,,"m",'PBA Summary'!$F$2,'PBA Summary'!$G$2))</f>
        <v>0.69245767614455611</v>
      </c>
      <c r="DP12" s="11" t="str" cm="1">
        <f t="array" ref="DP12">_xll.ASAssetInfo($A12,"On-/Offshore")</f>
        <v>Unknown</v>
      </c>
      <c r="DQ12" s="16" cm="1">
        <f t="array" ref="DQ12">_xll.ASAssetStatistic($A12,"Quarter-to-date",,,,"m",'PBA Summary'!$F$2,'PBA Summary'!$G$2)</f>
        <v>-5.0000000000000044E-3</v>
      </c>
      <c r="DR12" s="16" cm="1">
        <f t="array" ref="DR12">_xll.ASAssetStatistic($A12,"Annualized Return Since inception",,,,"m",'PBA Summary'!$F$2,'PBA Summary'!$G$2)</f>
        <v>0.13316072541735413</v>
      </c>
      <c r="DS12" s="16" cm="1">
        <f t="array" ref="DS12">IF('PBA Summary'!$D$2="","",_xll.ASAssetStatistic($A12,"Ann. Bear Market Return vs Benchmark 1",'PBA Summary'!$D$2,,,"m",'PBA Summary'!$F$2,'PBA Summary'!$G$2))</f>
        <v>-0.23990641406522406</v>
      </c>
      <c r="DT12" s="16" cm="1">
        <f t="array" ref="DT12">IF('PBA Summary'!$D$2="","",_xll.ASAssetStatistic($A12,"Ann. Bull Market Return vs Benchmark 1",'PBA Summary'!$D$2,,,"m",'PBA Summary'!$F$2,'PBA Summary'!$G$2))</f>
        <v>0.45690222209883591</v>
      </c>
      <c r="DU12" s="16" cm="1">
        <f t="array" ref="DU12">IF('PBA Summary'!$D$3="","",_xll.ASAssetStatistic($A12,"Ann. Bear Market Return vs Benchmark 1",'PBA Summary'!$D$3,,,"m",'PBA Summary'!$F$2,'PBA Summary'!$G$2))</f>
        <v>-0.23990641406522406</v>
      </c>
      <c r="DV12" s="16" cm="1">
        <f t="array" ref="DV12">IF('PBA Summary'!$D$3="","",_xll.ASAssetStatistic($A12,"Ann. Bull Market Return vs Benchmark 1",'PBA Summary'!$D$3,,,"m",'PBA Summary'!$F$2,'PBA Summary'!$G$2))</f>
        <v>0.45690222209883591</v>
      </c>
      <c r="DW12" s="17" cm="1">
        <f t="array" ref="DW12">_xll.ASAssetStatistic($A12,"Average Positive Return",,,,"m",'PBA Summary'!$F$2,'PBA Summary'!$G$2)</f>
        <v>3.7752664625105695E-2</v>
      </c>
      <c r="DX12" s="17" cm="1">
        <f t="array" ref="DX12">_xll.ASAssetStatistic($A12,"Average Negative Return",,,,"m",'PBA Summary'!$F$2,'PBA Summary'!$G$2)</f>
        <v>-3.6145804243727354E-2</v>
      </c>
      <c r="DY12" s="16" cm="1">
        <f t="array" ref="DY12">IF('PBA Summary'!$D$2="","",_xll.ASAssetStatistic($A12,"Outperformance vs Benchmark 1",'PBA Summary'!$D$2,,,"m",'PBA Summary'!$F$2,'PBA Summary'!$G$2))</f>
        <v>6.8703247351705743E-2</v>
      </c>
      <c r="DZ12" s="16" cm="1">
        <f t="array" ref="DZ12">IF('PBA Summary'!$D$3="","",_xll.ASAssetStatistic($A12,"Outperformance vs Benchmark 1",'PBA Summary'!$D$3,,,"m",'PBA Summary'!$F$2,'PBA Summary'!$G$2))</f>
        <v>6.8703247351705743E-2</v>
      </c>
      <c r="EA12" s="16" cm="1">
        <f t="array" ref="EA12">IF('PBA Summary'!$D$2="","",_xll.ASAssetStatistic($A12,"Annual Outperformance vs Benchmark 1",'PBA Summary'!$D$2,,,"m",'PBA Summary'!$F$2,'PBA Summary'!$G$2))</f>
        <v>5.2529982438577649E-2</v>
      </c>
      <c r="EB12" s="16" cm="1">
        <f t="array" ref="EB12">IF('PBA Summary'!$D$3="","",_xll.ASAssetStatistic($A12,"Annual Outperformance vs Benchmark 1",'PBA Summary'!$D$3,,,"m",'PBA Summary'!$F$2,'PBA Summary'!$G$2))</f>
        <v>5.2529982438577649E-2</v>
      </c>
      <c r="EC12" s="32" cm="1">
        <f t="array" ref="EC12">_xll.ASAssetStatistic($A12,"Rachev Ratio 99%",,,,"m",'PBA Summary'!$F$2,'PBA Summary'!$G$2)</f>
        <v>-2.3788751888286921</v>
      </c>
      <c r="ED12" s="32" cm="1">
        <f t="array" ref="ED12">_xll.ASAssetStatistic($A12,"Rachev Ratio 97%",,,,"m",'PBA Summary'!$F$2,'PBA Summary'!$G$2)</f>
        <v>-2.3788751888286921</v>
      </c>
      <c r="EE12" s="32" cm="1">
        <f t="array" ref="EE12">_xll.ASAssetStatistic($A12,"Rachev Ratio 95%",,,,"m",'PBA Summary'!$F$2,'PBA Summary'!$G$2)</f>
        <v>-2.3788751888286921</v>
      </c>
      <c r="EF12" s="32" cm="1">
        <f t="array" ref="EF12">_xll.ASAssetStatistic($A12,"Rachev Ratio 90%",,,,"m",'PBA Summary'!$F$2,'PBA Summary'!$G$2)</f>
        <v>-2.1455970389703278</v>
      </c>
      <c r="EG12" s="34" cm="1">
        <f t="array" ref="EG12">IF('PBA Summary'!$D$2="","",_xll.ASAssetStatistic($A12,"Annual Up Capture vs Benchmark 1",'PBA Summary'!$D$2,,,"m",'PBA Summary'!$F$2,'PBA Summary'!$G$2))</f>
        <v>0.90259802787171506</v>
      </c>
      <c r="EH12" s="34" cm="1">
        <f t="array" ref="EH12">IF('PBA Summary'!$D$3="","",_xll.ASAssetStatistic($A12,"Annual Up Capture vs Benchmark 1",'PBA Summary'!$D$3,,,"m",'PBA Summary'!$F$2,'PBA Summary'!$G$2))</f>
        <v>0.90259802787171506</v>
      </c>
      <c r="EI12" s="34" cm="1">
        <f t="array" ref="EI12">IF('PBA Summary'!$D$2="","",_xll.ASAssetStatistic($A12,"Annual Down Capture vs Benchmark 1",'PBA Summary'!$D$2,,,"m",'PBA Summary'!$F$2,'PBA Summary'!$G$2))</f>
        <v>0.58297111444977356</v>
      </c>
      <c r="EJ12" s="34" cm="1">
        <f t="array" ref="EJ12">IF('PBA Summary'!$D$3="","",_xll.ASAssetStatistic($A12,"Annual Down Capture vs Benchmark 1",'PBA Summary'!$D$3,,,"m",'PBA Summary'!$F$2,'PBA Summary'!$G$2))</f>
        <v>0.58297111444977356</v>
      </c>
      <c r="EK12" s="16" cm="1">
        <f t="array" ref="EK12">IF('PBA Summary'!$D$2="","",_xll.ASAssetStatistic($A12,"Ann. Tracking Error vs Benchmark 1",'PBA Summary'!$D$2,,,"m",'PBA Summary'!$F$2,'PBA Summary'!$G$2))</f>
        <v>9.2134730080534147E-2</v>
      </c>
      <c r="EL12" s="16" cm="1">
        <f t="array" ref="EL12">IF('PBA Summary'!$D$3="","",_xll.ASAssetStatistic($A12,"Ann. Tracking Error vs Benchmark 1",'PBA Summary'!$D$3,,,"m",'PBA Summary'!$F$2,'PBA Summary'!$G$2))</f>
        <v>9.2134730080534147E-2</v>
      </c>
      <c r="EM12" s="16" cm="1">
        <f t="array" ref="EM12">IF('PBA Summary'!$D$2="","",_xll.ASAssetStatistic($A12,"Annual Jensen Alpha vs Benchmark 1 (Rf)",'PBA Summary'!$D$2,,,"m",'PBA Summary'!$F$2,'PBA Summary'!$G$2))</f>
        <v>7.234085923033623E-2</v>
      </c>
      <c r="EN12" s="16" cm="1">
        <f t="array" ref="EN12">IF('PBA Summary'!$D$3="","",_xll.ASAssetStatistic($A12,"Annual Jensen Alpha vs Benchmark 1 (Rf)",'PBA Summary'!$D$3,,,"m",'PBA Summary'!$F$2,'PBA Summary'!$G$2))</f>
        <v>7.234085923033623E-2</v>
      </c>
      <c r="EO12" s="33" cm="1">
        <f t="array" ref="EO12">IF('PBA Summary'!$D$2="","",_xll.ASAssetStatistic($A12,"Ann. Information Ratio vs Benchmark 1",'PBA Summary'!$D$2,,,"m",'PBA Summary'!$F$2,'PBA Summary'!$G$2))</f>
        <v>0.57014311967551934</v>
      </c>
      <c r="EP12" s="33" cm="1">
        <f t="array" ref="EP12">IF('PBA Summary'!$D$3="","",_xll.ASAssetStatistic($A12,"Ann. Information Ratio vs Benchmark 1",'PBA Summary'!$D$3,,,"m",'PBA Summary'!$F$2,'PBA Summary'!$G$2))</f>
        <v>0.57014311967551934</v>
      </c>
      <c r="EQ12" s="17" cm="1">
        <f t="array" ref="EQ12">IF('PBA Summary'!$D$2="","",_xll.ASAssetStatistic($A12,"Alpha Monthly vs Benchmark 1",'PBA Summary'!$D$2,,,"m",'PBA Summary'!$F$2,'PBA Summary'!$G$2))</f>
        <v>5.4434210876900136E-3</v>
      </c>
      <c r="ER12" s="17" cm="1">
        <f t="array" ref="ER12">IF('PBA Summary'!$D$3="","",_xll.ASAssetStatistic($A12,"Alpha Monthly vs Benchmark 1",'PBA Summary'!$D$3,,,"m",'PBA Summary'!$F$2,'PBA Summary'!$G$2))</f>
        <v>5.4434210876900136E-3</v>
      </c>
      <c r="ES12" s="11" t="str" cm="1">
        <f t="array" ref="ES12">_xll.ASAssetInfo($A12,"Company AUM (m)")</f>
        <v/>
      </c>
      <c r="ET12" s="16" cm="1">
        <f t="array" ref="ET12">_xll.ASAssetStatistic($A12,"Exponential Annualized Volatility",,,,"m",'PBA Summary'!$F$2,'PBA Summary'!$G$2)</f>
        <v>0.13133690353993291</v>
      </c>
      <c r="EU12" s="16" cm="1">
        <f t="array" ref="EU12">_xll.ASAssetStatistic($A12,"Exponential Annualized Volatility Last 1 year",,,,"m",'PBA Summary'!$F$2,'PBA Summary'!$G$2)</f>
        <v>9.7634433998456907E-2</v>
      </c>
      <c r="EV12" s="16" t="str" cm="1">
        <f t="array" ref="EV12">_xll.ASAssetStatistic($A12,"Exponential Annualized Volatility Last 3 years",,,,"m",'PBA Summary'!$F$2,'PBA Summary'!$G$2)</f>
        <v/>
      </c>
      <c r="EW12" s="34" cm="1">
        <f t="array" ref="EW12">IF('PBA Summary'!$D$2="","",_xll.ASAssetStatistic($A12,"Exponential Correlation to Benchmark 1",'PBA Summary'!$D$2,,,"m",'PBA Summary'!$F$2,'PBA Summary'!$G$2))</f>
        <v>0.77974498882637555</v>
      </c>
      <c r="EX12" s="34" cm="1">
        <f t="array" ref="EX12">IF('PBA Summary'!$D$3="","",_xll.ASAssetStatistic($A12,"Exponential Correlation to Benchmark 1",'PBA Summary'!$D$3,,,"m",'PBA Summary'!$F$2,'PBA Summary'!$G$2))</f>
        <v>0.77974498882637555</v>
      </c>
      <c r="EY12" s="34" cm="1">
        <f t="array" ref="EY12">_xll.ASAssetStatistic($A12,"Exponential Annual Sharpe Ratio (Rf)",,,,"m",'PBA Summary'!$F$2,'PBA Summary'!$G$2)</f>
        <v>1.7899712456649919</v>
      </c>
      <c r="EZ12" s="34" cm="1">
        <f t="array" ref="EZ12">_xll.ASAssetStatistic($A12,"Exponential Normal Monthly VaR 99%",,,,"m",'PBA Summary'!$F$2,'PBA Summary'!$G$2)</f>
        <v>-7.0277957202893288E-2</v>
      </c>
      <c r="FA12" s="34" cm="1">
        <f t="array" ref="FA12">_xll.ASAssetStatistic($A12,"Exponential Normal Monthly VaR 97%",,,,"m",'PBA Summary'!$F$2,'PBA Summary'!$G$2)</f>
        <v>-5.3385347186711736E-2</v>
      </c>
      <c r="FB12" s="34" cm="1">
        <f t="array" ref="FB12">_xll.ASAssetStatistic($A12,"Exponential Normal Monthly VaR 95%",,,,"m",'PBA Summary'!$F$2,'PBA Summary'!$G$2)</f>
        <v>-4.4439989921025221E-2</v>
      </c>
      <c r="FC12" s="34" cm="1">
        <f t="array" ref="FC12">_xll.ASAssetStatistic($A12,"Exponential Normal Monthly VaR 90%",,,,"m",'PBA Summary'!$F$2,'PBA Summary'!$G$2)</f>
        <v>-3.0665865170658849E-2</v>
      </c>
      <c r="FD12" s="34" t="str" cm="1">
        <f t="array" ref="FD12">_xll.ASAssetStatistic($A12,"Exponential Normal weekly VaR 99%",,,,"m",'PBA Summary'!$F$2,'PBA Summary'!$G$2)</f>
        <v/>
      </c>
      <c r="FE12" s="34" t="str" cm="1">
        <f t="array" ref="FE12">_xll.ASAssetStatistic($A12,"Exponential Normal weekly VaR 97%",,,,"m",'PBA Summary'!$F$2,'PBA Summary'!$G$2)</f>
        <v/>
      </c>
      <c r="FF12" s="34" t="str" cm="1">
        <f t="array" ref="FF12">_xll.ASAssetStatistic($A12,"Exponential Normal weekly VaR 95%",,,,"m",'PBA Summary'!$F$2,'PBA Summary'!$G$2)</f>
        <v/>
      </c>
      <c r="FG12" s="34" t="str" cm="1">
        <f t="array" ref="FG12">_xll.ASAssetStatistic($A12,"Exponential Normal weekly VaR 90%",,,,"m",'PBA Summary'!$F$2,'PBA Summary'!$G$2)</f>
        <v/>
      </c>
      <c r="FH12" s="34" t="str" cm="1">
        <f t="array" ref="FH12">_xll.ASAssetStatistic($A12,"Exponential Normal daily VaR 99%",,,,"m",'PBA Summary'!$F$2,'PBA Summary'!$G$2)</f>
        <v/>
      </c>
      <c r="FI12" s="34" t="str" cm="1">
        <f t="array" ref="FI12">_xll.ASAssetStatistic($A12,"Exponential Normal daily VaR 97%",,,,"m",'PBA Summary'!$F$2,'PBA Summary'!$G$2)</f>
        <v/>
      </c>
      <c r="FJ12" s="34" t="str" cm="1">
        <f t="array" ref="FJ12">_xll.ASAssetStatistic($A12,"Exponential Normal daily VaR 95%",,,,"m",'PBA Summary'!$F$2,'PBA Summary'!$G$2)</f>
        <v/>
      </c>
      <c r="FK12" s="34" t="str" cm="1">
        <f t="array" ref="FK12">_xll.ASAssetStatistic($A12,"Exponential Normal daily VaR 90%",,,,"m",'PBA Summary'!$F$2,'PBA Summary'!$G$2)</f>
        <v/>
      </c>
      <c r="FL12" s="34" cm="1">
        <f t="array" ref="FL12">_xll.ASAssetStatistic($A12,"Bias Ratio",,,,"m",'PBA Summary'!$F$2,'PBA Summary'!$G$2)</f>
        <v>2</v>
      </c>
      <c r="FM12" s="11" t="str" cm="1">
        <f t="array" ref="FM12">_xll.ASAssetInfo($A12,"Manager's Biography")</f>
        <v/>
      </c>
      <c r="FN12" s="11" cm="1">
        <f t="array" ref="FN12">_xll.ASAssetInfo($A12,"Investment Min")</f>
        <v>500000</v>
      </c>
      <c r="FO12" s="11" t="str" cm="1">
        <f t="array" ref="FO12">_xll.ASAssetInfo($A12,"Auditor")</f>
        <v>Ernst &amp; Young Cayman Islands</v>
      </c>
      <c r="FP12" s="11" t="str" cm="1">
        <f t="array" ref="FP12">_xll.ASAssetInfo($A12,"Custodian")</f>
        <v/>
      </c>
      <c r="FQ12" s="11" t="str" cm="1">
        <f t="array" ref="FQ12">_xll.ASAssetInfo($A12,"Administrator")</f>
        <v>Citco Fund Services</v>
      </c>
      <c r="FR12" s="14" t="str" cm="1">
        <f t="array" ref="FR12">_xll.ASAssetInfo($A12,"Proxy 1 Start Date")</f>
        <v/>
      </c>
      <c r="FS12" s="14" t="str" cm="1">
        <f t="array" ref="FS12">_xll.ASAssetInfo($A12,"Proxy 1 End Date")</f>
        <v/>
      </c>
      <c r="FT12" s="14" t="str" cm="1">
        <f t="array" ref="FT12">_xll.ASAssetInfo($A12,"Proxy 2 Start Date")</f>
        <v/>
      </c>
      <c r="FU12" s="14" t="str" cm="1">
        <f t="array" ref="FU12">_xll.ASAssetInfo($A12,"Proxy 2 End Date")</f>
        <v/>
      </c>
      <c r="FV12" s="14" t="str" cm="1">
        <f t="array" ref="FV12">_xll.ASAssetInfo($A12,"Proxy 3 Start Date")</f>
        <v/>
      </c>
      <c r="FW12" s="14" t="str" cm="1">
        <f t="array" ref="FW12">_xll.ASAssetInfo($A12,"Proxy 3 End Date")</f>
        <v/>
      </c>
      <c r="FX12" s="14" t="str" cm="1">
        <f t="array" ref="FX12">_xll.ASAssetInfo($A12,"Fund Domicile")</f>
        <v/>
      </c>
      <c r="FY12" s="14" t="str" cm="1">
        <f t="array" ref="FY12">_xll.ASAssetInfo($A12,"Fund Contact")</f>
        <v/>
      </c>
      <c r="FZ12" s="14" t="str" cm="1">
        <f t="array" ref="FZ12">_xll.ASAssetInfo($A12,"Fund Contact Email")</f>
        <v/>
      </c>
      <c r="GA12" s="14" t="str" cm="1">
        <f t="array" ref="GA12">_xll.ASAssetInfo($A12,"Fund Contact Number")</f>
        <v/>
      </c>
      <c r="GB12" s="14" t="str" cm="1">
        <f t="array" ref="GB12">_xll.ASAssetInfo($A12,"City")</f>
        <v/>
      </c>
      <c r="GC12" s="14" t="str" cm="1">
        <f t="array" ref="GC12">_xll.ASAssetInfo($A12,"Leverage")</f>
        <v/>
      </c>
      <c r="GD12" s="14" t="str" cm="1">
        <f t="array" ref="GD12">_xll.ASAssetInfo($A12,"Lockup 1 Duration")</f>
        <v>12 Months</v>
      </c>
      <c r="GE12" s="14" t="str" cm="1">
        <f t="array" ref="GE12">_xll.ASAssetInfo($A12,"Lockup 2 Duration")</f>
        <v>0 Months</v>
      </c>
      <c r="GF12" s="14" t="str" cm="1">
        <f t="array" ref="GF12">_xll.ASAssetInfo($A12,"Lockup 3 Duration")</f>
        <v>0 Months</v>
      </c>
      <c r="GG12" s="31" cm="1">
        <f t="array" ref="GG12">_xll.ASAssetInfo($A12,"Fund Level Gate")</f>
        <v>0.1</v>
      </c>
      <c r="GH12" s="31" t="str" cm="1">
        <f t="array" ref="GH12">_xll.ASAssetInfo($A12,"Fund Level Gate Frequency")</f>
        <v>Monthly</v>
      </c>
      <c r="GI12" s="35" cm="1">
        <f t="array" ref="GI12">_xll.ASAssetInfo($A12,"Payment 2 (%)")</f>
        <v>0</v>
      </c>
      <c r="GJ12" s="35" t="str" cm="1">
        <f t="array" ref="GJ12">_xll.ASAssetInfo($A12,"Payment 2 (days)")</f>
        <v/>
      </c>
      <c r="GK12" s="35" t="str" cm="1">
        <f t="array" ref="GK12">_xll.ASAssetInfo($A12,"Payment 2 (Paid After)")</f>
        <v>NAV Date</v>
      </c>
      <c r="GL12" s="35" cm="1">
        <f t="array" ref="GL12">_xll.ASAssetInfo($A12,"Payment 3 (%)")</f>
        <v>0</v>
      </c>
      <c r="GM12" s="36" t="str" cm="1">
        <f t="array" ref="GM12">_xll.ASAssetInfo($A12,"Payment 3 (Days)")</f>
        <v/>
      </c>
      <c r="GN12" s="35" t="str" cm="1">
        <f t="array" ref="GN12">_xll.ASAssetInfo($A12,"Payment 3 (Paid After)")</f>
        <v>NAV Date</v>
      </c>
      <c r="GO12" s="35" cm="1">
        <f t="array" ref="GO12">_xll.ASAssetInfo($A12,"Payment 4 (%)")</f>
        <v>0</v>
      </c>
      <c r="GP12" s="36" t="str" cm="1">
        <f t="array" ref="GP12">_xll.ASAssetInfo($A12,"Payment 4 (days)")</f>
        <v/>
      </c>
      <c r="GQ12" s="35" t="str" cm="1">
        <f t="array" ref="GQ12">_xll.ASAssetInfo($A12,"Payment 4 (Paid After)")</f>
        <v>NAV Date</v>
      </c>
      <c r="GR12" s="31" cm="1">
        <f t="array" ref="GR12">_xll.ASAssetInfo($A12,"Payment 1 (%)")</f>
        <v>1</v>
      </c>
      <c r="GS12" s="35" cm="1">
        <f t="array" ref="GS12">_xll.ASAssetInfo($A12,"Lockup 1 Fee")</f>
        <v>0.02</v>
      </c>
      <c r="GT12" s="35" cm="1">
        <f t="array" ref="GT12">_xll.ASAssetInfo($A12,"Lockup 2 Fee")</f>
        <v>0</v>
      </c>
      <c r="GU12" s="35" cm="1">
        <f t="array" ref="GU12">_xll.ASAssetInfo($A12,"Lockup 3 Fee")</f>
        <v>0</v>
      </c>
      <c r="GV12" s="35" t="str" cm="1">
        <f t="array" ref="GV12">_xll.ASAssetInfo($A12,"Lockup 1 type")</f>
        <v>Soft</v>
      </c>
      <c r="GW12" s="35" t="str" cm="1">
        <f t="array" ref="GW12">_xll.ASAssetInfo($A12,"Lockup 2 type")</f>
        <v>None</v>
      </c>
      <c r="GX12" s="35" t="str" cm="1">
        <f t="array" ref="GX12">_xll.ASAssetInfo($A12,"Lockup 3 type")</f>
        <v>None</v>
      </c>
      <c r="GY12" s="35" t="str" cm="1">
        <f t="array" ref="GY12">_xll.ASAssetInfo($A12,"Redemption 1 type")</f>
        <v>Calendar</v>
      </c>
      <c r="GZ12" s="35" t="str" cm="1">
        <f t="array" ref="GZ12">_xll.ASAssetInfo($A12,"Redemption 2 type")</f>
        <v>Calendar</v>
      </c>
      <c r="HA12" s="35" t="str" cm="1">
        <f t="array" ref="HA12">_xll.ASAssetInfo($A12,"Redemption 3 type")</f>
        <v>Calendar</v>
      </c>
      <c r="HB12" s="35" t="str" cm="1">
        <f t="array" ref="HB12">_xll.ASAssetInfo($A12,"Redemption 1 Fee")</f>
        <v/>
      </c>
      <c r="HC12" s="35" t="str" cm="1">
        <f t="array" ref="HC12">_xll.ASAssetInfo($A12,"Redemption 2 Fee")</f>
        <v/>
      </c>
      <c r="HD12" s="35" t="str" cm="1">
        <f t="array" ref="HD12">_xll.ASAssetInfo($A12,"Redemption 3 Fee")</f>
        <v/>
      </c>
      <c r="HE12" s="35" t="str" cm="1">
        <f t="array" ref="HE12">_xll.ASAssetInfo($A12,"Redemption 1 Frequency")</f>
        <v>Monthly</v>
      </c>
      <c r="HF12" s="35" t="str" cm="1">
        <f t="array" ref="HF12">_xll.ASAssetInfo($A12,"Redemption 2 Frequency")</f>
        <v>Unknown</v>
      </c>
      <c r="HG12" s="35" t="str" cm="1">
        <f t="array" ref="HG12">_xll.ASAssetInfo($A12,"Redemption 3 Frequency")</f>
        <v>Unknown</v>
      </c>
      <c r="HH12" s="35" t="str" cm="1">
        <f t="array" ref="HH12">_xll.ASAssetInfo($A12,"Asset Calendar")</f>
        <v>[Default]</v>
      </c>
      <c r="HI12" s="16" cm="1">
        <f t="array" ref="HI12">_xll.ASAssetStatistic($A12,"Max Second Drawdown",,,,"m",'PBA Summary'!$F$2,'PBA Summary'!$G$2)</f>
        <v>-4.1583216974909298E-2</v>
      </c>
      <c r="HJ12" s="37" cm="1">
        <f t="array" ref="HJ12">_xll.ASAssetStatistic($A12,"Date Max Second Drawdown",,,,"m",'PBA Summary'!$F$2,'PBA Summary'!$G$2)</f>
        <v>43616</v>
      </c>
      <c r="HK12" s="37" t="str" cm="1">
        <f t="array" ref="HK12">_xll.ASAssetInfo($A12,HK$1)</f>
        <v/>
      </c>
      <c r="HL12" s="37" t="str" cm="1">
        <f t="array" ref="HL12">_xll.ASAssetInfo($A12,HL$1)</f>
        <v/>
      </c>
      <c r="HM12" s="34" cm="1">
        <f t="array" ref="HM12">_xll.ASAssetInfo($A12,HM$1)</f>
        <v>95</v>
      </c>
      <c r="HN12" s="37" cm="1">
        <f t="array" ref="HN12">_xll.ASAssetInfo($A12,HN$1)</f>
        <v>108</v>
      </c>
      <c r="HO12" s="15" cm="1">
        <f t="array" ref="HO12">_xll.ASAssetInfo($A12,HO$1)</f>
        <v>0.1</v>
      </c>
      <c r="HP12" s="15" cm="1">
        <f t="array" ref="HP12">_xll.ASAssetInfo($A12,HP$1)</f>
        <v>0.15</v>
      </c>
      <c r="HQ12" s="34" t="str" cm="1">
        <f t="array" ref="HQ12">_xll.ASAssetInfo($A12,HQ$1)</f>
        <v/>
      </c>
      <c r="HR12" s="37" cm="1">
        <f t="array" ref="HR12">_xll.ASAssetInfo($A12,HR$1)</f>
        <v>45291.666666666664</v>
      </c>
      <c r="HS12" s="37" cm="1">
        <f t="array" ref="HS12">_xll.ASAssetInfo($A12,HS$1)</f>
        <v>45136.666666666664</v>
      </c>
      <c r="HT12" s="37" t="str" cm="1">
        <f t="array" ref="HT12">_xll.ASAssetInfo($A12,HT$1)</f>
        <v>BBB</v>
      </c>
      <c r="HU12" s="37" t="str" cm="1">
        <f t="array" ref="HU12">_xll.ASAssetInfo($A12,HU$1)</f>
        <v>Global</v>
      </c>
      <c r="HV12" s="37" t="str" cm="1">
        <f t="array" ref="HV12">_xll.ASAssetInfo($A12,HV$1)</f>
        <v>Diversified</v>
      </c>
      <c r="HW12" s="37" t="str" cm="1">
        <f t="array" ref="HW12">_xll.ASAssetInfo($A12,HW$1)</f>
        <v/>
      </c>
    </row>
    <row r="13" spans="1:231" s="11" customFormat="1" ht="13.9" customHeight="1" x14ac:dyDescent="0.25">
      <c r="A13" t="s">
        <v>318</v>
      </c>
      <c r="B13" cm="1">
        <f t="array" ref="B13">_xll.ASPortfolioWeights('PBA Summary'!$C$2,"OR",$A13)</f>
        <v>0</v>
      </c>
      <c r="C13" cm="1">
        <f t="array" ref="C13">_xll.ASAssetStatistic($A13,"Annualized Return since inception",,,,"m",_xll.ASAssetInfo($A13,"Start Date"),_xll.ASAssetInfo($A13,"Last Return Date"))</f>
        <v>-3.8516436702628942E-2</v>
      </c>
      <c r="D13" cm="1">
        <f t="array" ref="D13">_xll.ASAssetStatistic($A13,"Annualized Return",,,,"m",'PBA Summary'!$F$2,'PBA Summary'!$G$2)</f>
        <v>-0.17290238241072564</v>
      </c>
      <c r="E13" s="19" cm="1">
        <f t="array" ref="E13">_xll.ASAssetStatistic($A13,"Equilibrium Annual Return",,,,"m",'PBA Summary'!$F$2,'PBA Summary'!$G$2)</f>
        <v>-0.84268531383845535</v>
      </c>
      <c r="F13" cm="1">
        <f t="array" ref="F13">_xll.ASAssetStatistic($A13,"Annualized Volatility (Inception)",,,,"m",_xll.ASAssetInfo($A13,"Start Date"),_xll.ASAssetInfo($A13,"Last Return Date"))</f>
        <v>0.37799752785192953</v>
      </c>
      <c r="G13" cm="1">
        <f t="array" ref="G13">_xll.ASAssetStatistic($A13,"Annualized Volatility",,,,"m",'PBA Summary'!$F$2,'PBA Summary'!$G$2)</f>
        <v>0.20553968872200654</v>
      </c>
      <c r="H13" s="20" cm="1">
        <f t="array" ref="H13">_xll.ASAssetStatistic($A13,"Skewness",,,,"m",'PBA Summary'!$F$2,'PBA Summary'!$G$2)</f>
        <v>-0.17225172525701876</v>
      </c>
      <c r="I13" s="20" cm="1">
        <f t="array" ref="I13">_xll.ASAssetStatistic($A13,"Excess kurtosis",,,,"m",'PBA Summary'!$F$2,'PBA Summary'!$G$2)</f>
        <v>-1.0451665275801008</v>
      </c>
      <c r="J13" s="19" cm="1">
        <f t="array" ref="J13">_xll.ASAssetStatistic($A13,"Return Last 1 month",,,,"m",'PBA Summary'!$F$2,'PBA Summary'!$G$2)</f>
        <v>-0.10544865688702609</v>
      </c>
      <c r="K13" s="19" cm="1">
        <f t="array" ref="K13">_xll.ASAssetStatistic($A13,"Return Last 3 months",,,,"m",'PBA Summary'!$F$2,'PBA Summary'!$G$2)</f>
        <v>-0.11070075757575715</v>
      </c>
      <c r="L13" s="19" cm="1">
        <f t="array" ref="L13">_xll.ASAssetStatistic($A13,"Return Last 1 year",,,,"m",'PBA Summary'!$F$2,'PBA Summary'!$G$2)</f>
        <v>-0.28087908721954091</v>
      </c>
      <c r="M13" s="19" cm="1">
        <f t="array" ref="M13">_xll.ASAssetStatistic($A13,"Year-to-date Return",,,,"m",'PBA Summary'!$F$2,'PBA Summary'!$G$2)</f>
        <v>-0.10544865688702609</v>
      </c>
      <c r="N13" s="19" cm="1">
        <f t="array" ref="N13">_xll.ASAssetStatistic($A13,"Annualized Return",,,,"m",EOMONTH('PBA Summary'!$G$2,-2),'PBA Summary'!$G$2)</f>
        <v>-0.37455130687713944</v>
      </c>
      <c r="O13" s="19" t="str" cm="1">
        <f t="array" ref="O13">_xll.ASAssetStatistic($A13,"Annualized Return Last 3 years",,,,"m",'PBA Summary'!$F$2,'PBA Summary'!$G$2)</f>
        <v/>
      </c>
      <c r="P13" s="19" t="str" cm="1">
        <f t="array" ref="P13">_xll.ASAssetStatistic($A13,"Annualized Return Last 5 years",,,,"m",'PBA Summary'!$F$2,'PBA Summary'!$G$2)</f>
        <v/>
      </c>
      <c r="Q13" s="19" cm="1">
        <f t="array" ref="Q13">_xll.ASAssetStatistic($A13,"Annualized Volatility Last 1 year",,,,"m",'PBA Summary'!$F$2,'PBA Summary'!$G$2)</f>
        <v>0.20167726585549781</v>
      </c>
      <c r="R13" s="19" t="str" cm="1">
        <f t="array" ref="R13">_xll.ASAssetStatistic($A13,"Annualized Volatility Last 3 years",,,,"m",'PBA Summary'!$F$2,'PBA Summary'!$G$2)</f>
        <v/>
      </c>
      <c r="S13" s="19" t="str" cm="1">
        <f t="array" ref="S13">_xll.ASAssetStatistic($A13,"Annualized Volatility Last 5 years",,,,"m",'PBA Summary'!$F$2,'PBA Summary'!$G$2)</f>
        <v/>
      </c>
      <c r="T13" s="19" cm="1">
        <f t="array" ref="T13">_xll.ASAssetStatistic($A13,"Normal monthly VaR 99%",,,,"m",'PBA Summary'!$F$2,'PBA Summary'!$G$2)</f>
        <v>-0.15204666919496312</v>
      </c>
      <c r="U13" s="19" cm="1">
        <f t="array" ref="U13">_xll.ASAssetStatistic($A13,"Modified monthly VaR 99%",,,,"m",'PBA Summary'!$F$2,'PBA Summary'!$G$2)</f>
        <v>-0.14440122695250454</v>
      </c>
      <c r="V13" s="19" cm="1">
        <f t="array" ref="V13">_xll.ASAssetStatistic($A13,"Conditional monthly VaR 99%",,,,"m",'PBA Summary'!$F$2,'PBA Summary'!$G$2)</f>
        <v>-0.10544865688702609</v>
      </c>
      <c r="W13" s="19" cm="1">
        <f t="array" ref="W13">_xll.ASAssetStatistic($A13,"Normal monthly VaR 97%",,,,"m",'PBA Summary'!$F$2,'PBA Summary'!$G$2)</f>
        <v>-0.12561006447196144</v>
      </c>
      <c r="X13" s="19" cm="1">
        <f t="array" ref="X13">_xll.ASAssetStatistic($A13,"Modified monthly VaR 97%",,,,"m",'PBA Summary'!$F$2,'PBA Summary'!$G$2)</f>
        <v>-0.12712983148996287</v>
      </c>
      <c r="Y13" s="19" cm="1">
        <f t="array" ref="Y13">_xll.ASAssetStatistic($A13,"Conditional monthly VaR 97%",,,,"m",'PBA Summary'!$F$2,'PBA Summary'!$G$2)</f>
        <v>-0.10544865688702609</v>
      </c>
      <c r="Z13" s="19" cm="1">
        <f t="array" ref="Z13">_xll.ASAssetStatistic($A13,"Normal monthly VaR 95%",,,,"m",'PBA Summary'!$F$2,'PBA Summary'!$G$2)</f>
        <v>-0.1116107550749852</v>
      </c>
      <c r="AA13" s="19" cm="1">
        <f t="array" ref="AA13">_xll.ASAssetStatistic($A13,"Modified monthly VaR 95%",,,,"m",'PBA Summary'!$F$2,'PBA Summary'!$G$2)</f>
        <v>-0.11573440736408219</v>
      </c>
      <c r="AB13" s="19" cm="1">
        <f t="array" ref="AB13">_xll.ASAssetStatistic($A13,"Conditional monthly VaR 95%",,,,"m",'PBA Summary'!$F$2,'PBA Summary'!$G$2)</f>
        <v>-0.10544865688702609</v>
      </c>
      <c r="AC13" s="66" cm="1">
        <f t="array" ref="AC13">_xll.ASAssetStatistic($A13,"Correlation to Benchmark 1","MSCI ACWI Index",,,"m",'PBA Summary'!$F$2,'PBA Summary'!$G$2)</f>
        <v>1.6610866073714203E-2</v>
      </c>
      <c r="AD13" s="38" cm="1">
        <f t="array" ref="AD13">IF('PBA Summary'!$D$3="","",_xll.ASAssetStatistic($A13,"Correlation to Benchmark 1",'PBA Summary'!$D$3,,,"m",'PBA Summary'!$F$2,'PBA Summary'!$G$2))</f>
        <v>-0.11797062858300504</v>
      </c>
      <c r="AE13" s="21" cm="1">
        <f t="array" ref="AE13">IF('PBA Summary'!$D$2="","",_xll.ASAssetStatistic($A13,"Bull correlation to Benchmark 1",'PBA Summary'!$D$2,,,"m",'PBA Summary'!$F$2,'PBA Summary'!$G$2))</f>
        <v>0.19269868675377988</v>
      </c>
      <c r="AF13" s="21" cm="1">
        <f t="array" ref="AF13">IF('PBA Summary'!$D$2="","",_xll.ASAssetStatistic($A13,"Bear correlation to Benchmark 1",'PBA Summary'!$D$2,,,"m",'PBA Summary'!$F$2,'PBA Summary'!$G$2))</f>
        <v>-0.97704279605322042</v>
      </c>
      <c r="AG13" s="21" cm="1">
        <f t="array" ref="AG13">IF('PBA Summary'!$D$3="","",_xll.ASAssetStatistic($A13,"Bull correlation to Benchmark 1",'PBA Summary'!$D$3,,,"m",'PBA Summary'!$F$2,'PBA Summary'!$G$2))</f>
        <v>0.19269868675377988</v>
      </c>
      <c r="AH13" s="21" cm="1">
        <f t="array" ref="AH13">IF('PBA Summary'!$D$3="","",_xll.ASAssetStatistic($A13,"Bear correlation to Benchmark 1",'PBA Summary'!$D$3,,,"m",'PBA Summary'!$F$2,'PBA Summary'!$G$2))</f>
        <v>-0.97704279605322042</v>
      </c>
      <c r="AI13" s="24" cm="1">
        <f t="array" ref="AI13">IF('PBA Summary'!$D$2="","",_xll.ASAssetStatistic($A13,"Beta to Benchmark 1",'PBA Summary'!$D$2,,,"m",'PBA Summary'!$F$2,'PBA Summary'!$G$2))</f>
        <v>-0.15794043157146151</v>
      </c>
      <c r="AJ13" s="24" t="str" cm="1">
        <f t="array" ref="AJ13">IF('PBA Summary'!$D$2="","",_xll.ASAssetStatistic($A13,"Beta to Benchmark 1 Last 3 years",'PBA Summary'!$D$2,,,"m",'PBA Summary'!$F$2,'PBA Summary'!$G$2))</f>
        <v/>
      </c>
      <c r="AK13" s="24" t="str" cm="1">
        <f t="array" ref="AK13">IF('PBA Summary'!$D$2="","",_xll.ASAssetStatistic($A13,"Beta to Benchmark 1 Last 5 years",'PBA Summary'!$D$2,,,"m",'PBA Summary'!$F$2,'PBA Summary'!$G$2))</f>
        <v/>
      </c>
      <c r="AL13" s="25" cm="1">
        <f t="array" ref="AL13">IF('PBA Summary'!$D$3="","",_xll.ASAssetStatistic($A13,"Beta to Benchmark 1",'PBA Summary'!$D$3,,,"m",'PBA Summary'!$F$2,'PBA Summary'!$G$2))</f>
        <v>-0.15794043157146151</v>
      </c>
      <c r="AM13" s="25" t="str" cm="1">
        <f t="array" ref="AM13">IF('PBA Summary'!$D$3="","",_xll.ASAssetStatistic($A13,"Beta to Benchmark 1 Last 3 years",'PBA Summary'!$D$3,,,"m",'PBA Summary'!$F$2,'PBA Summary'!$G$2))</f>
        <v/>
      </c>
      <c r="AN13" s="25" t="str" cm="1">
        <f t="array" ref="AN13">IF('PBA Summary'!$D$3="","",_xll.ASAssetStatistic($A13,"Beta to Benchmark 1 Last 5 years",'PBA Summary'!$D$3,,,"m",'PBA Summary'!$F$2,'PBA Summary'!$G$2))</f>
        <v/>
      </c>
      <c r="AO13" s="25" cm="1">
        <f t="array" ref="AO13">IF('PBA Summary'!$D$2="","",_xll.ASAssetStatistic($A13,"Bull Beta to Benchmark 1",'PBA Summary'!$D$2,,,"m",'PBA Summary'!$F$2,'PBA Summary'!$G$2))</f>
        <v>0.46972350339160024</v>
      </c>
      <c r="AP13" s="25" cm="1">
        <f t="array" ref="AP13">IF('PBA Summary'!$D$2="","",_xll.ASAssetStatistic($A13,"Bear Beta to Benchmark 1",'PBA Summary'!$D$2,,,"m",'PBA Summary'!$F$2,'PBA Summary'!$G$2))</f>
        <v>-1.9479268841967341</v>
      </c>
      <c r="AQ13" s="25" cm="1">
        <f t="array" ref="AQ13">IF('PBA Summary'!$D$3="","",_xll.ASAssetStatistic($A13,"Bull Beta to Benchmark 1",'PBA Summary'!$D$3,,,"m",'PBA Summary'!$F$2,'PBA Summary'!$G$2))</f>
        <v>0.46972350339160024</v>
      </c>
      <c r="AR13" s="25" cm="1">
        <f t="array" ref="AR13">IF('PBA Summary'!$D$3="","",_xll.ASAssetStatistic($A13,"Bear Beta to Benchmark 1",'PBA Summary'!$D$3,,,"m",'PBA Summary'!$F$2,'PBA Summary'!$G$2))</f>
        <v>-1.9479268841967341</v>
      </c>
      <c r="AS13" s="25" cm="1">
        <f t="array" ref="AS13">_xll.ASAssetStatistic($A13,"Annual Sharpe Ratio (Rf)",,,'PBA Summary'!$H$2,"m",'PBA Summary'!$F$2,'PBA Summary'!$G$2)</f>
        <v>-0.85337475940210383</v>
      </c>
      <c r="AT13" s="25" t="str" cm="1">
        <f t="array" ref="AT13">_xll.ASAssetStatistic($A13,"Annual Sharpe Ratio (Rf) Last 3 years",,,'PBA Summary'!$H$2,"m",'PBA Summary'!$F$2,'PBA Summary'!$G$2)</f>
        <v/>
      </c>
      <c r="AU13" s="25" t="str" cm="1">
        <f t="array" ref="AU13">_xll.ASAssetStatistic($A13,"Annual Sharpe Ratio (Rf) Last 5 years",,,'PBA Summary'!$H$2,"m",'PBA Summary'!$F$2,'PBA Summary'!$G$2)</f>
        <v/>
      </c>
      <c r="AV13" s="18" cm="1">
        <f t="array" ref="AV13">_xll.ASAssetStatistic($A13,"Ann. Downside Deviation (vs 0%)",,,'PBA Summary'!$H$2,"m",'PBA Summary'!$F$2,'PBA Summary'!$G$2)</f>
        <v>0.17510180207067505</v>
      </c>
      <c r="AW13" s="18" cm="1">
        <f t="array" ref="AW13">_xll.ASAssetStatistic($A13,"Ann. Downside Deviation (vs Rf)",,,'PBA Summary'!$H$2,"m",'PBA Summary'!$F$2,'PBA Summary'!$G$2)</f>
        <v>0.17553857677953155</v>
      </c>
      <c r="AX13" s="39" cm="1">
        <f t="array" ref="AX13">_xll.ASAssetStatistic($A13,"Annual Treynor ratio",,,'PBA Summary'!$H$2,"m",'PBA Summary'!$F$2,'PBA Summary'!$G$2)</f>
        <v>0.31192304071734239</v>
      </c>
      <c r="AY13" s="26" cm="1">
        <f t="array" ref="AY13">_xll.ASAssetStatistic($A13,"Annual Sortino Ratio (vs 0%)",,,'PBA Summary'!$H$2,"m",'PBA Summary'!$F$2,'PBA Summary'!$G$2)</f>
        <v>-0.98743919460599461</v>
      </c>
      <c r="AZ13" s="26" cm="1">
        <f t="array" ref="AZ13">_xll.ASAssetStatistic($A13,"Annual Sortino Ratio (vs Rf)",,,'PBA Summary'!$H$2,"m",'PBA Summary'!$F$2,'PBA Summary'!$G$2)</f>
        <v>-0.99922413425410783</v>
      </c>
      <c r="BA13" s="26" cm="1">
        <f t="array" ref="BA13">_xll.ASAssetStatistic($A13,"Sterling ratio",,,'PBA Summary'!$H$2,"m",'PBA Summary'!$F$2,'PBA Summary'!$G$2)</f>
        <v>-0.42419460098704426</v>
      </c>
      <c r="BB13" s="26" cm="1">
        <f t="array" ref="BB13">_xll.ASAssetStatistic($A13,"Calmar ratio",,,'PBA Summary'!$H$2,"m",'PBA Summary'!$F$2,'PBA Summary'!$G$2)</f>
        <v>-0.56209851693113044</v>
      </c>
      <c r="BC13" s="26" cm="1">
        <f t="array" ref="BC13">_xll.ASAssetStatistic($A13,"Hurst index",,,'PBA Summary'!$H$2,"m",'PBA Summary'!$F$2,'PBA Summary'!$G$2)</f>
        <v>0.43069089210909545</v>
      </c>
      <c r="BD13" s="26" cm="1">
        <f t="array" ref="BD13">_xll.ASAssetStatistic($A13,"Omega (Threshold 1)",,,'PBA Summary'!$H$2,"m",'PBA Summary'!$F$2,'PBA Summary'!$G$2)</f>
        <v>0.54225349445919591</v>
      </c>
      <c r="BE13" s="26" cm="1">
        <f t="array" ref="BE13">_xll.ASAssetStatistic($A13,"Omega (Threshold 2)",,,'PBA Summary'!$H$2,"m",'PBA Summary'!$F$2,'PBA Summary'!$G$2)</f>
        <v>0.43100647988295654</v>
      </c>
      <c r="BF13" s="26" cm="1">
        <f t="array" ref="BF13">_xll.ASAssetStatistic($A13,"Omega (Threshold 3)",,,'PBA Summary'!$H$2,"m",'PBA Summary'!$F$2,'PBA Summary'!$G$2)</f>
        <v>0.34058388918228505</v>
      </c>
      <c r="BG13" s="26" cm="1">
        <f t="array" ref="BG13">_xll.ASAssetStatistic($A13,"Omega (Threshold 4)",,,'PBA Summary'!$H$2,"m",'PBA Summary'!$F$2,'PBA Summary'!$G$2)</f>
        <v>0.27236601466934973</v>
      </c>
      <c r="BH13" s="26" cm="1">
        <f t="array" ref="BH13">_xll.ASAssetStatistic($A13,"Omega (Threshold 5)",,,'PBA Summary'!$H$2,"m",'PBA Summary'!$F$2,'PBA Summary'!$G$2)</f>
        <v>0.21880839343458339</v>
      </c>
      <c r="BI13" s="26" t="str" cm="1">
        <f t="array" ref="BI13">_xll.ASAssetStatistic($A13,"Autocorrelated (illiquid)",,,'PBA Summary'!$H$2,"m",'PBA Summary'!$F$2,'PBA Summary'!$G$2)</f>
        <v>No</v>
      </c>
      <c r="BJ13" s="27" cm="1">
        <f t="array" ref="BJ13">_xll.ASAssetStatistic($A13,"% months in Run Up",,,'PBA Summary'!$H$2,"m",'PBA Summary'!$F$2,'PBA Summary'!$G$2)</f>
        <v>0.26666666666666672</v>
      </c>
      <c r="BK13" s="27" cm="1">
        <f t="array" ref="BK13">_xll.ASAssetStatistic($A13,"% months in Drawdown",,,'PBA Summary'!$H$2,"m",'PBA Summary'!$F$2,'PBA Summary'!$G$2)</f>
        <v>0.73333333333333328</v>
      </c>
      <c r="BL13" s="18" cm="1">
        <f t="array" ref="BL13">IF('PBA Summary'!$D$2="","",_xll.ASAssetStatistic($A13,"Bull Beta to Benchmark 1",'PBA Summary'!$D$2,,,"m",'PBA Summary'!$F$2,'PBA Summary'!$G$2))</f>
        <v>0.46972350339160024</v>
      </c>
      <c r="BM13" s="18" cm="1">
        <f t="array" ref="BM13">IF('PBA Summary'!$D$2="","",_xll.ASAssetStatistic($A13,"Average return during bear Benchmark 1",'PBA Summary'!$D$2,,,"m",'PBA Summary'!$F$2,'PBA Summary'!$G$2))</f>
        <v>-2.5654176605162698E-2</v>
      </c>
      <c r="BN13" s="18" cm="1">
        <f t="array" ref="BN13">IF('PBA Summary'!$D$3="","",_xll.ASAssetStatistic($A13,"Average return during bull Benchmark 1",'PBA Summary'!$D$3,,,"m",'PBA Summary'!$F$2,'PBA Summary'!$G$2))</f>
        <v>-9.7821431889821338E-3</v>
      </c>
      <c r="BO13" s="18" cm="1">
        <f t="array" ref="BO13">IF('PBA Summary'!$D$3="","",_xll.ASAssetStatistic($A13,"Average return during bear Benchmark 1",'PBA Summary'!$D$3,,,"m",'PBA Summary'!$F$2,'PBA Summary'!$G$2))</f>
        <v>-2.5654176605162698E-2</v>
      </c>
      <c r="BP13" s="27" cm="1">
        <f t="array" ref="BP13">_xll.ASAssetStatistic($A13,"Maximum consecutive gain",,,'PBA Summary'!$H$2,"m",'PBA Summary'!$F$2,'PBA Summary'!$G$2)</f>
        <v>0.13917352595330224</v>
      </c>
      <c r="BQ13" s="27" cm="1">
        <f t="array" ref="BQ13">_xll.ASAssetStatistic($A13,"Maximum consecutive loss",,,'PBA Summary'!$H$2,"m",'PBA Summary'!$F$2,'PBA Summary'!$G$2)</f>
        <v>-0.18852761188527634</v>
      </c>
      <c r="BR13" s="27" cm="1">
        <f t="array" ref="BR13">_xll.ASAssetStatistic($A13,"Max monthly gain",,,'PBA Summary'!$H$2,"m",'PBA Summary'!$F$2,'PBA Summary'!$G$2)</f>
        <v>8.3901546648927461E-2</v>
      </c>
      <c r="BS13" s="27" cm="1">
        <f t="array" ref="BS13">_xll.ASAssetStatistic($A13,"Max monthly loss",,,'PBA Summary'!$H$2,"m",'PBA Summary'!$F$2,'PBA Summary'!$G$2)</f>
        <v>-0.10544865688702609</v>
      </c>
      <c r="BT13" s="27" cm="1">
        <f t="array" ref="BT13">_xll.ASAssetStatistic($A13,"Max drawdown",,,'PBA Summary'!$H$2,"m",'PBA Summary'!$F$2,'PBA Summary'!$G$2)</f>
        <v>-0.30760156307601505</v>
      </c>
      <c r="BU13" s="28" cm="1">
        <f t="array" ref="BU13">_xll.ASAssetStatistic($A13,"Date Max drawdown",,,'PBA Summary'!$H$2,"m",'PBA Summary'!$F$2,'PBA Summary'!$G$2)</f>
        <v>43861</v>
      </c>
      <c r="BV13" s="28" cm="1">
        <f t="array" ref="BV13">_xll.ASAssetStatistic($A13,"Start Date Max Drawdown",,,'PBA Summary'!$H$2,"m",'PBA Summary'!$F$2,'PBA Summary'!$G$2)</f>
        <v>43555</v>
      </c>
      <c r="BW13" s="28" t="str" cm="1">
        <f t="array" ref="BW13">_xll.ASAssetStatistic($A13,"End Date Max Drawdown",,,'PBA Summary'!$H$2,"m",'PBA Summary'!$F$2,'PBA Summary'!$G$2)</f>
        <v/>
      </c>
      <c r="BX13" s="29" cm="1">
        <f t="array" ref="BX13">_xll.ASAssetStatistic($A13,"Max Time-under-water (months)",,,'PBA Summary'!$H$2,"m",'PBA Summary'!$F$2,'PBA Summary'!$G$2)</f>
        <v>11</v>
      </c>
      <c r="BY13" s="27" cm="1">
        <f t="array" ref="BY13">_xll.ASAssetStatistic($A13,"Max possible drawdown 99%",,,'PBA Summary'!$H$2,"m",'PBA Summary'!$F$2,'PBA Summary'!$G$2)</f>
        <v>-1</v>
      </c>
      <c r="BZ13" s="27" cm="1">
        <f t="array" ref="BZ13">_xll.ASAssetStatistic($A13,"Max possible drawdown 99.9%",,,'PBA Summary'!$H$2,"m",'PBA Summary'!$F$2,'PBA Summary'!$G$2)</f>
        <v>-1</v>
      </c>
      <c r="CA13" s="30" t="str" cm="1">
        <f t="array" ref="CA13">_xll.ASAssetStatistic($A13,"Max Possible Time-under-water 99% (months)",,,'PBA Summary'!$H$2,"m",'PBA Summary'!$F$2,'PBA Summary'!$G$2)</f>
        <v/>
      </c>
      <c r="CB13" s="30" t="str" cm="1">
        <f t="array" ref="CB13">_xll.ASAssetStatistic($A13,"Max Possible Time-under-water 99.9% (months)",,,'PBA Summary'!$H$2,"m",'PBA Summary'!$F$2,'PBA Summary'!$G$2)</f>
        <v/>
      </c>
      <c r="CC13" s="17" t="str" cm="1">
        <f t="array" ref="CC13">_xll.ASPortfolioReturnAttribution('PBA Summary'!$C$2,"OR",A13,"Last 1m",'PBA Summary'!$F$2,'PBA Summary'!$G$2)</f>
        <v/>
      </c>
      <c r="CD13" s="11" t="str" cm="1">
        <f t="array" ref="CD13">_xll.ASAssetInfo($A13,"Strategy")</f>
        <v>Direct Holdings - Stocks</v>
      </c>
      <c r="CE13" s="14" cm="1">
        <f t="array" ref="CE13">_xll.ASAssetInfo($A13,"Start Date")</f>
        <v>39519</v>
      </c>
      <c r="CF13" s="14" t="str" cm="1">
        <f t="array" ref="CF13">_xll.ASAssetRatings($A13,"Quantitative",0,0,0,0,0,'PBA Summary'!$F$2,'PBA Summary'!$G$2)</f>
        <v/>
      </c>
      <c r="CG13" s="14" t="str" cm="1">
        <f t="array" ref="CG13">_xll.ASAssetRatings($A13,"Qualitative",0,0,0,0,0,'PBA Summary'!$F$2,'PBA Summary'!$G$2)</f>
        <v/>
      </c>
      <c r="CH13" s="14" t="str" cm="1">
        <f t="array" ref="CH13">_xll.ASAssetRatings($A13,"Final",0,0,0,0,0,'PBA Summary'!$F$2,'PBA Summary'!$G$2)</f>
        <v/>
      </c>
      <c r="CI13" s="14" cm="1">
        <f t="array" ref="CI13">_xll.ASAssetInfo($A13,"Last Return Date")</f>
        <v>44126</v>
      </c>
      <c r="CJ13" s="14" t="str" cm="1">
        <f t="array" ref="CJ13">_xll.ASAssetInfo($A13,"Company Name")</f>
        <v/>
      </c>
      <c r="CK13" s="14" t="str" cm="1">
        <f t="array" ref="CK13">_xll.ASAssetInfo($A13,"Manager Name")</f>
        <v/>
      </c>
      <c r="CL13" s="14" t="str" cm="1">
        <f t="array" ref="CL13">_xll.ASAssetInfo($A13,"Address")</f>
        <v/>
      </c>
      <c r="CM13" s="14" t="str" cm="1">
        <f t="array" ref="CM13">_xll.ASAssetInfo($A13,"Phone Number")</f>
        <v/>
      </c>
      <c r="CN13" s="14" t="str" cm="1">
        <f t="array" ref="CN13">_xll.ASAssetInfo($A13,"Email")</f>
        <v/>
      </c>
      <c r="CO13" s="14" t="str" cm="1">
        <f t="array" ref="CO13">_xll.ASAssetInfo($A13,"Asset Type")</f>
        <v>Equities</v>
      </c>
      <c r="CP13" s="14" t="str" cm="1">
        <f t="array" ref="CP13">_xll.ASAssetInfo($A13,"Proprietary ID")</f>
        <v/>
      </c>
      <c r="CQ13" s="14" t="str" cm="1">
        <f t="array" ref="CQ13">_xll.ASAssetInfo($A13,"Country")</f>
        <v>[Not Classified]</v>
      </c>
      <c r="CR13" s="14" t="str" cm="1">
        <f t="array" ref="CR13">_xll.ASAssetInfo($A13,"Currency")</f>
        <v>HKD</v>
      </c>
      <c r="CS13" s="14" t="str" cm="1">
        <f t="array" ref="CS13">_xll.ASAssetInfo($A13,"Sub-Strategy")</f>
        <v/>
      </c>
      <c r="CT13" s="31" t="str" cm="1">
        <f t="array" ref="CT13">_xll.ASAssetInfo($A13,"Fund AUM (m)")</f>
        <v/>
      </c>
      <c r="CU13" s="31" t="str" cm="1">
        <f t="array" ref="CU13">_xll.ASAssetInfo($A13,"Status")</f>
        <v>Unknown</v>
      </c>
      <c r="CV13" s="31" t="str" cm="1">
        <f t="array" ref="CV13">_xll.ASAssetInfo($A13,"Redemption 1 Frequency")</f>
        <v>Unknown</v>
      </c>
      <c r="CW13" s="31" t="str" cm="1">
        <f t="array" ref="CW13">_xll.ASAssetInfo($A13,"Redemption 2 Frequency")</f>
        <v>Unknown</v>
      </c>
      <c r="CX13" s="31" t="str" cm="1">
        <f t="array" ref="CX13">_xll.ASAssetInfo($A13,"Redemption 3 Frequency")</f>
        <v>Unknown</v>
      </c>
      <c r="CY13" s="31" t="str" cm="1">
        <f t="array" ref="CY13">_xll.ASAssetInfo($A13,"Notice Period")</f>
        <v/>
      </c>
      <c r="CZ13" s="15" t="str" cm="1">
        <f t="array" ref="CZ13">_xll.ASAssetInfo($A13,"Performance Fee")</f>
        <v/>
      </c>
      <c r="DA13" s="15" t="str" cm="1">
        <f t="array" ref="DA13">_xll.ASAssetInfo($A13,"Management Fee")</f>
        <v/>
      </c>
      <c r="DB13" s="15" t="str" cm="1">
        <f t="array" ref="DB13">_xll.ASAssetInfo($A13,"ISIN")</f>
        <v>CNE100000981</v>
      </c>
      <c r="DC13" s="16" cm="1">
        <f t="array" ref="DC13">_xll.ASAssetStatistic($A13,"Return during " &amp;YEAR(EOMONTH('PBA Summary'!$G$2,-60)),,,,"M",DATE(YEAR(EOMONTH('PBA Summary'!$G$2,-60)),1,31),DATE(YEAR(EOMONTH('PBA Summary'!$G$2,-60)),12,31))</f>
        <v>-1.2316394489553018E-2</v>
      </c>
      <c r="DD13" s="16" cm="1">
        <f t="array" ref="DD13">_xll.ASAssetStatistic($A13,"Return during " &amp;YEAR(EOMONTH('PBA Summary'!$G$2,-48)),,,,"M",DATE(YEAR(EOMONTH('PBA Summary'!$G$2,-48)),1,31),DATE(YEAR(EOMONTH('PBA Summary'!$G$2,-48)),12,31))</f>
        <v>5.7823757620541594E-2</v>
      </c>
      <c r="DE13" s="16" cm="1">
        <f t="array" ref="DE13">_xll.ASAssetStatistic($A13,"Return during " &amp;YEAR(EOMONTH('PBA Summary'!$G$2,-36)),,,,"M",DATE(YEAR(EOMONTH('PBA Summary'!$G$2,-36)),1,31),DATE(YEAR(EOMONTH('PBA Summary'!$G$2,-36)),12,31))</f>
        <v>-7.5619979042959917E-2</v>
      </c>
      <c r="DF13" s="16" cm="1">
        <f t="array" ref="DF13">_xll.ASAssetStatistic($A13,"Return during " &amp;YEAR(EOMONTH('PBA Summary'!$G$2,-24)),,,,"M",DATE(YEAR(EOMONTH('PBA Summary'!$G$2,-24)),1,31),DATE(YEAR(EOMONTH('PBA Summary'!$G$2,-24)),12,31))</f>
        <v>0.23134328358209011</v>
      </c>
      <c r="DG13" s="16" cm="1">
        <f t="array" ref="DG13">_xll.ASAssetStatistic($A13,"Return during " &amp;YEAR(EOMONTH('PBA Summary'!$G$2,-12)),,,,"M",DATE(YEAR(EOMONTH('PBA Summary'!$G$2,-12)),1,31),DATE(YEAR(EOMONTH('PBA Summary'!$G$2,-12)),12,31))</f>
        <v>-0.19462984273110706</v>
      </c>
      <c r="DH13" s="11" t="str" cm="1">
        <f t="array" ref="DH13">_xll.ASAssetInfo($A13,"Prime Broker")</f>
        <v/>
      </c>
      <c r="DI13" s="16" cm="1">
        <f t="array" ref="DI13">_xll.ASAssetStatistic($A13,"Return",,,,"m",'PBA Summary'!$F$2,'PBA Summary'!$G$2)</f>
        <v>-0.21123803124474894</v>
      </c>
      <c r="DJ13" s="33" cm="1">
        <f t="array" ref="DJ13">IF('PBA Summary'!$D$2="","",_xll.ASAssetStatistic($A13,"Ann. Information Ratio vs Benchmark 1",'PBA Summary'!$D$2,,,"m",'PBA Summary'!$F$2,'PBA Summary'!$G$2))</f>
        <v>-1.2754157533257846</v>
      </c>
      <c r="DK13" s="33" cm="1">
        <f t="array" ref="DK13">IF('PBA Summary'!$D$3="","",_xll.ASAssetStatistic($A13,"Ann. Information Ratio vs Benchmark 1",'PBA Summary'!$D$3,,,"m",'PBA Summary'!$F$2,'PBA Summary'!$G$2))</f>
        <v>-1.2754157533257846</v>
      </c>
      <c r="DL13" s="33" cm="1">
        <f t="array" ref="DL13">IF('PBA Summary'!$D$2="","",_xll.ASAssetStatistic($A13,"Ann. Tracking Error vs Benchmark 1",'PBA Summary'!$D$2,,,"m",'PBA Summary'!$F$2,'PBA Summary'!$G$2))</f>
        <v>0.27066838067289678</v>
      </c>
      <c r="DM13" s="33" cm="1">
        <f t="array" ref="DM13">IF('PBA Summary'!$D$3="","",_xll.ASAssetStatistic($A13,"Ann. Tracking Error vs Benchmark 1",'PBA Summary'!$D$3,,,"m",'PBA Summary'!$F$2,'PBA Summary'!$G$2))</f>
        <v>0.27066838067289678</v>
      </c>
      <c r="DN13" s="33" cm="1">
        <f t="array" ref="DN13">IF('PBA Summary'!$D$2="","",_xll.ASAssetStatistic($A13,"R² vs Benchmark 1",'PBA Summary'!$D$2,,,"m",'PBA Summary'!$F$2,'PBA Summary'!$G$2))</f>
        <v>1.3917069208269326E-2</v>
      </c>
      <c r="DO13" s="33" cm="1">
        <f t="array" ref="DO13">IF('PBA Summary'!$D$3="","",_xll.ASAssetStatistic($A13,"R² vs Benchmark 1",'PBA Summary'!$D$3,,,"m",'PBA Summary'!$F$2,'PBA Summary'!$G$2))</f>
        <v>1.3917069208269326E-2</v>
      </c>
      <c r="DP13" s="11" t="str" cm="1">
        <f t="array" ref="DP13">_xll.ASAssetInfo($A13,"On-/Offshore")</f>
        <v>Unknown</v>
      </c>
      <c r="DQ13" s="16" cm="1">
        <f t="array" ref="DQ13">_xll.ASAssetStatistic($A13,"Quarter-to-date",,,,"m",'PBA Summary'!$F$2,'PBA Summary'!$G$2)</f>
        <v>-0.10544865688702609</v>
      </c>
      <c r="DR13" s="16" cm="1">
        <f t="array" ref="DR13">_xll.ASAssetStatistic($A13,"Annualized Return Since inception",,,,"m",'PBA Summary'!$F$2,'PBA Summary'!$G$2)</f>
        <v>-3.8516436702628942E-2</v>
      </c>
      <c r="DS13" s="16" cm="1">
        <f t="array" ref="DS13">IF('PBA Summary'!$D$2="","",_xll.ASAssetStatistic($A13,"Ann. Bear Market Return vs Benchmark 1",'PBA Summary'!$D$2,,,"m",'PBA Summary'!$F$2,'PBA Summary'!$G$2))</f>
        <v>-0.29104954846337328</v>
      </c>
      <c r="DT13" s="16" cm="1">
        <f t="array" ref="DT13">IF('PBA Summary'!$D$2="","",_xll.ASAssetStatistic($A13,"Ann. Bull Market Return vs Benchmark 1",'PBA Summary'!$D$2,,,"m",'PBA Summary'!$F$2,'PBA Summary'!$G$2))</f>
        <v>-0.12521986881813618</v>
      </c>
      <c r="DU13" s="16" cm="1">
        <f t="array" ref="DU13">IF('PBA Summary'!$D$3="","",_xll.ASAssetStatistic($A13,"Ann. Bear Market Return vs Benchmark 1",'PBA Summary'!$D$3,,,"m",'PBA Summary'!$F$2,'PBA Summary'!$G$2))</f>
        <v>-0.29104954846337328</v>
      </c>
      <c r="DV13" s="16" cm="1">
        <f t="array" ref="DV13">IF('PBA Summary'!$D$3="","",_xll.ASAssetStatistic($A13,"Ann. Bull Market Return vs Benchmark 1",'PBA Summary'!$D$3,,,"m",'PBA Summary'!$F$2,'PBA Summary'!$G$2))</f>
        <v>-0.12521986881813618</v>
      </c>
      <c r="DW13" s="17" cm="1">
        <f t="array" ref="DW13">_xll.ASAssetStatistic($A13,"Average Positive Return",,,,"m",'PBA Summary'!$F$2,'PBA Summary'!$G$2)</f>
        <v>3.1128769108405979E-2</v>
      </c>
      <c r="DX13" s="17" cm="1">
        <f t="array" ref="DX13">_xll.ASAssetStatistic($A13,"Average Negative Return",,,,"m",'PBA Summary'!$F$2,'PBA Summary'!$G$2)</f>
        <v>-6.5607204909528871E-2</v>
      </c>
      <c r="DY13" s="16" cm="1">
        <f t="array" ref="DY13">IF('PBA Summary'!$D$2="","",_xll.ASAssetStatistic($A13,"Outperformance vs Benchmark 1",'PBA Summary'!$D$2,,,"m",'PBA Summary'!$F$2,'PBA Summary'!$G$2))</f>
        <v>-0.43108167605346759</v>
      </c>
      <c r="DZ13" s="16" cm="1">
        <f t="array" ref="DZ13">IF('PBA Summary'!$D$3="","",_xll.ASAssetStatistic($A13,"Outperformance vs Benchmark 1",'PBA Summary'!$D$3,,,"m",'PBA Summary'!$F$2,'PBA Summary'!$G$2))</f>
        <v>-0.43108167605346759</v>
      </c>
      <c r="EA13" s="16" cm="1">
        <f t="array" ref="EA13">IF('PBA Summary'!$D$2="","",_xll.ASAssetStatistic($A13,"Annual Outperformance vs Benchmark 1",'PBA Summary'!$D$2,,,"m",'PBA Summary'!$F$2,'PBA Summary'!$G$2))</f>
        <v>-0.34521471663739289</v>
      </c>
      <c r="EB13" s="16" cm="1">
        <f t="array" ref="EB13">IF('PBA Summary'!$D$3="","",_xll.ASAssetStatistic($A13,"Annual Outperformance vs Benchmark 1",'PBA Summary'!$D$3,,,"m",'PBA Summary'!$F$2,'PBA Summary'!$G$2))</f>
        <v>-0.34521471663739289</v>
      </c>
      <c r="EC13" s="32" cm="1">
        <f t="array" ref="EC13">_xll.ASAssetStatistic($A13,"Rachev Ratio 99%",,,,"m",'PBA Summary'!$F$2,'PBA Summary'!$G$2)</f>
        <v>-0.79566254446290929</v>
      </c>
      <c r="ED13" s="32" cm="1">
        <f t="array" ref="ED13">_xll.ASAssetStatistic($A13,"Rachev Ratio 97%",,,,"m",'PBA Summary'!$F$2,'PBA Summary'!$G$2)</f>
        <v>-0.79566254446290929</v>
      </c>
      <c r="EE13" s="32" cm="1">
        <f t="array" ref="EE13">_xll.ASAssetStatistic($A13,"Rachev Ratio 95%",,,,"m",'PBA Summary'!$F$2,'PBA Summary'!$G$2)</f>
        <v>-0.79566254446290929</v>
      </c>
      <c r="EF13" s="32" cm="1">
        <f t="array" ref="EF13">_xll.ASAssetStatistic($A13,"Rachev Ratio 90%",,,,"m",'PBA Summary'!$F$2,'PBA Summary'!$G$2)</f>
        <v>-0.68219182744048046</v>
      </c>
      <c r="EG13" s="34" cm="1">
        <f t="array" ref="EG13">IF('PBA Summary'!$D$2="","",_xll.ASAssetStatistic($A13,"Annual Up Capture vs Benchmark 1",'PBA Summary'!$D$2,,,"m",'PBA Summary'!$F$2,'PBA Summary'!$G$2))</f>
        <v>-0.2473684766215816</v>
      </c>
      <c r="EH13" s="34" cm="1">
        <f t="array" ref="EH13">IF('PBA Summary'!$D$3="","",_xll.ASAssetStatistic($A13,"Annual Up Capture vs Benchmark 1",'PBA Summary'!$D$3,,,"m",'PBA Summary'!$F$2,'PBA Summary'!$G$2))</f>
        <v>-0.2473684766215816</v>
      </c>
      <c r="EI13" s="34" cm="1">
        <f t="array" ref="EI13">IF('PBA Summary'!$D$2="","",_xll.ASAssetStatistic($A13,"Annual Down Capture vs Benchmark 1",'PBA Summary'!$D$2,,,"m",'PBA Summary'!$F$2,'PBA Summary'!$G$2))</f>
        <v>0.70724861729485256</v>
      </c>
      <c r="EJ13" s="34" cm="1">
        <f t="array" ref="EJ13">IF('PBA Summary'!$D$3="","",_xll.ASAssetStatistic($A13,"Annual Down Capture vs Benchmark 1",'PBA Summary'!$D$3,,,"m",'PBA Summary'!$F$2,'PBA Summary'!$G$2))</f>
        <v>0.70724861729485256</v>
      </c>
      <c r="EK13" s="16" cm="1">
        <f t="array" ref="EK13">IF('PBA Summary'!$D$2="","",_xll.ASAssetStatistic($A13,"Ann. Tracking Error vs Benchmark 1",'PBA Summary'!$D$2,,,"m",'PBA Summary'!$F$2,'PBA Summary'!$G$2))</f>
        <v>0.27066838067289678</v>
      </c>
      <c r="EL13" s="16" cm="1">
        <f t="array" ref="EL13">IF('PBA Summary'!$D$3="","",_xll.ASAssetStatistic($A13,"Ann. Tracking Error vs Benchmark 1",'PBA Summary'!$D$3,,,"m",'PBA Summary'!$F$2,'PBA Summary'!$G$2))</f>
        <v>0.27066838067289678</v>
      </c>
      <c r="EM13" s="16" cm="1">
        <f t="array" ref="EM13">IF('PBA Summary'!$D$2="","",_xll.ASAssetStatistic($A13,"Annual Jensen Alpha vs Benchmark 1 (Rf)",'PBA Summary'!$D$2,,,"m",'PBA Summary'!$F$2,'PBA Summary'!$G$2))</f>
        <v>-0.14858214905680855</v>
      </c>
      <c r="EN13" s="16" cm="1">
        <f t="array" ref="EN13">IF('PBA Summary'!$D$3="","",_xll.ASAssetStatistic($A13,"Annual Jensen Alpha vs Benchmark 1 (Rf)",'PBA Summary'!$D$3,,,"m",'PBA Summary'!$F$2,'PBA Summary'!$G$2))</f>
        <v>-0.14858214905680855</v>
      </c>
      <c r="EO13" s="33" cm="1">
        <f t="array" ref="EO13">IF('PBA Summary'!$D$2="","",_xll.ASAssetStatistic($A13,"Ann. Information Ratio vs Benchmark 1",'PBA Summary'!$D$2,,,"m",'PBA Summary'!$F$2,'PBA Summary'!$G$2))</f>
        <v>-1.2754157533257846</v>
      </c>
      <c r="EP13" s="33" cm="1">
        <f t="array" ref="EP13">IF('PBA Summary'!$D$3="","",_xll.ASAssetStatistic($A13,"Ann. Information Ratio vs Benchmark 1",'PBA Summary'!$D$3,,,"m",'PBA Summary'!$F$2,'PBA Summary'!$G$2))</f>
        <v>-1.2754157533257846</v>
      </c>
      <c r="EQ13" s="17" cm="1">
        <f t="array" ref="EQ13">IF('PBA Summary'!$D$2="","",_xll.ASAssetStatistic($A13,"Alpha Monthly vs Benchmark 1",'PBA Summary'!$D$2,,,"m",'PBA Summary'!$F$2,'PBA Summary'!$G$2))</f>
        <v>-1.176127397277011E-2</v>
      </c>
      <c r="ER13" s="17" cm="1">
        <f t="array" ref="ER13">IF('PBA Summary'!$D$3="","",_xll.ASAssetStatistic($A13,"Alpha Monthly vs Benchmark 1",'PBA Summary'!$D$3,,,"m",'PBA Summary'!$F$2,'PBA Summary'!$G$2))</f>
        <v>-1.176127397277011E-2</v>
      </c>
      <c r="ES13" s="11" t="str" cm="1">
        <f t="array" ref="ES13">_xll.ASAssetInfo($A13,"Company AUM (m)")</f>
        <v/>
      </c>
      <c r="ET13" s="16" cm="1">
        <f t="array" ref="ET13">_xll.ASAssetStatistic($A13,"Exponential Annualized Volatility",,,,"m",'PBA Summary'!$F$2,'PBA Summary'!$G$2)</f>
        <v>0.20911180450801994</v>
      </c>
      <c r="EU13" s="16" cm="1">
        <f t="array" ref="EU13">_xll.ASAssetStatistic($A13,"Exponential Annualized Volatility Last 1 year",,,,"m",'PBA Summary'!$F$2,'PBA Summary'!$G$2)</f>
        <v>0.20718233157701271</v>
      </c>
      <c r="EV13" s="16" t="str" cm="1">
        <f t="array" ref="EV13">_xll.ASAssetStatistic($A13,"Exponential Annualized Volatility Last 3 years",,,,"m",'PBA Summary'!$F$2,'PBA Summary'!$G$2)</f>
        <v/>
      </c>
      <c r="EW13" s="34" cm="1">
        <f t="array" ref="EW13">IF('PBA Summary'!$D$2="","",_xll.ASAssetStatistic($A13,"Exponential Correlation to Benchmark 1",'PBA Summary'!$D$2,,,"m",'PBA Summary'!$F$2,'PBA Summary'!$G$2))</f>
        <v>7.1509268262052381E-2</v>
      </c>
      <c r="EX13" s="34" cm="1">
        <f t="array" ref="EX13">IF('PBA Summary'!$D$3="","",_xll.ASAssetStatistic($A13,"Exponential Correlation to Benchmark 1",'PBA Summary'!$D$3,,,"m",'PBA Summary'!$F$2,'PBA Summary'!$G$2))</f>
        <v>7.1509268262052381E-2</v>
      </c>
      <c r="EY13" s="34" cm="1">
        <f t="array" ref="EY13">_xll.ASAssetStatistic($A13,"Exponential Annual Sharpe Ratio (Rf)",,,,"m",'PBA Summary'!$F$2,'PBA Summary'!$G$2)</f>
        <v>-1.0769201151704793</v>
      </c>
      <c r="EZ13" s="34" cm="1">
        <f t="array" ref="EZ13">_xll.ASAssetStatistic($A13,"Exponential Normal Monthly VaR 99%",,,,"m",'PBA Summary'!$F$2,'PBA Summary'!$G$2)</f>
        <v>-0.16120575773039603</v>
      </c>
      <c r="FA13" s="34" cm="1">
        <f t="array" ref="FA13">_xll.ASAssetStatistic($A13,"Exponential Normal Monthly VaR 97%",,,,"m",'PBA Summary'!$F$2,'PBA Summary'!$G$2)</f>
        <v>-0.1343097059115716</v>
      </c>
      <c r="FB13" s="34" cm="1">
        <f t="array" ref="FB13">_xll.ASAssetStatistic($A13,"Exponential Normal Monthly VaR 95%",,,,"m",'PBA Summary'!$F$2,'PBA Summary'!$G$2)</f>
        <v>-0.12006709968758762</v>
      </c>
      <c r="FC13" s="34" cm="1">
        <f t="array" ref="FC13">_xll.ASAssetStatistic($A13,"Exponential Normal Monthly VaR 90%",,,,"m",'PBA Summary'!$F$2,'PBA Summary'!$G$2)</f>
        <v>-9.8136233309335227E-2</v>
      </c>
      <c r="FD13" s="34" t="str" cm="1">
        <f t="array" ref="FD13">_xll.ASAssetStatistic($A13,"Exponential Normal weekly VaR 99%",,,,"m",'PBA Summary'!$F$2,'PBA Summary'!$G$2)</f>
        <v/>
      </c>
      <c r="FE13" s="34" t="str" cm="1">
        <f t="array" ref="FE13">_xll.ASAssetStatistic($A13,"Exponential Normal weekly VaR 97%",,,,"m",'PBA Summary'!$F$2,'PBA Summary'!$G$2)</f>
        <v/>
      </c>
      <c r="FF13" s="34" t="str" cm="1">
        <f t="array" ref="FF13">_xll.ASAssetStatistic($A13,"Exponential Normal weekly VaR 95%",,,,"m",'PBA Summary'!$F$2,'PBA Summary'!$G$2)</f>
        <v/>
      </c>
      <c r="FG13" s="34" t="str" cm="1">
        <f t="array" ref="FG13">_xll.ASAssetStatistic($A13,"Exponential Normal weekly VaR 90%",,,,"m",'PBA Summary'!$F$2,'PBA Summary'!$G$2)</f>
        <v/>
      </c>
      <c r="FH13" s="34" t="str" cm="1">
        <f t="array" ref="FH13">_xll.ASAssetStatistic($A13,"Exponential Normal daily VaR 99%",,,,"m",'PBA Summary'!$F$2,'PBA Summary'!$G$2)</f>
        <v/>
      </c>
      <c r="FI13" s="34" t="str" cm="1">
        <f t="array" ref="FI13">_xll.ASAssetStatistic($A13,"Exponential Normal daily VaR 97%",,,,"m",'PBA Summary'!$F$2,'PBA Summary'!$G$2)</f>
        <v/>
      </c>
      <c r="FJ13" s="34" t="str" cm="1">
        <f t="array" ref="FJ13">_xll.ASAssetStatistic($A13,"Exponential Normal daily VaR 95%",,,,"m",'PBA Summary'!$F$2,'PBA Summary'!$G$2)</f>
        <v/>
      </c>
      <c r="FK13" s="34" t="str" cm="1">
        <f t="array" ref="FK13">_xll.ASAssetStatistic($A13,"Exponential Normal daily VaR 90%",,,,"m",'PBA Summary'!$F$2,'PBA Summary'!$G$2)</f>
        <v/>
      </c>
      <c r="FL13" s="34" cm="1">
        <f t="array" ref="FL13">_xll.ASAssetStatistic($A13,"Bias Ratio",,,,"m",'PBA Summary'!$F$2,'PBA Summary'!$G$2)</f>
        <v>1.75</v>
      </c>
      <c r="FM13" s="11" t="str" cm="1">
        <f t="array" ref="FM13">_xll.ASAssetInfo($A13,"Manager's Biography")</f>
        <v/>
      </c>
      <c r="FN13" s="11" cm="1">
        <f t="array" ref="FN13">_xll.ASAssetInfo($A13,"Investment Min")</f>
        <v>0</v>
      </c>
      <c r="FO13" s="11" t="str" cm="1">
        <f t="array" ref="FO13">_xll.ASAssetInfo($A13,"Auditor")</f>
        <v/>
      </c>
      <c r="FP13" s="11" t="str" cm="1">
        <f t="array" ref="FP13">_xll.ASAssetInfo($A13,"Custodian")</f>
        <v/>
      </c>
      <c r="FQ13" s="11" t="str" cm="1">
        <f t="array" ref="FQ13">_xll.ASAssetInfo($A13,"Administrator")</f>
        <v/>
      </c>
      <c r="FR13" s="14" t="str" cm="1">
        <f t="array" ref="FR13">_xll.ASAssetInfo($A13,"Proxy 1 Start Date")</f>
        <v/>
      </c>
      <c r="FS13" s="14" t="str" cm="1">
        <f t="array" ref="FS13">_xll.ASAssetInfo($A13,"Proxy 1 End Date")</f>
        <v/>
      </c>
      <c r="FT13" s="14" t="str" cm="1">
        <f t="array" ref="FT13">_xll.ASAssetInfo($A13,"Proxy 2 Start Date")</f>
        <v/>
      </c>
      <c r="FU13" s="14" t="str" cm="1">
        <f t="array" ref="FU13">_xll.ASAssetInfo($A13,"Proxy 2 End Date")</f>
        <v/>
      </c>
      <c r="FV13" s="14" t="str" cm="1">
        <f t="array" ref="FV13">_xll.ASAssetInfo($A13,"Proxy 3 Start Date")</f>
        <v/>
      </c>
      <c r="FW13" s="14" t="str" cm="1">
        <f t="array" ref="FW13">_xll.ASAssetInfo($A13,"Proxy 3 End Date")</f>
        <v/>
      </c>
      <c r="FX13" s="14" t="str" cm="1">
        <f t="array" ref="FX13">_xll.ASAssetInfo($A13,"Fund Domicile")</f>
        <v/>
      </c>
      <c r="FY13" s="14" t="str" cm="1">
        <f t="array" ref="FY13">_xll.ASAssetInfo($A13,"Fund Contact")</f>
        <v/>
      </c>
      <c r="FZ13" s="14" t="str" cm="1">
        <f t="array" ref="FZ13">_xll.ASAssetInfo($A13,"Fund Contact Email")</f>
        <v/>
      </c>
      <c r="GA13" s="14" t="str" cm="1">
        <f t="array" ref="GA13">_xll.ASAssetInfo($A13,"Fund Contact Number")</f>
        <v/>
      </c>
      <c r="GB13" s="14" t="str" cm="1">
        <f t="array" ref="GB13">_xll.ASAssetInfo($A13,"City")</f>
        <v/>
      </c>
      <c r="GC13" s="14" t="str" cm="1">
        <f t="array" ref="GC13">_xll.ASAssetInfo($A13,"Leverage")</f>
        <v/>
      </c>
      <c r="GD13" s="14" t="str" cm="1">
        <f t="array" ref="GD13">_xll.ASAssetInfo($A13,"Lockup 1 Duration")</f>
        <v>0 Months</v>
      </c>
      <c r="GE13" s="14" t="str" cm="1">
        <f t="array" ref="GE13">_xll.ASAssetInfo($A13,"Lockup 2 Duration")</f>
        <v>0 Months</v>
      </c>
      <c r="GF13" s="14" t="str" cm="1">
        <f t="array" ref="GF13">_xll.ASAssetInfo($A13,"Lockup 3 Duration")</f>
        <v>0 Months</v>
      </c>
      <c r="GG13" s="31" t="str" cm="1">
        <f t="array" ref="GG13">_xll.ASAssetInfo($A13,"Fund Level Gate")</f>
        <v/>
      </c>
      <c r="GH13" s="31" t="str" cm="1">
        <f t="array" ref="GH13">_xll.ASAssetInfo($A13,"Fund Level Gate Frequency")</f>
        <v>Unknown</v>
      </c>
      <c r="GI13" s="35" cm="1">
        <f t="array" ref="GI13">_xll.ASAssetInfo($A13,"Payment 2 (%)")</f>
        <v>0</v>
      </c>
      <c r="GJ13" s="35" t="str" cm="1">
        <f t="array" ref="GJ13">_xll.ASAssetInfo($A13,"Payment 2 (days)")</f>
        <v/>
      </c>
      <c r="GK13" s="35" t="str" cm="1">
        <f t="array" ref="GK13">_xll.ASAssetInfo($A13,"Payment 2 (Paid After)")</f>
        <v>NAV Date</v>
      </c>
      <c r="GL13" s="35" cm="1">
        <f t="array" ref="GL13">_xll.ASAssetInfo($A13,"Payment 3 (%)")</f>
        <v>0</v>
      </c>
      <c r="GM13" s="36" t="str" cm="1">
        <f t="array" ref="GM13">_xll.ASAssetInfo($A13,"Payment 3 (Days)")</f>
        <v/>
      </c>
      <c r="GN13" s="35" t="str" cm="1">
        <f t="array" ref="GN13">_xll.ASAssetInfo($A13,"Payment 3 (Paid After)")</f>
        <v>NAV Date</v>
      </c>
      <c r="GO13" s="35" cm="1">
        <f t="array" ref="GO13">_xll.ASAssetInfo($A13,"Payment 4 (%)")</f>
        <v>0</v>
      </c>
      <c r="GP13" s="36" t="str" cm="1">
        <f t="array" ref="GP13">_xll.ASAssetInfo($A13,"Payment 4 (days)")</f>
        <v/>
      </c>
      <c r="GQ13" s="35" t="str" cm="1">
        <f t="array" ref="GQ13">_xll.ASAssetInfo($A13,"Payment 4 (Paid After)")</f>
        <v>NAV Date</v>
      </c>
      <c r="GR13" s="31" cm="1">
        <f t="array" ref="GR13">_xll.ASAssetInfo($A13,"Payment 1 (%)")</f>
        <v>1</v>
      </c>
      <c r="GS13" s="35" cm="1">
        <f t="array" ref="GS13">_xll.ASAssetInfo($A13,"Lockup 1 Fee")</f>
        <v>0</v>
      </c>
      <c r="GT13" s="35" cm="1">
        <f t="array" ref="GT13">_xll.ASAssetInfo($A13,"Lockup 2 Fee")</f>
        <v>0</v>
      </c>
      <c r="GU13" s="35" cm="1">
        <f t="array" ref="GU13">_xll.ASAssetInfo($A13,"Lockup 3 Fee")</f>
        <v>0</v>
      </c>
      <c r="GV13" s="35" t="str" cm="1">
        <f t="array" ref="GV13">_xll.ASAssetInfo($A13,"Lockup 1 type")</f>
        <v>None</v>
      </c>
      <c r="GW13" s="35" t="str" cm="1">
        <f t="array" ref="GW13">_xll.ASAssetInfo($A13,"Lockup 2 type")</f>
        <v>None</v>
      </c>
      <c r="GX13" s="35" t="str" cm="1">
        <f t="array" ref="GX13">_xll.ASAssetInfo($A13,"Lockup 3 type")</f>
        <v>None</v>
      </c>
      <c r="GY13" s="35" t="str" cm="1">
        <f t="array" ref="GY13">_xll.ASAssetInfo($A13,"Redemption 1 type")</f>
        <v>Calendar</v>
      </c>
      <c r="GZ13" s="35" t="str" cm="1">
        <f t="array" ref="GZ13">_xll.ASAssetInfo($A13,"Redemption 2 type")</f>
        <v>Calendar</v>
      </c>
      <c r="HA13" s="35" t="str" cm="1">
        <f t="array" ref="HA13">_xll.ASAssetInfo($A13,"Redemption 3 type")</f>
        <v>Calendar</v>
      </c>
      <c r="HB13" s="35" t="str" cm="1">
        <f t="array" ref="HB13">_xll.ASAssetInfo($A13,"Redemption 1 Fee")</f>
        <v/>
      </c>
      <c r="HC13" s="35" t="str" cm="1">
        <f t="array" ref="HC13">_xll.ASAssetInfo($A13,"Redemption 2 Fee")</f>
        <v/>
      </c>
      <c r="HD13" s="35" t="str" cm="1">
        <f t="array" ref="HD13">_xll.ASAssetInfo($A13,"Redemption 3 Fee")</f>
        <v/>
      </c>
      <c r="HE13" s="35" t="str" cm="1">
        <f t="array" ref="HE13">_xll.ASAssetInfo($A13,"Redemption 1 Frequency")</f>
        <v>Unknown</v>
      </c>
      <c r="HF13" s="35" t="str" cm="1">
        <f t="array" ref="HF13">_xll.ASAssetInfo($A13,"Redemption 2 Frequency")</f>
        <v>Unknown</v>
      </c>
      <c r="HG13" s="35" t="str" cm="1">
        <f t="array" ref="HG13">_xll.ASAssetInfo($A13,"Redemption 3 Frequency")</f>
        <v>Unknown</v>
      </c>
      <c r="HH13" s="35" t="str" cm="1">
        <f t="array" ref="HH13">_xll.ASAssetInfo($A13,"Asset Calendar")</f>
        <v>[Default]</v>
      </c>
      <c r="HI13" s="16" cm="1">
        <f t="array" ref="HI13">_xll.ASAssetStatistic($A13,"Max Second Drawdown",,,,"m",'PBA Summary'!$F$2,'PBA Summary'!$G$2)</f>
        <v>0</v>
      </c>
      <c r="HJ13" s="37" t="str" cm="1">
        <f t="array" ref="HJ13">_xll.ASAssetStatistic($A13,"Date Max Second Drawdown",,,,"m",'PBA Summary'!$F$2,'PBA Summary'!$G$2)</f>
        <v/>
      </c>
      <c r="HK13" s="37" t="str" cm="1">
        <f t="array" ref="HK13">_xll.ASAssetInfo($A13,HK$1)</f>
        <v>1186 HK</v>
      </c>
      <c r="HL13" s="37" t="str" cm="1">
        <f t="array" ref="HL13">_xll.ASAssetInfo($A13,HL$1)</f>
        <v/>
      </c>
      <c r="HM13" s="34" cm="1">
        <f t="array" ref="HM13">_xll.ASAssetInfo($A13,HM$1)</f>
        <v>5.1100000000000003</v>
      </c>
      <c r="HN13" s="37" t="str" cm="1">
        <f t="array" ref="HN13">_xll.ASAssetInfo($A13,HN$1)</f>
        <v/>
      </c>
      <c r="HO13" s="15" cm="1">
        <f t="array" ref="HO13">_xll.ASAssetInfo($A13,HO$1)</f>
        <v>0</v>
      </c>
      <c r="HP13" s="15" t="str" cm="1">
        <f t="array" ref="HP13">_xll.ASAssetInfo($A13,HP$1)</f>
        <v/>
      </c>
      <c r="HQ13" s="34" t="str" cm="1">
        <f t="array" ref="HQ13">_xll.ASAssetInfo($A13,HQ$1)</f>
        <v/>
      </c>
      <c r="HR13" s="37" t="str" cm="1">
        <f t="array" ref="HR13">_xll.ASAssetInfo($A13,HR$1)</f>
        <v/>
      </c>
      <c r="HS13" s="37" t="str" cm="1">
        <f t="array" ref="HS13">_xll.ASAssetInfo($A13,HS$1)</f>
        <v/>
      </c>
      <c r="HT13" s="37" t="str" cm="1">
        <f t="array" ref="HT13">_xll.ASAssetInfo($A13,HT$1)</f>
        <v/>
      </c>
      <c r="HU13" s="37" t="str" cm="1">
        <f t="array" ref="HU13">_xll.ASAssetInfo($A13,HU$1)</f>
        <v>China</v>
      </c>
      <c r="HV13" s="37" t="str" cm="1">
        <f t="array" ref="HV13">_xll.ASAssetInfo($A13,HV$1)</f>
        <v/>
      </c>
      <c r="HW13" s="37" t="str" cm="1">
        <f t="array" ref="HW13">_xll.ASAssetInfo($A13,HW$1)</f>
        <v/>
      </c>
    </row>
    <row r="14" spans="1:231" s="11" customFormat="1" ht="13.9" customHeight="1" x14ac:dyDescent="0.25">
      <c r="A14" t="s">
        <v>319</v>
      </c>
      <c r="B14" cm="1">
        <f t="array" ref="B14">_xll.ASPortfolioWeights('PBA Summary'!$C$2,"OR",$A14)</f>
        <v>0</v>
      </c>
      <c r="C14" cm="1">
        <f t="array" ref="C14">_xll.ASAssetStatistic($A14,"Annualized Return since inception",,,,"m",_xll.ASAssetInfo($A14,"Start Date"),_xll.ASAssetInfo($A14,"Last Return Date"))</f>
        <v>-2.0143929911823899E-2</v>
      </c>
      <c r="D14" cm="1">
        <f t="array" ref="D14">_xll.ASAssetStatistic($A14,"Annualized Return",,,,"m",'PBA Summary'!$F$2,'PBA Summary'!$G$2)</f>
        <v>-0.31014549098236732</v>
      </c>
      <c r="E14" s="19" cm="1">
        <f t="array" ref="E14">_xll.ASAssetStatistic($A14,"Equilibrium Annual Return",,,,"m",'PBA Summary'!$F$2,'PBA Summary'!$G$2)</f>
        <v>-0.63161144114663181</v>
      </c>
      <c r="F14" cm="1">
        <f t="array" ref="F14">_xll.ASAssetStatistic($A14,"Annualized Volatility (Inception)",,,,"m",_xll.ASAssetInfo($A14,"Start Date"),_xll.ASAssetInfo($A14,"Last Return Date"))</f>
        <v>0.47739896846703084</v>
      </c>
      <c r="G14" cm="1">
        <f t="array" ref="G14">_xll.ASAssetStatistic($A14,"Annualized Volatility",,,,"m",'PBA Summary'!$F$2,'PBA Summary'!$G$2)</f>
        <v>0.20408872198679362</v>
      </c>
      <c r="H14" s="20" cm="1">
        <f t="array" ref="H14">_xll.ASAssetStatistic($A14,"Skewness",,,,"m",'PBA Summary'!$F$2,'PBA Summary'!$G$2)</f>
        <v>-0.14627159256325301</v>
      </c>
      <c r="I14" s="20" cm="1">
        <f t="array" ref="I14">_xll.ASAssetStatistic($A14,"Excess kurtosis",,,,"m",'PBA Summary'!$F$2,'PBA Summary'!$G$2)</f>
        <v>-0.83073503099552459</v>
      </c>
      <c r="J14" s="19" cm="1">
        <f t="array" ref="J14">_xll.ASAssetStatistic($A14,"Return Last 1 month",,,,"m",'PBA Summary'!$F$2,'PBA Summary'!$G$2)</f>
        <v>-0.108164689462666</v>
      </c>
      <c r="K14" s="19" cm="1">
        <f t="array" ref="K14">_xll.ASAssetStatistic($A14,"Return Last 3 months",,,,"m",'PBA Summary'!$F$2,'PBA Summary'!$G$2)</f>
        <v>-9.3134646088346096E-2</v>
      </c>
      <c r="L14" s="19" cm="1">
        <f t="array" ref="L14">_xll.ASAssetStatistic($A14,"Return Last 1 year",,,,"m",'PBA Summary'!$F$2,'PBA Summary'!$G$2)</f>
        <v>-0.39872971065631635</v>
      </c>
      <c r="M14" s="19" cm="1">
        <f t="array" ref="M14">_xll.ASAssetStatistic($A14,"Year-to-date Return",,,,"m",'PBA Summary'!$F$2,'PBA Summary'!$G$2)</f>
        <v>-0.108164689462666</v>
      </c>
      <c r="N14" s="19" cm="1">
        <f t="array" ref="N14">_xll.ASAssetStatistic($A14,"Annualized Return",,,,"m",EOMONTH('PBA Summary'!$G$2,-2),'PBA Summary'!$G$2)</f>
        <v>-0.32365039407513718</v>
      </c>
      <c r="O14" s="19" t="str" cm="1">
        <f t="array" ref="O14">_xll.ASAssetStatistic($A14,"Annualized Return Last 3 years",,,,"m",'PBA Summary'!$F$2,'PBA Summary'!$G$2)</f>
        <v/>
      </c>
      <c r="P14" s="19" t="str" cm="1">
        <f t="array" ref="P14">_xll.ASAssetStatistic($A14,"Annualized Return Last 5 years",,,,"m",'PBA Summary'!$F$2,'PBA Summary'!$G$2)</f>
        <v/>
      </c>
      <c r="Q14" s="19" cm="1">
        <f t="array" ref="Q14">_xll.ASAssetStatistic($A14,"Annualized Volatility Last 1 year",,,,"m",'PBA Summary'!$F$2,'PBA Summary'!$G$2)</f>
        <v>0.21031304990067196</v>
      </c>
      <c r="R14" s="19" t="str" cm="1">
        <f t="array" ref="R14">_xll.ASAssetStatistic($A14,"Annualized Volatility Last 3 years",,,,"m",'PBA Summary'!$F$2,'PBA Summary'!$G$2)</f>
        <v/>
      </c>
      <c r="S14" s="19" t="str" cm="1">
        <f t="array" ref="S14">_xll.ASAssetStatistic($A14,"Annualized Volatility Last 5 years",,,,"m",'PBA Summary'!$F$2,'PBA Summary'!$G$2)</f>
        <v/>
      </c>
      <c r="T14" s="19" cm="1">
        <f t="array" ref="T14">_xll.ASAssetStatistic($A14,"Normal monthly VaR 99%",,,,"m",'PBA Summary'!$F$2,'PBA Summary'!$G$2)</f>
        <v>-0.16584246694610413</v>
      </c>
      <c r="U14" s="19" cm="1">
        <f t="array" ref="U14">_xll.ASAssetStatistic($A14,"Modified monthly VaR 99%",,,,"m",'PBA Summary'!$F$2,'PBA Summary'!$G$2)</f>
        <v>-0.16026249263017694</v>
      </c>
      <c r="V14" s="19" cm="1">
        <f t="array" ref="V14">_xll.ASAssetStatistic($A14,"Conditional monthly VaR 99%",,,,"m",'PBA Summary'!$F$2,'PBA Summary'!$G$2)</f>
        <v>-0.13684463684463688</v>
      </c>
      <c r="W14" s="19" cm="1">
        <f t="array" ref="W14">_xll.ASAssetStatistic($A14,"Normal monthly VaR 97%",,,,"m",'PBA Summary'!$F$2,'PBA Summary'!$G$2)</f>
        <v>-0.13959248619963735</v>
      </c>
      <c r="X14" s="19" cm="1">
        <f t="array" ref="X14">_xll.ASAssetStatistic($A14,"Modified monthly VaR 97%",,,,"m",'PBA Summary'!$F$2,'PBA Summary'!$G$2)</f>
        <v>-0.14103909785656468</v>
      </c>
      <c r="Y14" s="19" cm="1">
        <f t="array" ref="Y14">_xll.ASAssetStatistic($A14,"Conditional monthly VaR 97%",,,,"m",'PBA Summary'!$F$2,'PBA Summary'!$G$2)</f>
        <v>-0.13684463684463688</v>
      </c>
      <c r="Z14" s="19" cm="1">
        <f t="array" ref="Z14">_xll.ASAssetStatistic($A14,"Normal monthly VaR 95%",,,,"m",'PBA Summary'!$F$2,'PBA Summary'!$G$2)</f>
        <v>-0.12569200215545437</v>
      </c>
      <c r="AA14" s="19" cm="1">
        <f t="array" ref="AA14">_xll.ASAssetStatistic($A14,"Modified monthly VaR 95%",,,,"m",'PBA Summary'!$F$2,'PBA Summary'!$G$2)</f>
        <v>-0.1291056599758971</v>
      </c>
      <c r="AB14" s="19" cm="1">
        <f t="array" ref="AB14">_xll.ASAssetStatistic($A14,"Conditional monthly VaR 95%",,,,"m",'PBA Summary'!$F$2,'PBA Summary'!$G$2)</f>
        <v>-0.13684463684463688</v>
      </c>
      <c r="AC14" s="66" cm="1">
        <f t="array" ref="AC14">_xll.ASAssetStatistic($A14,"Correlation to Benchmark 1","MSCI ACWI Index",,,"m",'PBA Summary'!$F$2,'PBA Summary'!$G$2)</f>
        <v>0.30808331602377115</v>
      </c>
      <c r="AD14" s="38" cm="1">
        <f t="array" ref="AD14">IF('PBA Summary'!$D$3="","",_xll.ASAssetStatistic($A14,"Correlation to Benchmark 1",'PBA Summary'!$D$3,,,"m",'PBA Summary'!$F$2,'PBA Summary'!$G$2))</f>
        <v>0.22231214909846261</v>
      </c>
      <c r="AE14" s="21" cm="1">
        <f t="array" ref="AE14">IF('PBA Summary'!$D$2="","",_xll.ASAssetStatistic($A14,"Bull correlation to Benchmark 1",'PBA Summary'!$D$2,,,"m",'PBA Summary'!$F$2,'PBA Summary'!$G$2))</f>
        <v>0.26218524113171909</v>
      </c>
      <c r="AF14" s="21" cm="1">
        <f t="array" ref="AF14">IF('PBA Summary'!$D$2="","",_xll.ASAssetStatistic($A14,"Bear correlation to Benchmark 1",'PBA Summary'!$D$2,,,"m",'PBA Summary'!$F$2,'PBA Summary'!$G$2))</f>
        <v>-0.95482332990663443</v>
      </c>
      <c r="AG14" s="21" cm="1">
        <f t="array" ref="AG14">IF('PBA Summary'!$D$3="","",_xll.ASAssetStatistic($A14,"Bull correlation to Benchmark 1",'PBA Summary'!$D$3,,,"m",'PBA Summary'!$F$2,'PBA Summary'!$G$2))</f>
        <v>0.26218524113171909</v>
      </c>
      <c r="AH14" s="21" cm="1">
        <f t="array" ref="AH14">IF('PBA Summary'!$D$3="","",_xll.ASAssetStatistic($A14,"Bear correlation to Benchmark 1",'PBA Summary'!$D$3,,,"m",'PBA Summary'!$F$2,'PBA Summary'!$G$2))</f>
        <v>-0.95482332990663443</v>
      </c>
      <c r="AI14" s="24" cm="1">
        <f t="array" ref="AI14">IF('PBA Summary'!$D$2="","",_xll.ASAssetStatistic($A14,"Beta to Benchmark 1",'PBA Summary'!$D$2,,,"m",'PBA Summary'!$F$2,'PBA Summary'!$G$2))</f>
        <v>0.29553296814008539</v>
      </c>
      <c r="AJ14" s="24" t="str" cm="1">
        <f t="array" ref="AJ14">IF('PBA Summary'!$D$2="","",_xll.ASAssetStatistic($A14,"Beta to Benchmark 1 Last 3 years",'PBA Summary'!$D$2,,,"m",'PBA Summary'!$F$2,'PBA Summary'!$G$2))</f>
        <v/>
      </c>
      <c r="AK14" s="24" t="str" cm="1">
        <f t="array" ref="AK14">IF('PBA Summary'!$D$2="","",_xll.ASAssetStatistic($A14,"Beta to Benchmark 1 Last 5 years",'PBA Summary'!$D$2,,,"m",'PBA Summary'!$F$2,'PBA Summary'!$G$2))</f>
        <v/>
      </c>
      <c r="AL14" s="25" cm="1">
        <f t="array" ref="AL14">IF('PBA Summary'!$D$3="","",_xll.ASAssetStatistic($A14,"Beta to Benchmark 1",'PBA Summary'!$D$3,,,"m",'PBA Summary'!$F$2,'PBA Summary'!$G$2))</f>
        <v>0.29553296814008539</v>
      </c>
      <c r="AM14" s="25" t="str" cm="1">
        <f t="array" ref="AM14">IF('PBA Summary'!$D$3="","",_xll.ASAssetStatistic($A14,"Beta to Benchmark 1 Last 3 years",'PBA Summary'!$D$3,,,"m",'PBA Summary'!$F$2,'PBA Summary'!$G$2))</f>
        <v/>
      </c>
      <c r="AN14" s="25" t="str" cm="1">
        <f t="array" ref="AN14">IF('PBA Summary'!$D$3="","",_xll.ASAssetStatistic($A14,"Beta to Benchmark 1 Last 5 years",'PBA Summary'!$D$3,,,"m",'PBA Summary'!$F$2,'PBA Summary'!$G$2))</f>
        <v/>
      </c>
      <c r="AO14" s="25" cm="1">
        <f t="array" ref="AO14">IF('PBA Summary'!$D$2="","",_xll.ASAssetStatistic($A14,"Bull Beta to Benchmark 1",'PBA Summary'!$D$2,,,"m",'PBA Summary'!$F$2,'PBA Summary'!$G$2))</f>
        <v>0.74868746577794765</v>
      </c>
      <c r="AP14" s="25" cm="1">
        <f t="array" ref="AP14">IF('PBA Summary'!$D$2="","",_xll.ASAssetStatistic($A14,"Bear Beta to Benchmark 1",'PBA Summary'!$D$2,,,"m",'PBA Summary'!$F$2,'PBA Summary'!$G$2))</f>
        <v>-0.95196868402833801</v>
      </c>
      <c r="AQ14" s="25" cm="1">
        <f t="array" ref="AQ14">IF('PBA Summary'!$D$3="","",_xll.ASAssetStatistic($A14,"Bull Beta to Benchmark 1",'PBA Summary'!$D$3,,,"m",'PBA Summary'!$F$2,'PBA Summary'!$G$2))</f>
        <v>0.74868746577794765</v>
      </c>
      <c r="AR14" s="25" cm="1">
        <f t="array" ref="AR14">IF('PBA Summary'!$D$3="","",_xll.ASAssetStatistic($A14,"Bear Beta to Benchmark 1",'PBA Summary'!$D$3,,,"m",'PBA Summary'!$F$2,'PBA Summary'!$G$2))</f>
        <v>-0.95196868402833801</v>
      </c>
      <c r="AS14" s="25" cm="1">
        <f t="array" ref="AS14">_xll.ASAssetStatistic($A14,"Annual Sharpe Ratio (Rf)",,,'PBA Summary'!$H$2,"m",'PBA Summary'!$F$2,'PBA Summary'!$G$2)</f>
        <v>-1.5319096907402767</v>
      </c>
      <c r="AT14" s="25" t="str" cm="1">
        <f t="array" ref="AT14">_xll.ASAssetStatistic($A14,"Annual Sharpe Ratio (Rf) Last 3 years",,,'PBA Summary'!$H$2,"m",'PBA Summary'!$F$2,'PBA Summary'!$G$2)</f>
        <v/>
      </c>
      <c r="AU14" s="25" t="str" cm="1">
        <f t="array" ref="AU14">_xll.ASAssetStatistic($A14,"Annual Sharpe Ratio (Rf) Last 5 years",,,'PBA Summary'!$H$2,"m",'PBA Summary'!$F$2,'PBA Summary'!$G$2)</f>
        <v/>
      </c>
      <c r="AV14" s="18" cm="1">
        <f t="array" ref="AV14">_xll.ASAssetStatistic($A14,"Ann. Downside Deviation (vs 0%)",,,'PBA Summary'!$H$2,"m",'PBA Summary'!$F$2,'PBA Summary'!$G$2)</f>
        <v>0.20576198974541401</v>
      </c>
      <c r="AW14" s="18" cm="1">
        <f t="array" ref="AW14">_xll.ASAssetStatistic($A14,"Ann. Downside Deviation (vs Rf)",,,'PBA Summary'!$H$2,"m",'PBA Summary'!$F$2,'PBA Summary'!$G$2)</f>
        <v>0.20625741663767874</v>
      </c>
      <c r="AX14" s="39" cm="1">
        <f t="array" ref="AX14">_xll.ASAssetStatistic($A14,"Annual Treynor ratio",,,'PBA Summary'!$H$2,"m",'PBA Summary'!$F$2,'PBA Summary'!$G$2)</f>
        <v>-0.35745040059338556</v>
      </c>
      <c r="AY14" s="26" cm="1">
        <f t="array" ref="AY14">_xll.ASAssetStatistic($A14,"Annual Sortino Ratio (vs 0%)",,,'PBA Summary'!$H$2,"m",'PBA Summary'!$F$2,'PBA Summary'!$G$2)</f>
        <v>-1.5073021570509952</v>
      </c>
      <c r="AZ14" s="26" cm="1">
        <f t="array" ref="AZ14">_xll.ASAssetStatistic($A14,"Annual Sortino Ratio (vs Rf)",,,'PBA Summary'!$H$2,"m",'PBA Summary'!$F$2,'PBA Summary'!$G$2)</f>
        <v>-1.5158024185456311</v>
      </c>
      <c r="BA14" s="26" cm="1">
        <f t="array" ref="BA14">_xll.ASAssetStatistic($A14,"Sterling ratio",,,'PBA Summary'!$H$2,"m",'PBA Summary'!$F$2,'PBA Summary'!$G$2)</f>
        <v>-0.58044293536721103</v>
      </c>
      <c r="BB14" s="26" cm="1">
        <f t="array" ref="BB14">_xll.ASAssetStatistic($A14,"Calmar ratio",,,'PBA Summary'!$H$2,"m",'PBA Summary'!$F$2,'PBA Summary'!$G$2)</f>
        <v>-0.71408529987456115</v>
      </c>
      <c r="BC14" s="26" cm="1">
        <f t="array" ref="BC14">_xll.ASAssetStatistic($A14,"Hurst index",,,'PBA Summary'!$H$2,"m",'PBA Summary'!$F$2,'PBA Summary'!$G$2)</f>
        <v>0.52247950742282845</v>
      </c>
      <c r="BD14" s="26" cm="1">
        <f t="array" ref="BD14">_xll.ASAssetStatistic($A14,"Omega (Threshold 1)",,,'PBA Summary'!$H$2,"m",'PBA Summary'!$F$2,'PBA Summary'!$G$2)</f>
        <v>0.29453100539358712</v>
      </c>
      <c r="BE14" s="26" cm="1">
        <f t="array" ref="BE14">_xll.ASAssetStatistic($A14,"Omega (Threshold 2)",,,'PBA Summary'!$H$2,"m",'PBA Summary'!$F$2,'PBA Summary'!$G$2)</f>
        <v>0.23452449830476468</v>
      </c>
      <c r="BF14" s="26" cm="1">
        <f t="array" ref="BF14">_xll.ASAssetStatistic($A14,"Omega (Threshold 3)",,,'PBA Summary'!$H$2,"m",'PBA Summary'!$F$2,'PBA Summary'!$G$2)</f>
        <v>0.18294542907654768</v>
      </c>
      <c r="BG14" s="26" cm="1">
        <f t="array" ref="BG14">_xll.ASAssetStatistic($A14,"Omega (Threshold 4)",,,'PBA Summary'!$H$2,"m",'PBA Summary'!$F$2,'PBA Summary'!$G$2)</f>
        <v>0.13981064267803064</v>
      </c>
      <c r="BH14" s="26" cm="1">
        <f t="array" ref="BH14">_xll.ASAssetStatistic($A14,"Omega (Threshold 5)",,,'PBA Summary'!$H$2,"m",'PBA Summary'!$F$2,'PBA Summary'!$G$2)</f>
        <v>0.10598187616056355</v>
      </c>
      <c r="BI14" s="26" t="str" cm="1">
        <f t="array" ref="BI14">_xll.ASAssetStatistic($A14,"Autocorrelated (illiquid)",,,'PBA Summary'!$H$2,"m",'PBA Summary'!$F$2,'PBA Summary'!$G$2)</f>
        <v>No</v>
      </c>
      <c r="BJ14" s="27" cm="1">
        <f t="array" ref="BJ14">_xll.ASAssetStatistic($A14,"% months in Run Up",,,'PBA Summary'!$H$2,"m",'PBA Summary'!$F$2,'PBA Summary'!$G$2)</f>
        <v>0.19999999999999996</v>
      </c>
      <c r="BK14" s="27" cm="1">
        <f t="array" ref="BK14">_xll.ASAssetStatistic($A14,"% months in Drawdown",,,'PBA Summary'!$H$2,"m",'PBA Summary'!$F$2,'PBA Summary'!$G$2)</f>
        <v>0.8</v>
      </c>
      <c r="BL14" s="18" cm="1">
        <f t="array" ref="BL14">IF('PBA Summary'!$D$2="","",_xll.ASAssetStatistic($A14,"Bull Beta to Benchmark 1",'PBA Summary'!$D$2,,,"m",'PBA Summary'!$F$2,'PBA Summary'!$G$2))</f>
        <v>0.74868746577794765</v>
      </c>
      <c r="BM14" s="18" cm="1">
        <f t="array" ref="BM14">IF('PBA Summary'!$D$2="","",_xll.ASAssetStatistic($A14,"Average return during bear Benchmark 1",'PBA Summary'!$D$2,,,"m",'PBA Summary'!$F$2,'PBA Summary'!$G$2))</f>
        <v>-5.970076467707125E-2</v>
      </c>
      <c r="BN14" s="18" cm="1">
        <f t="array" ref="BN14">IF('PBA Summary'!$D$3="","",_xll.ASAssetStatistic($A14,"Average return during bull Benchmark 1",'PBA Summary'!$D$3,,,"m",'PBA Summary'!$F$2,'PBA Summary'!$G$2))</f>
        <v>-1.7542757358102158E-2</v>
      </c>
      <c r="BO14" s="18" cm="1">
        <f t="array" ref="BO14">IF('PBA Summary'!$D$3="","",_xll.ASAssetStatistic($A14,"Average return during bear Benchmark 1",'PBA Summary'!$D$3,,,"m",'PBA Summary'!$F$2,'PBA Summary'!$G$2))</f>
        <v>-5.970076467707125E-2</v>
      </c>
      <c r="BP14" s="27" cm="1">
        <f t="array" ref="BP14">_xll.ASAssetStatistic($A14,"Maximum consecutive gain",,,'PBA Summary'!$H$2,"m",'PBA Summary'!$F$2,'PBA Summary'!$G$2)</f>
        <v>9.1161555179908538E-2</v>
      </c>
      <c r="BQ14" s="27" cm="1">
        <f t="array" ref="BQ14">_xll.ASAssetStatistic($A14,"Maximum consecutive loss",,,'PBA Summary'!$H$2,"m",'PBA Summary'!$F$2,'PBA Summary'!$G$2)</f>
        <v>-0.24676330640699351</v>
      </c>
      <c r="BR14" s="27" cm="1">
        <f t="array" ref="BR14">_xll.ASAssetStatistic($A14,"Max monthly gain",,,'PBA Summary'!$H$2,"m",'PBA Summary'!$F$2,'PBA Summary'!$G$2)</f>
        <v>6.2926370265820042E-2</v>
      </c>
      <c r="BS14" s="27" cm="1">
        <f t="array" ref="BS14">_xll.ASAssetStatistic($A14,"Max monthly loss",,,'PBA Summary'!$H$2,"m",'PBA Summary'!$F$2,'PBA Summary'!$G$2)</f>
        <v>-0.13684463684463688</v>
      </c>
      <c r="BT14" s="27" cm="1">
        <f t="array" ref="BT14">_xll.ASAssetStatistic($A14,"Max drawdown",,,'PBA Summary'!$H$2,"m",'PBA Summary'!$F$2,'PBA Summary'!$G$2)</f>
        <v>-0.43432555051455146</v>
      </c>
      <c r="BU14" s="28" cm="1">
        <f t="array" ref="BU14">_xll.ASAssetStatistic($A14,"Date Max drawdown",,,'PBA Summary'!$H$2,"m",'PBA Summary'!$F$2,'PBA Summary'!$G$2)</f>
        <v>43861</v>
      </c>
      <c r="BV14" s="28" cm="1">
        <f t="array" ref="BV14">_xll.ASAssetStatistic($A14,"Start Date Max Drawdown",,,'PBA Summary'!$H$2,"m",'PBA Summary'!$F$2,'PBA Summary'!$G$2)</f>
        <v>43555</v>
      </c>
      <c r="BW14" s="28" t="str" cm="1">
        <f t="array" ref="BW14">_xll.ASAssetStatistic($A14,"End Date Max Drawdown",,,'PBA Summary'!$H$2,"m",'PBA Summary'!$F$2,'PBA Summary'!$G$2)</f>
        <v/>
      </c>
      <c r="BX14" s="29" cm="1">
        <f t="array" ref="BX14">_xll.ASAssetStatistic($A14,"Max Time-under-water (months)",,,'PBA Summary'!$H$2,"m",'PBA Summary'!$F$2,'PBA Summary'!$G$2)</f>
        <v>11</v>
      </c>
      <c r="BY14" s="27" cm="1">
        <f t="array" ref="BY14">_xll.ASAssetStatistic($A14,"Max possible drawdown 99%",,,'PBA Summary'!$H$2,"m",'PBA Summary'!$F$2,'PBA Summary'!$G$2)</f>
        <v>-1</v>
      </c>
      <c r="BZ14" s="27" cm="1">
        <f t="array" ref="BZ14">_xll.ASAssetStatistic($A14,"Max possible drawdown 99.9%",,,'PBA Summary'!$H$2,"m",'PBA Summary'!$F$2,'PBA Summary'!$G$2)</f>
        <v>-1</v>
      </c>
      <c r="CA14" s="30" t="str" cm="1">
        <f t="array" ref="CA14">_xll.ASAssetStatistic($A14,"Max Possible Time-under-water 99% (months)",,,'PBA Summary'!$H$2,"m",'PBA Summary'!$F$2,'PBA Summary'!$G$2)</f>
        <v/>
      </c>
      <c r="CB14" s="30" t="str" cm="1">
        <f t="array" ref="CB14">_xll.ASAssetStatistic($A14,"Max Possible Time-under-water 99.9% (months)",,,'PBA Summary'!$H$2,"m",'PBA Summary'!$F$2,'PBA Summary'!$G$2)</f>
        <v/>
      </c>
      <c r="CC14" s="17" t="str" cm="1">
        <f t="array" ref="CC14">_xll.ASPortfolioReturnAttribution('PBA Summary'!$C$2,"OR",A14,"Last 1m",'PBA Summary'!$F$2,'PBA Summary'!$G$2)</f>
        <v/>
      </c>
      <c r="CD14" s="11" t="str" cm="1">
        <f t="array" ref="CD14">_xll.ASAssetInfo($A14,"Strategy")</f>
        <v>Direct Holdings - Stocks</v>
      </c>
      <c r="CE14" s="14" cm="1">
        <f t="array" ref="CE14">_xll.ASAssetInfo($A14,"Start Date")</f>
        <v>39422</v>
      </c>
      <c r="CF14" s="14" t="str" cm="1">
        <f t="array" ref="CF14">_xll.ASAssetRatings($A14,"Quantitative",0,0,0,0,0,'PBA Summary'!$F$2,'PBA Summary'!$G$2)</f>
        <v/>
      </c>
      <c r="CG14" s="14" t="str" cm="1">
        <f t="array" ref="CG14">_xll.ASAssetRatings($A14,"Qualitative",0,0,0,0,0,'PBA Summary'!$F$2,'PBA Summary'!$G$2)</f>
        <v/>
      </c>
      <c r="CH14" s="14" t="str" cm="1">
        <f t="array" ref="CH14">_xll.ASAssetRatings($A14,"Final",0,0,0,0,0,'PBA Summary'!$F$2,'PBA Summary'!$G$2)</f>
        <v/>
      </c>
      <c r="CI14" s="14" cm="1">
        <f t="array" ref="CI14">_xll.ASAssetInfo($A14,"Last Return Date")</f>
        <v>44126</v>
      </c>
      <c r="CJ14" s="14" t="str" cm="1">
        <f t="array" ref="CJ14">_xll.ASAssetInfo($A14,"Company Name")</f>
        <v/>
      </c>
      <c r="CK14" s="14" t="str" cm="1">
        <f t="array" ref="CK14">_xll.ASAssetInfo($A14,"Manager Name")</f>
        <v/>
      </c>
      <c r="CL14" s="14" t="str" cm="1">
        <f t="array" ref="CL14">_xll.ASAssetInfo($A14,"Address")</f>
        <v/>
      </c>
      <c r="CM14" s="14" t="str" cm="1">
        <f t="array" ref="CM14">_xll.ASAssetInfo($A14,"Phone Number")</f>
        <v/>
      </c>
      <c r="CN14" s="14" t="str" cm="1">
        <f t="array" ref="CN14">_xll.ASAssetInfo($A14,"Email")</f>
        <v/>
      </c>
      <c r="CO14" s="14" t="str" cm="1">
        <f t="array" ref="CO14">_xll.ASAssetInfo($A14,"Asset Type")</f>
        <v>Equities</v>
      </c>
      <c r="CP14" s="14" t="str" cm="1">
        <f t="array" ref="CP14">_xll.ASAssetInfo($A14,"Proprietary ID")</f>
        <v/>
      </c>
      <c r="CQ14" s="14" t="str" cm="1">
        <f t="array" ref="CQ14">_xll.ASAssetInfo($A14,"Country")</f>
        <v>[Not Classified]</v>
      </c>
      <c r="CR14" s="14" t="str" cm="1">
        <f t="array" ref="CR14">_xll.ASAssetInfo($A14,"Currency")</f>
        <v>HKD</v>
      </c>
      <c r="CS14" s="14" t="str" cm="1">
        <f t="array" ref="CS14">_xll.ASAssetInfo($A14,"Sub-Strategy")</f>
        <v/>
      </c>
      <c r="CT14" s="31" t="str" cm="1">
        <f t="array" ref="CT14">_xll.ASAssetInfo($A14,"Fund AUM (m)")</f>
        <v/>
      </c>
      <c r="CU14" s="31" t="str" cm="1">
        <f t="array" ref="CU14">_xll.ASAssetInfo($A14,"Status")</f>
        <v>Unknown</v>
      </c>
      <c r="CV14" s="31" t="str" cm="1">
        <f t="array" ref="CV14">_xll.ASAssetInfo($A14,"Redemption 1 Frequency")</f>
        <v>Unknown</v>
      </c>
      <c r="CW14" s="31" t="str" cm="1">
        <f t="array" ref="CW14">_xll.ASAssetInfo($A14,"Redemption 2 Frequency")</f>
        <v>Unknown</v>
      </c>
      <c r="CX14" s="31" t="str" cm="1">
        <f t="array" ref="CX14">_xll.ASAssetInfo($A14,"Redemption 3 Frequency")</f>
        <v>Unknown</v>
      </c>
      <c r="CY14" s="31" t="str" cm="1">
        <f t="array" ref="CY14">_xll.ASAssetInfo($A14,"Notice Period")</f>
        <v/>
      </c>
      <c r="CZ14" s="15" t="str" cm="1">
        <f t="array" ref="CZ14">_xll.ASAssetInfo($A14,"Performance Fee")</f>
        <v/>
      </c>
      <c r="DA14" s="15" t="str" cm="1">
        <f t="array" ref="DA14">_xll.ASAssetInfo($A14,"Management Fee")</f>
        <v/>
      </c>
      <c r="DB14" s="15" t="str" cm="1">
        <f t="array" ref="DB14">_xll.ASAssetInfo($A14,"ISIN")</f>
        <v>CNE1000007Z2</v>
      </c>
      <c r="DC14" s="16" cm="1">
        <f t="array" ref="DC14">_xll.ASAssetStatistic($A14,"Return during " &amp;YEAR(EOMONTH('PBA Summary'!$G$2,-60)),,,,"M",DATE(YEAR(EOMONTH('PBA Summary'!$G$2,-60)),1,31),DATE(YEAR(EOMONTH('PBA Summary'!$G$2,-60)),12,31))</f>
        <v>-6.8021328721717733E-2</v>
      </c>
      <c r="DD14" s="16" cm="1">
        <f t="array" ref="DD14">_xll.ASAssetStatistic($A14,"Return during " &amp;YEAR(EOMONTH('PBA Summary'!$G$2,-48)),,,,"M",DATE(YEAR(EOMONTH('PBA Summary'!$G$2,-48)),1,31),DATE(YEAR(EOMONTH('PBA Summary'!$G$2,-48)),12,31))</f>
        <v>0.10221122622545153</v>
      </c>
      <c r="DE14" s="16" cm="1">
        <f t="array" ref="DE14">_xll.ASAssetStatistic($A14,"Return during " &amp;YEAR(EOMONTH('PBA Summary'!$G$2,-36)),,,,"M",DATE(YEAR(EOMONTH('PBA Summary'!$G$2,-36)),1,31),DATE(YEAR(EOMONTH('PBA Summary'!$G$2,-36)),12,31))</f>
        <v>-7.9545454545453143E-2</v>
      </c>
      <c r="DF14" s="16" cm="1">
        <f t="array" ref="DF14">_xll.ASAssetStatistic($A14,"Return during " &amp;YEAR(EOMONTH('PBA Summary'!$G$2,-24)),,,,"M",DATE(YEAR(EOMONTH('PBA Summary'!$G$2,-24)),1,31),DATE(YEAR(EOMONTH('PBA Summary'!$G$2,-24)),12,31))</f>
        <v>0.26230757506477698</v>
      </c>
      <c r="DG14" s="16" cm="1">
        <f t="array" ref="DG14">_xll.ASAssetStatistic($A14,"Return during " &amp;YEAR(EOMONTH('PBA Summary'!$G$2,-12)),,,,"M",DATE(YEAR(EOMONTH('PBA Summary'!$G$2,-12)),1,31),DATE(YEAR(EOMONTH('PBA Summary'!$G$2,-12)),12,31))</f>
        <v>-0.30789664332286881</v>
      </c>
      <c r="DH14" s="11" t="str" cm="1">
        <f t="array" ref="DH14">_xll.ASAssetInfo($A14,"Prime Broker")</f>
        <v/>
      </c>
      <c r="DI14" s="16" cm="1">
        <f t="array" ref="DI14">_xll.ASAssetStatistic($A14,"Return",,,,"m",'PBA Summary'!$F$2,'PBA Summary'!$G$2)</f>
        <v>-0.37129504366006605</v>
      </c>
      <c r="DJ14" s="33" cm="1">
        <f t="array" ref="DJ14">IF('PBA Summary'!$D$2="","",_xll.ASAssetStatistic($A14,"Ann. Information Ratio vs Benchmark 1",'PBA Summary'!$D$2,,,"m",'PBA Summary'!$F$2,'PBA Summary'!$G$2))</f>
        <v>-2.1302979789459529</v>
      </c>
      <c r="DK14" s="33" cm="1">
        <f t="array" ref="DK14">IF('PBA Summary'!$D$3="","",_xll.ASAssetStatistic($A14,"Ann. Information Ratio vs Benchmark 1",'PBA Summary'!$D$3,,,"m",'PBA Summary'!$F$2,'PBA Summary'!$G$2))</f>
        <v>-2.1302979789459529</v>
      </c>
      <c r="DL14" s="33" cm="1">
        <f t="array" ref="DL14">IF('PBA Summary'!$D$2="","",_xll.ASAssetStatistic($A14,"Ann. Tracking Error vs Benchmark 1",'PBA Summary'!$D$2,,,"m",'PBA Summary'!$F$2,'PBA Summary'!$G$2))</f>
        <v>0.22647433832132219</v>
      </c>
      <c r="DM14" s="33" cm="1">
        <f t="array" ref="DM14">IF('PBA Summary'!$D$3="","",_xll.ASAssetStatistic($A14,"Ann. Tracking Error vs Benchmark 1",'PBA Summary'!$D$3,,,"m",'PBA Summary'!$F$2,'PBA Summary'!$G$2))</f>
        <v>0.22647433832132219</v>
      </c>
      <c r="DN14" s="33" cm="1">
        <f t="array" ref="DN14">IF('PBA Summary'!$D$2="","",_xll.ASAssetStatistic($A14,"R² vs Benchmark 1",'PBA Summary'!$D$2,,,"m",'PBA Summary'!$F$2,'PBA Summary'!$G$2))</f>
        <v>4.9422691636777073E-2</v>
      </c>
      <c r="DO14" s="33" cm="1">
        <f t="array" ref="DO14">IF('PBA Summary'!$D$3="","",_xll.ASAssetStatistic($A14,"R² vs Benchmark 1",'PBA Summary'!$D$3,,,"m",'PBA Summary'!$F$2,'PBA Summary'!$G$2))</f>
        <v>4.9422691636777073E-2</v>
      </c>
      <c r="DP14" s="11" t="str" cm="1">
        <f t="array" ref="DP14">_xll.ASAssetInfo($A14,"On-/Offshore")</f>
        <v>Unknown</v>
      </c>
      <c r="DQ14" s="16" cm="1">
        <f t="array" ref="DQ14">_xll.ASAssetStatistic($A14,"Quarter-to-date",,,,"m",'PBA Summary'!$F$2,'PBA Summary'!$G$2)</f>
        <v>-0.108164689462666</v>
      </c>
      <c r="DR14" s="16" cm="1">
        <f t="array" ref="DR14">_xll.ASAssetStatistic($A14,"Annualized Return Since inception",,,,"m",'PBA Summary'!$F$2,'PBA Summary'!$G$2)</f>
        <v>-2.0143929911823899E-2</v>
      </c>
      <c r="DS14" s="16" cm="1">
        <f t="array" ref="DS14">IF('PBA Summary'!$D$2="","",_xll.ASAssetStatistic($A14,"Ann. Bear Market Return vs Benchmark 1",'PBA Summary'!$D$2,,,"m",'PBA Summary'!$F$2,'PBA Summary'!$G$2))</f>
        <v>-0.52643163037631935</v>
      </c>
      <c r="DT14" s="16" cm="1">
        <f t="array" ref="DT14">IF('PBA Summary'!$D$2="","",_xll.ASAssetStatistic($A14,"Ann. Bull Market Return vs Benchmark 1",'PBA Summary'!$D$2,,,"m",'PBA Summary'!$F$2,'PBA Summary'!$G$2))</f>
        <v>-0.20901812371842488</v>
      </c>
      <c r="DU14" s="16" cm="1">
        <f t="array" ref="DU14">IF('PBA Summary'!$D$3="","",_xll.ASAssetStatistic($A14,"Ann. Bear Market Return vs Benchmark 1",'PBA Summary'!$D$3,,,"m",'PBA Summary'!$F$2,'PBA Summary'!$G$2))</f>
        <v>-0.52643163037631935</v>
      </c>
      <c r="DV14" s="16" cm="1">
        <f t="array" ref="DV14">IF('PBA Summary'!$D$3="","",_xll.ASAssetStatistic($A14,"Ann. Bull Market Return vs Benchmark 1",'PBA Summary'!$D$3,,,"m",'PBA Summary'!$F$2,'PBA Summary'!$G$2))</f>
        <v>-0.20901812371842488</v>
      </c>
      <c r="DW14" s="17" cm="1">
        <f t="array" ref="DW14">_xll.ASAssetStatistic($A14,"Average Positive Return",,,,"m",'PBA Summary'!$F$2,'PBA Summary'!$G$2)</f>
        <v>3.6052796516166642E-2</v>
      </c>
      <c r="DX14" s="17" cm="1">
        <f t="array" ref="DX14">_xll.ASAssetStatistic($A14,"Average Negative Return",,,,"m",'PBA Summary'!$F$2,'PBA Summary'!$G$2)</f>
        <v>-6.1203737222824198E-2</v>
      </c>
      <c r="DY14" s="16" cm="1">
        <f t="array" ref="DY14">IF('PBA Summary'!$D$2="","",_xll.ASAssetStatistic($A14,"Outperformance vs Benchmark 1",'PBA Summary'!$D$2,,,"m",'PBA Summary'!$F$2,'PBA Summary'!$G$2))</f>
        <v>-0.5911386884687847</v>
      </c>
      <c r="DZ14" s="16" cm="1">
        <f t="array" ref="DZ14">IF('PBA Summary'!$D$3="","",_xll.ASAssetStatistic($A14,"Outperformance vs Benchmark 1",'PBA Summary'!$D$3,,,"m",'PBA Summary'!$F$2,'PBA Summary'!$G$2))</f>
        <v>-0.5911386884687847</v>
      </c>
      <c r="EA14" s="16" cm="1">
        <f t="array" ref="EA14">IF('PBA Summary'!$D$2="","",_xll.ASAssetStatistic($A14,"Annual Outperformance vs Benchmark 1",'PBA Summary'!$D$2,,,"m",'PBA Summary'!$F$2,'PBA Summary'!$G$2))</f>
        <v>-0.48245782520903457</v>
      </c>
      <c r="EB14" s="16" cm="1">
        <f t="array" ref="EB14">IF('PBA Summary'!$D$3="","",_xll.ASAssetStatistic($A14,"Annual Outperformance vs Benchmark 1",'PBA Summary'!$D$3,,,"m",'PBA Summary'!$F$2,'PBA Summary'!$G$2))</f>
        <v>-0.48245782520903457</v>
      </c>
      <c r="EC14" s="32" cm="1">
        <f t="array" ref="EC14">_xll.ASAssetStatistic($A14,"Rachev Ratio 99%",,,,"m",'PBA Summary'!$F$2,'PBA Summary'!$G$2)</f>
        <v>-0.45983804493019276</v>
      </c>
      <c r="ED14" s="32" cm="1">
        <f t="array" ref="ED14">_xll.ASAssetStatistic($A14,"Rachev Ratio 97%",,,,"m",'PBA Summary'!$F$2,'PBA Summary'!$G$2)</f>
        <v>-0.45983804493019276</v>
      </c>
      <c r="EE14" s="32" cm="1">
        <f t="array" ref="EE14">_xll.ASAssetStatistic($A14,"Rachev Ratio 95%",,,,"m",'PBA Summary'!$F$2,'PBA Summary'!$G$2)</f>
        <v>-0.45983804493019276</v>
      </c>
      <c r="EF14" s="32" cm="1">
        <f t="array" ref="EF14">_xll.ASAssetStatistic($A14,"Rachev Ratio 90%",,,,"m",'PBA Summary'!$F$2,'PBA Summary'!$G$2)</f>
        <v>-0.46172899210054091</v>
      </c>
      <c r="EG14" s="34" cm="1">
        <f t="array" ref="EG14">IF('PBA Summary'!$D$2="","",_xll.ASAssetStatistic($A14,"Annual Up Capture vs Benchmark 1",'PBA Summary'!$D$2,,,"m",'PBA Summary'!$F$2,'PBA Summary'!$G$2))</f>
        <v>-0.41290967111314714</v>
      </c>
      <c r="EH14" s="34" cm="1">
        <f t="array" ref="EH14">IF('PBA Summary'!$D$3="","",_xll.ASAssetStatistic($A14,"Annual Up Capture vs Benchmark 1",'PBA Summary'!$D$3,,,"m",'PBA Summary'!$F$2,'PBA Summary'!$G$2))</f>
        <v>-0.41290967111314714</v>
      </c>
      <c r="EI14" s="34" cm="1">
        <f t="array" ref="EI14">IF('PBA Summary'!$D$2="","",_xll.ASAssetStatistic($A14,"Annual Down Capture vs Benchmark 1",'PBA Summary'!$D$2,,,"m",'PBA Summary'!$F$2,'PBA Summary'!$G$2))</f>
        <v>1.2792256323695366</v>
      </c>
      <c r="EJ14" s="34" cm="1">
        <f t="array" ref="EJ14">IF('PBA Summary'!$D$3="","",_xll.ASAssetStatistic($A14,"Annual Down Capture vs Benchmark 1",'PBA Summary'!$D$3,,,"m",'PBA Summary'!$F$2,'PBA Summary'!$G$2))</f>
        <v>1.2792256323695366</v>
      </c>
      <c r="EK14" s="16" cm="1">
        <f t="array" ref="EK14">IF('PBA Summary'!$D$2="","",_xll.ASAssetStatistic($A14,"Ann. Tracking Error vs Benchmark 1",'PBA Summary'!$D$2,,,"m",'PBA Summary'!$F$2,'PBA Summary'!$G$2))</f>
        <v>0.22647433832132219</v>
      </c>
      <c r="EL14" s="16" cm="1">
        <f t="array" ref="EL14">IF('PBA Summary'!$D$3="","",_xll.ASAssetStatistic($A14,"Ann. Tracking Error vs Benchmark 1",'PBA Summary'!$D$3,,,"m",'PBA Summary'!$F$2,'PBA Summary'!$G$2))</f>
        <v>0.22647433832132219</v>
      </c>
      <c r="EM14" s="16" cm="1">
        <f t="array" ref="EM14">IF('PBA Summary'!$D$2="","",_xll.ASAssetStatistic($A14,"Annual Jensen Alpha vs Benchmark 1 (Rf)",'PBA Summary'!$D$2,,,"m",'PBA Summary'!$F$2,'PBA Summary'!$G$2))</f>
        <v>-0.36283063414317052</v>
      </c>
      <c r="EN14" s="16" cm="1">
        <f t="array" ref="EN14">IF('PBA Summary'!$D$3="","",_xll.ASAssetStatistic($A14,"Annual Jensen Alpha vs Benchmark 1 (Rf)",'PBA Summary'!$D$3,,,"m",'PBA Summary'!$F$2,'PBA Summary'!$G$2))</f>
        <v>-0.36283063414317052</v>
      </c>
      <c r="EO14" s="33" cm="1">
        <f t="array" ref="EO14">IF('PBA Summary'!$D$2="","",_xll.ASAssetStatistic($A14,"Ann. Information Ratio vs Benchmark 1",'PBA Summary'!$D$2,,,"m",'PBA Summary'!$F$2,'PBA Summary'!$G$2))</f>
        <v>-2.1302979789459529</v>
      </c>
      <c r="EP14" s="33" cm="1">
        <f t="array" ref="EP14">IF('PBA Summary'!$D$3="","",_xll.ASAssetStatistic($A14,"Ann. Information Ratio vs Benchmark 1",'PBA Summary'!$D$3,,,"m",'PBA Summary'!$F$2,'PBA Summary'!$G$2))</f>
        <v>-2.1302979789459529</v>
      </c>
      <c r="EQ14" s="17" cm="1">
        <f t="array" ref="EQ14">IF('PBA Summary'!$D$2="","",_xll.ASAssetStatistic($A14,"Alpha Monthly vs Benchmark 1",'PBA Summary'!$D$2,,,"m",'PBA Summary'!$F$2,'PBA Summary'!$G$2))</f>
        <v>-3.3001402442103749E-2</v>
      </c>
      <c r="ER14" s="17" cm="1">
        <f t="array" ref="ER14">IF('PBA Summary'!$D$3="","",_xll.ASAssetStatistic($A14,"Alpha Monthly vs Benchmark 1",'PBA Summary'!$D$3,,,"m",'PBA Summary'!$F$2,'PBA Summary'!$G$2))</f>
        <v>-3.3001402442103749E-2</v>
      </c>
      <c r="ES14" s="11" t="str" cm="1">
        <f t="array" ref="ES14">_xll.ASAssetInfo($A14,"Company AUM (m)")</f>
        <v/>
      </c>
      <c r="ET14" s="16" cm="1">
        <f t="array" ref="ET14">_xll.ASAssetStatistic($A14,"Exponential Annualized Volatility",,,,"m",'PBA Summary'!$F$2,'PBA Summary'!$G$2)</f>
        <v>0.20390599788864278</v>
      </c>
      <c r="EU14" s="16" cm="1">
        <f t="array" ref="EU14">_xll.ASAssetStatistic($A14,"Exponential Annualized Volatility Last 1 year",,,,"m",'PBA Summary'!$F$2,'PBA Summary'!$G$2)</f>
        <v>0.20621447426764128</v>
      </c>
      <c r="EV14" s="16" t="str" cm="1">
        <f t="array" ref="EV14">_xll.ASAssetStatistic($A14,"Exponential Annualized Volatility Last 3 years",,,,"m",'PBA Summary'!$F$2,'PBA Summary'!$G$2)</f>
        <v/>
      </c>
      <c r="EW14" s="34" cm="1">
        <f t="array" ref="EW14">IF('PBA Summary'!$D$2="","",_xll.ASAssetStatistic($A14,"Exponential Correlation to Benchmark 1",'PBA Summary'!$D$2,,,"m",'PBA Summary'!$F$2,'PBA Summary'!$G$2))</f>
        <v>0.28100604028794207</v>
      </c>
      <c r="EX14" s="34" cm="1">
        <f t="array" ref="EX14">IF('PBA Summary'!$D$3="","",_xll.ASAssetStatistic($A14,"Exponential Correlation to Benchmark 1",'PBA Summary'!$D$3,,,"m",'PBA Summary'!$F$2,'PBA Summary'!$G$2))</f>
        <v>0.28100604028794207</v>
      </c>
      <c r="EY14" s="34" cm="1">
        <f t="array" ref="EY14">_xll.ASAssetStatistic($A14,"Exponential Annual Sharpe Ratio (Rf)",,,,"m",'PBA Summary'!$F$2,'PBA Summary'!$G$2)</f>
        <v>-1.6900133085739286</v>
      </c>
      <c r="EZ14" s="34" cm="1">
        <f t="array" ref="EZ14">_xll.ASAssetStatistic($A14,"Exponential Normal Monthly VaR 99%",,,,"m",'PBA Summary'!$F$2,'PBA Summary'!$G$2)</f>
        <v>-0.17122549401215434</v>
      </c>
      <c r="FA14" s="34" cm="1">
        <f t="array" ref="FA14">_xll.ASAssetStatistic($A14,"Exponential Normal Monthly VaR 97%",,,,"m",'PBA Summary'!$F$2,'PBA Summary'!$G$2)</f>
        <v>-0.14499901531916548</v>
      </c>
      <c r="FB14" s="34" cm="1">
        <f t="array" ref="FB14">_xll.ASAssetStatistic($A14,"Exponential Normal Monthly VaR 95%",,,,"m",'PBA Summary'!$F$2,'PBA Summary'!$G$2)</f>
        <v>-0.13111097661437268</v>
      </c>
      <c r="FC14" s="34" cm="1">
        <f t="array" ref="FC14">_xll.ASAssetStatistic($A14,"Exponential Normal Monthly VaR 90%",,,,"m",'PBA Summary'!$F$2,'PBA Summary'!$G$2)</f>
        <v>-0.10972607582438149</v>
      </c>
      <c r="FD14" s="34" t="str" cm="1">
        <f t="array" ref="FD14">_xll.ASAssetStatistic($A14,"Exponential Normal weekly VaR 99%",,,,"m",'PBA Summary'!$F$2,'PBA Summary'!$G$2)</f>
        <v/>
      </c>
      <c r="FE14" s="34" t="str" cm="1">
        <f t="array" ref="FE14">_xll.ASAssetStatistic($A14,"Exponential Normal weekly VaR 97%",,,,"m",'PBA Summary'!$F$2,'PBA Summary'!$G$2)</f>
        <v/>
      </c>
      <c r="FF14" s="34" t="str" cm="1">
        <f t="array" ref="FF14">_xll.ASAssetStatistic($A14,"Exponential Normal weekly VaR 95%",,,,"m",'PBA Summary'!$F$2,'PBA Summary'!$G$2)</f>
        <v/>
      </c>
      <c r="FG14" s="34" t="str" cm="1">
        <f t="array" ref="FG14">_xll.ASAssetStatistic($A14,"Exponential Normal weekly VaR 90%",,,,"m",'PBA Summary'!$F$2,'PBA Summary'!$G$2)</f>
        <v/>
      </c>
      <c r="FH14" s="34" t="str" cm="1">
        <f t="array" ref="FH14">_xll.ASAssetStatistic($A14,"Exponential Normal daily VaR 99%",,,,"m",'PBA Summary'!$F$2,'PBA Summary'!$G$2)</f>
        <v/>
      </c>
      <c r="FI14" s="34" t="str" cm="1">
        <f t="array" ref="FI14">_xll.ASAssetStatistic($A14,"Exponential Normal daily VaR 97%",,,,"m",'PBA Summary'!$F$2,'PBA Summary'!$G$2)</f>
        <v/>
      </c>
      <c r="FJ14" s="34" t="str" cm="1">
        <f t="array" ref="FJ14">_xll.ASAssetStatistic($A14,"Exponential Normal daily VaR 95%",,,,"m",'PBA Summary'!$F$2,'PBA Summary'!$G$2)</f>
        <v/>
      </c>
      <c r="FK14" s="34" t="str" cm="1">
        <f t="array" ref="FK14">_xll.ASAssetStatistic($A14,"Exponential Normal daily VaR 90%",,,,"m",'PBA Summary'!$F$2,'PBA Summary'!$G$2)</f>
        <v/>
      </c>
      <c r="FL14" s="34" cm="1">
        <f t="array" ref="FL14">_xll.ASAssetStatistic($A14,"Bias Ratio",,,,"m",'PBA Summary'!$F$2,'PBA Summary'!$G$2)</f>
        <v>0.66666666666666663</v>
      </c>
      <c r="FM14" s="11" t="str" cm="1">
        <f t="array" ref="FM14">_xll.ASAssetInfo($A14,"Manager's Biography")</f>
        <v/>
      </c>
      <c r="FN14" s="11" cm="1">
        <f t="array" ref="FN14">_xll.ASAssetInfo($A14,"Investment Min")</f>
        <v>0</v>
      </c>
      <c r="FO14" s="11" t="str" cm="1">
        <f t="array" ref="FO14">_xll.ASAssetInfo($A14,"Auditor")</f>
        <v/>
      </c>
      <c r="FP14" s="11" t="str" cm="1">
        <f t="array" ref="FP14">_xll.ASAssetInfo($A14,"Custodian")</f>
        <v/>
      </c>
      <c r="FQ14" s="11" t="str" cm="1">
        <f t="array" ref="FQ14">_xll.ASAssetInfo($A14,"Administrator")</f>
        <v/>
      </c>
      <c r="FR14" s="14" t="str" cm="1">
        <f t="array" ref="FR14">_xll.ASAssetInfo($A14,"Proxy 1 Start Date")</f>
        <v/>
      </c>
      <c r="FS14" s="14" t="str" cm="1">
        <f t="array" ref="FS14">_xll.ASAssetInfo($A14,"Proxy 1 End Date")</f>
        <v/>
      </c>
      <c r="FT14" s="14" t="str" cm="1">
        <f t="array" ref="FT14">_xll.ASAssetInfo($A14,"Proxy 2 Start Date")</f>
        <v/>
      </c>
      <c r="FU14" s="14" t="str" cm="1">
        <f t="array" ref="FU14">_xll.ASAssetInfo($A14,"Proxy 2 End Date")</f>
        <v/>
      </c>
      <c r="FV14" s="14" t="str" cm="1">
        <f t="array" ref="FV14">_xll.ASAssetInfo($A14,"Proxy 3 Start Date")</f>
        <v/>
      </c>
      <c r="FW14" s="14" t="str" cm="1">
        <f t="array" ref="FW14">_xll.ASAssetInfo($A14,"Proxy 3 End Date")</f>
        <v/>
      </c>
      <c r="FX14" s="14" t="str" cm="1">
        <f t="array" ref="FX14">_xll.ASAssetInfo($A14,"Fund Domicile")</f>
        <v/>
      </c>
      <c r="FY14" s="14" t="str" cm="1">
        <f t="array" ref="FY14">_xll.ASAssetInfo($A14,"Fund Contact")</f>
        <v/>
      </c>
      <c r="FZ14" s="14" t="str" cm="1">
        <f t="array" ref="FZ14">_xll.ASAssetInfo($A14,"Fund Contact Email")</f>
        <v/>
      </c>
      <c r="GA14" s="14" t="str" cm="1">
        <f t="array" ref="GA14">_xll.ASAssetInfo($A14,"Fund Contact Number")</f>
        <v/>
      </c>
      <c r="GB14" s="14" t="str" cm="1">
        <f t="array" ref="GB14">_xll.ASAssetInfo($A14,"City")</f>
        <v/>
      </c>
      <c r="GC14" s="14" t="str" cm="1">
        <f t="array" ref="GC14">_xll.ASAssetInfo($A14,"Leverage")</f>
        <v/>
      </c>
      <c r="GD14" s="14" t="str" cm="1">
        <f t="array" ref="GD14">_xll.ASAssetInfo($A14,"Lockup 1 Duration")</f>
        <v>0 Months</v>
      </c>
      <c r="GE14" s="14" t="str" cm="1">
        <f t="array" ref="GE14">_xll.ASAssetInfo($A14,"Lockup 2 Duration")</f>
        <v>0 Months</v>
      </c>
      <c r="GF14" s="14" t="str" cm="1">
        <f t="array" ref="GF14">_xll.ASAssetInfo($A14,"Lockup 3 Duration")</f>
        <v>0 Months</v>
      </c>
      <c r="GG14" s="31" t="str" cm="1">
        <f t="array" ref="GG14">_xll.ASAssetInfo($A14,"Fund Level Gate")</f>
        <v/>
      </c>
      <c r="GH14" s="31" t="str" cm="1">
        <f t="array" ref="GH14">_xll.ASAssetInfo($A14,"Fund Level Gate Frequency")</f>
        <v>Unknown</v>
      </c>
      <c r="GI14" s="35" cm="1">
        <f t="array" ref="GI14">_xll.ASAssetInfo($A14,"Payment 2 (%)")</f>
        <v>0</v>
      </c>
      <c r="GJ14" s="35" t="str" cm="1">
        <f t="array" ref="GJ14">_xll.ASAssetInfo($A14,"Payment 2 (days)")</f>
        <v/>
      </c>
      <c r="GK14" s="35" t="str" cm="1">
        <f t="array" ref="GK14">_xll.ASAssetInfo($A14,"Payment 2 (Paid After)")</f>
        <v>NAV Date</v>
      </c>
      <c r="GL14" s="35" cm="1">
        <f t="array" ref="GL14">_xll.ASAssetInfo($A14,"Payment 3 (%)")</f>
        <v>0</v>
      </c>
      <c r="GM14" s="36" t="str" cm="1">
        <f t="array" ref="GM14">_xll.ASAssetInfo($A14,"Payment 3 (Days)")</f>
        <v/>
      </c>
      <c r="GN14" s="35" t="str" cm="1">
        <f t="array" ref="GN14">_xll.ASAssetInfo($A14,"Payment 3 (Paid After)")</f>
        <v>NAV Date</v>
      </c>
      <c r="GO14" s="35" cm="1">
        <f t="array" ref="GO14">_xll.ASAssetInfo($A14,"Payment 4 (%)")</f>
        <v>0</v>
      </c>
      <c r="GP14" s="36" t="str" cm="1">
        <f t="array" ref="GP14">_xll.ASAssetInfo($A14,"Payment 4 (days)")</f>
        <v/>
      </c>
      <c r="GQ14" s="35" t="str" cm="1">
        <f t="array" ref="GQ14">_xll.ASAssetInfo($A14,"Payment 4 (Paid After)")</f>
        <v>NAV Date</v>
      </c>
      <c r="GR14" s="31" cm="1">
        <f t="array" ref="GR14">_xll.ASAssetInfo($A14,"Payment 1 (%)")</f>
        <v>1</v>
      </c>
      <c r="GS14" s="35" cm="1">
        <f t="array" ref="GS14">_xll.ASAssetInfo($A14,"Lockup 1 Fee")</f>
        <v>0</v>
      </c>
      <c r="GT14" s="35" cm="1">
        <f t="array" ref="GT14">_xll.ASAssetInfo($A14,"Lockup 2 Fee")</f>
        <v>0</v>
      </c>
      <c r="GU14" s="35" cm="1">
        <f t="array" ref="GU14">_xll.ASAssetInfo($A14,"Lockup 3 Fee")</f>
        <v>0</v>
      </c>
      <c r="GV14" s="35" t="str" cm="1">
        <f t="array" ref="GV14">_xll.ASAssetInfo($A14,"Lockup 1 type")</f>
        <v>None</v>
      </c>
      <c r="GW14" s="35" t="str" cm="1">
        <f t="array" ref="GW14">_xll.ASAssetInfo($A14,"Lockup 2 type")</f>
        <v>None</v>
      </c>
      <c r="GX14" s="35" t="str" cm="1">
        <f t="array" ref="GX14">_xll.ASAssetInfo($A14,"Lockup 3 type")</f>
        <v>None</v>
      </c>
      <c r="GY14" s="35" t="str" cm="1">
        <f t="array" ref="GY14">_xll.ASAssetInfo($A14,"Redemption 1 type")</f>
        <v>Calendar</v>
      </c>
      <c r="GZ14" s="35" t="str" cm="1">
        <f t="array" ref="GZ14">_xll.ASAssetInfo($A14,"Redemption 2 type")</f>
        <v>Calendar</v>
      </c>
      <c r="HA14" s="35" t="str" cm="1">
        <f t="array" ref="HA14">_xll.ASAssetInfo($A14,"Redemption 3 type")</f>
        <v>Calendar</v>
      </c>
      <c r="HB14" s="35" t="str" cm="1">
        <f t="array" ref="HB14">_xll.ASAssetInfo($A14,"Redemption 1 Fee")</f>
        <v/>
      </c>
      <c r="HC14" s="35" t="str" cm="1">
        <f t="array" ref="HC14">_xll.ASAssetInfo($A14,"Redemption 2 Fee")</f>
        <v/>
      </c>
      <c r="HD14" s="35" t="str" cm="1">
        <f t="array" ref="HD14">_xll.ASAssetInfo($A14,"Redemption 3 Fee")</f>
        <v/>
      </c>
      <c r="HE14" s="35" t="str" cm="1">
        <f t="array" ref="HE14">_xll.ASAssetInfo($A14,"Redemption 1 Frequency")</f>
        <v>Unknown</v>
      </c>
      <c r="HF14" s="35" t="str" cm="1">
        <f t="array" ref="HF14">_xll.ASAssetInfo($A14,"Redemption 2 Frequency")</f>
        <v>Unknown</v>
      </c>
      <c r="HG14" s="35" t="str" cm="1">
        <f t="array" ref="HG14">_xll.ASAssetInfo($A14,"Redemption 3 Frequency")</f>
        <v>Unknown</v>
      </c>
      <c r="HH14" s="35" t="str" cm="1">
        <f t="array" ref="HH14">_xll.ASAssetInfo($A14,"Asset Calendar")</f>
        <v>[Default]</v>
      </c>
      <c r="HI14" s="16" cm="1">
        <f t="array" ref="HI14">_xll.ASAssetStatistic($A14,"Max Second Drawdown",,,,"m",'PBA Summary'!$F$2,'PBA Summary'!$G$2)</f>
        <v>-8.2624835349054404E-3</v>
      </c>
      <c r="HJ14" s="37" cm="1">
        <f t="array" ref="HJ14">_xll.ASAssetStatistic($A14,"Date Max Second Drawdown",,,,"m",'PBA Summary'!$F$2,'PBA Summary'!$G$2)</f>
        <v>43465</v>
      </c>
      <c r="HK14" s="37" t="str" cm="1">
        <f t="array" ref="HK14">_xll.ASAssetInfo($A14,HK$1)</f>
        <v>390 HK</v>
      </c>
      <c r="HL14" s="37" t="str" cm="1">
        <f t="array" ref="HL14">_xll.ASAssetInfo($A14,HL$1)</f>
        <v/>
      </c>
      <c r="HM14" s="34" cm="1">
        <f t="array" ref="HM14">_xll.ASAssetInfo($A14,HM$1)</f>
        <v>3.56</v>
      </c>
      <c r="HN14" s="37" t="str" cm="1">
        <f t="array" ref="HN14">_xll.ASAssetInfo($A14,HN$1)</f>
        <v/>
      </c>
      <c r="HO14" s="15" cm="1">
        <f t="array" ref="HO14">_xll.ASAssetInfo($A14,HO$1)</f>
        <v>0</v>
      </c>
      <c r="HP14" s="15" t="str" cm="1">
        <f t="array" ref="HP14">_xll.ASAssetInfo($A14,HP$1)</f>
        <v/>
      </c>
      <c r="HQ14" s="34" t="str" cm="1">
        <f t="array" ref="HQ14">_xll.ASAssetInfo($A14,HQ$1)</f>
        <v/>
      </c>
      <c r="HR14" s="37" t="str" cm="1">
        <f t="array" ref="HR14">_xll.ASAssetInfo($A14,HR$1)</f>
        <v/>
      </c>
      <c r="HS14" s="37" t="str" cm="1">
        <f t="array" ref="HS14">_xll.ASAssetInfo($A14,HS$1)</f>
        <v/>
      </c>
      <c r="HT14" s="37" t="str" cm="1">
        <f t="array" ref="HT14">_xll.ASAssetInfo($A14,HT$1)</f>
        <v/>
      </c>
      <c r="HU14" s="37" t="str" cm="1">
        <f t="array" ref="HU14">_xll.ASAssetInfo($A14,HU$1)</f>
        <v>China</v>
      </c>
      <c r="HV14" s="37" t="str" cm="1">
        <f t="array" ref="HV14">_xll.ASAssetInfo($A14,HV$1)</f>
        <v/>
      </c>
      <c r="HW14" s="37" t="str" cm="1">
        <f t="array" ref="HW14">_xll.ASAssetInfo($A14,HW$1)</f>
        <v/>
      </c>
    </row>
    <row r="15" spans="1:231" s="11" customFormat="1" x14ac:dyDescent="0.25">
      <c r="A15" t="s">
        <v>295</v>
      </c>
      <c r="B15" cm="1">
        <f t="array" ref="B15">_xll.ASPortfolioWeights('PBA Summary'!$C$2,"OR",$A15)</f>
        <v>0</v>
      </c>
      <c r="C15" cm="1">
        <f t="array" ref="C15">_xll.ASAssetStatistic($A15,"Annualized Return since inception",,,,"m",_xll.ASAssetInfo($A15,"Start Date"),_xll.ASAssetInfo($A15,"Last Return Date"))</f>
        <v>7.9722640780636178E-2</v>
      </c>
      <c r="D15" cm="1">
        <f t="array" ref="D15">_xll.ASAssetStatistic($A15,"Annualized Return",,,,"m",'PBA Summary'!$F$2,'PBA Summary'!$G$2)</f>
        <v>5.0038051572967479E-2</v>
      </c>
      <c r="E15" s="19" cm="1">
        <f t="array" ref="E15">_xll.ASAssetStatistic($A15,"Equilibrium Annual Return",,,,"m",'PBA Summary'!$F$2,'PBA Summary'!$G$2)</f>
        <v>4.0924820829525421E-2</v>
      </c>
      <c r="F15" cm="1">
        <f t="array" ref="F15">_xll.ASAssetStatistic($A15,"Annualized Volatility (Inception)",,,,"m",_xll.ASAssetInfo($A15,"Start Date"),_xll.ASAssetInfo($A15,"Last Return Date"))</f>
        <v>1.9545369192117808E-2</v>
      </c>
      <c r="G15" cm="1">
        <f t="array" ref="G15">_xll.ASAssetStatistic($A15,"Annualized Volatility",,,,"m",'PBA Summary'!$F$2,'PBA Summary'!$G$2)</f>
        <v>8.5709142702847935E-3</v>
      </c>
      <c r="H15" s="20" cm="1">
        <f t="array" ref="H15">_xll.ASAssetStatistic($A15,"Skewness",,,,"m",'PBA Summary'!$F$2,'PBA Summary'!$G$2)</f>
        <v>0.29786938558443615</v>
      </c>
      <c r="I15" s="20" cm="1">
        <f t="array" ref="I15">_xll.ASAssetStatistic($A15,"Excess kurtosis",,,,"m",'PBA Summary'!$F$2,'PBA Summary'!$G$2)</f>
        <v>-0.93146037543605564</v>
      </c>
      <c r="J15" s="19" cm="1">
        <f t="array" ref="J15">_xll.ASAssetStatistic($A15,"Return Last 1 month",,,,"m",'PBA Summary'!$F$2,'PBA Summary'!$G$2)</f>
        <v>2.2999999999999687E-3</v>
      </c>
      <c r="K15" s="19" cm="1">
        <f t="array" ref="K15">_xll.ASAssetStatistic($A15,"Return Last 3 months",,,,"m",'PBA Summary'!$F$2,'PBA Summary'!$G$2)</f>
        <v>1.0636229329999969E-2</v>
      </c>
      <c r="L15" s="19" cm="1">
        <f t="array" ref="L15">_xll.ASAssetStatistic($A15,"Return Last 1 year",,,,"m",'PBA Summary'!$F$2,'PBA Summary'!$G$2)</f>
        <v>5.1977943516797742E-2</v>
      </c>
      <c r="M15" s="19" cm="1">
        <f t="array" ref="M15">_xll.ASAssetStatistic($A15,"Year-to-date Return",,,,"m",'PBA Summary'!$F$2,'PBA Summary'!$G$2)</f>
        <v>2.2999999999999687E-3</v>
      </c>
      <c r="N15" s="19" cm="1">
        <f t="array" ref="N15">_xll.ASAssetStatistic($A15,"Annualized Return",,,,"m",EOMONTH('PBA Summary'!$G$2,-2),'PBA Summary'!$G$2)</f>
        <v>4.3228519444295843E-2</v>
      </c>
      <c r="O15" s="19" t="str" cm="1">
        <f t="array" ref="O15">_xll.ASAssetStatistic($A15,"Annualized Return Last 3 years",,,,"m",'PBA Summary'!$F$2,'PBA Summary'!$G$2)</f>
        <v/>
      </c>
      <c r="P15" s="19" t="str" cm="1">
        <f t="array" ref="P15">_xll.ASAssetStatistic($A15,"Annualized Return Last 5 years",,,,"m",'PBA Summary'!$F$2,'PBA Summary'!$G$2)</f>
        <v/>
      </c>
      <c r="Q15" s="19" cm="1">
        <f t="array" ref="Q15">_xll.ASAssetStatistic($A15,"Annualized Volatility Last 1 year",,,,"m",'PBA Summary'!$F$2,'PBA Summary'!$G$2)</f>
        <v>6.737142636837291E-3</v>
      </c>
      <c r="R15" s="19" t="str" cm="1">
        <f t="array" ref="R15">_xll.ASAssetStatistic($A15,"Annualized Volatility Last 3 years",,,,"m",'PBA Summary'!$F$2,'PBA Summary'!$G$2)</f>
        <v/>
      </c>
      <c r="S15" s="19" t="str" cm="1">
        <f t="array" ref="S15">_xll.ASAssetStatistic($A15,"Annualized Volatility Last 5 years",,,,"m",'PBA Summary'!$F$2,'PBA Summary'!$G$2)</f>
        <v/>
      </c>
      <c r="T15" s="19" cm="1">
        <f t="array" ref="T15">_xll.ASAssetStatistic($A15,"Normal monthly VaR 99%",,,,"m",'PBA Summary'!$F$2,'PBA Summary'!$G$2)</f>
        <v>-1.6758727792892513E-3</v>
      </c>
      <c r="U15" s="19" cm="1">
        <f t="array" ref="U15">_xll.ASAssetStatistic($A15,"Modified monthly VaR 99%",,,,"m",'PBA Summary'!$F$2,'PBA Summary'!$G$2)</f>
        <v>-5.1254123095985545E-4</v>
      </c>
      <c r="V15" s="19" cm="1">
        <f t="array" ref="V15">_xll.ASAssetStatistic($A15,"Conditional monthly VaR 99%",,,,"m",'PBA Summary'!$F$2,'PBA Summary'!$G$2)</f>
        <v>7.000000000000001E-4</v>
      </c>
      <c r="W15" s="19" cm="1">
        <f t="array" ref="W15">_xll.ASAssetStatistic($A15,"Normal monthly VaR 97%",,,,"m",'PBA Summary'!$F$2,'PBA Summary'!$G$2)</f>
        <v>-5.7347803457057003E-4</v>
      </c>
      <c r="X15" s="19" cm="1">
        <f t="array" ref="X15">_xll.ASAssetStatistic($A15,"Modified monthly VaR 97%",,,,"m",'PBA Summary'!$F$2,'PBA Summary'!$G$2)</f>
        <v>-1.4095609970227879E-4</v>
      </c>
      <c r="Y15" s="19" cm="1">
        <f t="array" ref="Y15">_xll.ASAssetStatistic($A15,"Conditional monthly VaR 97%",,,,"m",'PBA Summary'!$F$2,'PBA Summary'!$G$2)</f>
        <v>7.000000000000001E-4</v>
      </c>
      <c r="Z15" s="19" cm="1">
        <f t="array" ref="Z15">_xll.ASAssetStatistic($A15,"Normal monthly VaR 95%",,,,"m",'PBA Summary'!$F$2,'PBA Summary'!$G$2)</f>
        <v>1.0286986339617596E-5</v>
      </c>
      <c r="AA15" s="19" cm="1">
        <f t="array" ref="AA15">_xll.ASAssetStatistic($A15,"Modified monthly VaR 95%",,,,"m",'PBA Summary'!$F$2,'PBA Summary'!$G$2)</f>
        <v>1.7739631300559087E-4</v>
      </c>
      <c r="AB15" s="19" cm="1">
        <f t="array" ref="AB15">_xll.ASAssetStatistic($A15,"Conditional monthly VaR 95%",,,,"m",'PBA Summary'!$F$2,'PBA Summary'!$G$2)</f>
        <v>7.000000000000001E-4</v>
      </c>
      <c r="AC15" s="66" cm="1">
        <f t="array" ref="AC15">_xll.ASAssetStatistic($A15,"Correlation to Benchmark 1","MSCI ACWI Index",,,"m",'PBA Summary'!$F$2,'PBA Summary'!$G$2)</f>
        <v>0.68092288751363816</v>
      </c>
      <c r="AD15" s="38" cm="1">
        <f t="array" ref="AD15">IF('PBA Summary'!$D$3="","",_xll.ASAssetStatistic($A15,"Correlation to Benchmark 1",'PBA Summary'!$D$3,,,"m",'PBA Summary'!$F$2,'PBA Summary'!$G$2))</f>
        <v>0.67353402311317356</v>
      </c>
      <c r="AE15" s="21" cm="1">
        <f t="array" ref="AE15">IF('PBA Summary'!$D$2="","",_xll.ASAssetStatistic($A15,"Bull correlation to Benchmark 1",'PBA Summary'!$D$2,,,"m",'PBA Summary'!$F$2,'PBA Summary'!$G$2))</f>
        <v>0.54062465220902689</v>
      </c>
      <c r="AF15" s="21" cm="1">
        <f t="array" ref="AF15">IF('PBA Summary'!$D$2="","",_xll.ASAssetStatistic($A15,"Bear correlation to Benchmark 1",'PBA Summary'!$D$2,,,"m",'PBA Summary'!$F$2,'PBA Summary'!$G$2))</f>
        <v>0.8122152090999909</v>
      </c>
      <c r="AG15" s="21" cm="1">
        <f t="array" ref="AG15">IF('PBA Summary'!$D$3="","",_xll.ASAssetStatistic($A15,"Bull correlation to Benchmark 1",'PBA Summary'!$D$3,,,"m",'PBA Summary'!$F$2,'PBA Summary'!$G$2))</f>
        <v>0.54062465220902689</v>
      </c>
      <c r="AH15" s="21" cm="1">
        <f t="array" ref="AH15">IF('PBA Summary'!$D$3="","",_xll.ASAssetStatistic($A15,"Bear correlation to Benchmark 1",'PBA Summary'!$D$3,,,"m",'PBA Summary'!$F$2,'PBA Summary'!$G$2))</f>
        <v>0.8122152090999909</v>
      </c>
      <c r="AI15" s="24" cm="1">
        <f t="array" ref="AI15">IF('PBA Summary'!$D$2="","",_xll.ASAssetStatistic($A15,"Beta to Benchmark 1",'PBA Summary'!$D$2,,,"m",'PBA Summary'!$F$2,'PBA Summary'!$G$2))</f>
        <v>3.7601954734208964E-2</v>
      </c>
      <c r="AJ15" s="24" t="str" cm="1">
        <f t="array" ref="AJ15">IF('PBA Summary'!$D$2="","",_xll.ASAssetStatistic($A15,"Beta to Benchmark 1 Last 3 years",'PBA Summary'!$D$2,,,"m",'PBA Summary'!$F$2,'PBA Summary'!$G$2))</f>
        <v/>
      </c>
      <c r="AK15" s="24" t="str" cm="1">
        <f t="array" ref="AK15">IF('PBA Summary'!$D$2="","",_xll.ASAssetStatistic($A15,"Beta to Benchmark 1 Last 5 years",'PBA Summary'!$D$2,,,"m",'PBA Summary'!$F$2,'PBA Summary'!$G$2))</f>
        <v/>
      </c>
      <c r="AL15" s="25" cm="1">
        <f t="array" ref="AL15">IF('PBA Summary'!$D$3="","",_xll.ASAssetStatistic($A15,"Beta to Benchmark 1",'PBA Summary'!$D$3,,,"m",'PBA Summary'!$F$2,'PBA Summary'!$G$2))</f>
        <v>3.7601954734208964E-2</v>
      </c>
      <c r="AM15" s="25" t="str" cm="1">
        <f t="array" ref="AM15">IF('PBA Summary'!$D$3="","",_xll.ASAssetStatistic($A15,"Beta to Benchmark 1 Last 3 years",'PBA Summary'!$D$3,,,"m",'PBA Summary'!$F$2,'PBA Summary'!$G$2))</f>
        <v/>
      </c>
      <c r="AN15" s="25" t="str" cm="1">
        <f t="array" ref="AN15">IF('PBA Summary'!$D$3="","",_xll.ASAssetStatistic($A15,"Beta to Benchmark 1 Last 5 years",'PBA Summary'!$D$3,,,"m",'PBA Summary'!$F$2,'PBA Summary'!$G$2))</f>
        <v/>
      </c>
      <c r="AO15" s="25" cm="1">
        <f t="array" ref="AO15">IF('PBA Summary'!$D$2="","",_xll.ASAssetStatistic($A15,"Bull Beta to Benchmark 1",'PBA Summary'!$D$2,,,"m",'PBA Summary'!$F$2,'PBA Summary'!$G$2))</f>
        <v>6.0654357790035342E-2</v>
      </c>
      <c r="AP15" s="25" cm="1">
        <f t="array" ref="AP15">IF('PBA Summary'!$D$2="","",_xll.ASAssetStatistic($A15,"Bear Beta to Benchmark 1",'PBA Summary'!$D$2,,,"m",'PBA Summary'!$F$2,'PBA Summary'!$G$2))</f>
        <v>2.4670610484224826E-2</v>
      </c>
      <c r="AQ15" s="25" cm="1">
        <f t="array" ref="AQ15">IF('PBA Summary'!$D$3="","",_xll.ASAssetStatistic($A15,"Bull Beta to Benchmark 1",'PBA Summary'!$D$3,,,"m",'PBA Summary'!$F$2,'PBA Summary'!$G$2))</f>
        <v>6.0654357790035342E-2</v>
      </c>
      <c r="AR15" s="25" cm="1">
        <f t="array" ref="AR15">IF('PBA Summary'!$D$3="","",_xll.ASAssetStatistic($A15,"Bear Beta to Benchmark 1",'PBA Summary'!$D$3,,,"m",'PBA Summary'!$F$2,'PBA Summary'!$G$2))</f>
        <v>2.4670610484224826E-2</v>
      </c>
      <c r="AS15" s="25" cm="1">
        <f t="array" ref="AS15">_xll.ASAssetStatistic($A15,"Annual Sharpe Ratio (Rf)",,,'PBA Summary'!$H$2,"m",'PBA Summary'!$F$2,'PBA Summary'!$G$2)</f>
        <v>5.5464388131591811</v>
      </c>
      <c r="AT15" s="25" t="str" cm="1">
        <f t="array" ref="AT15">_xll.ASAssetStatistic($A15,"Annual Sharpe Ratio (Rf) Last 3 years",,,'PBA Summary'!$H$2,"m",'PBA Summary'!$F$2,'PBA Summary'!$G$2)</f>
        <v/>
      </c>
      <c r="AU15" s="25" t="str" cm="1">
        <f t="array" ref="AU15">_xll.ASAssetStatistic($A15,"Annual Sharpe Ratio (Rf) Last 5 years",,,'PBA Summary'!$H$2,"m",'PBA Summary'!$F$2,'PBA Summary'!$G$2)</f>
        <v/>
      </c>
      <c r="AV15" s="18" cm="1">
        <f t="array" ref="AV15">_xll.ASAssetStatistic($A15,"Ann. Downside Deviation (vs 0%)",,,'PBA Summary'!$H$2,"m",'PBA Summary'!$F$2,'PBA Summary'!$G$2)</f>
        <v>0</v>
      </c>
      <c r="AW15" s="18" cm="1">
        <f t="array" ref="AW15">_xll.ASAssetStatistic($A15,"Ann. Downside Deviation (vs Rf)",,,'PBA Summary'!$H$2,"m",'PBA Summary'!$F$2,'PBA Summary'!$G$2)</f>
        <v>0</v>
      </c>
      <c r="AX15" s="39" cm="1">
        <f t="array" ref="AX15">_xll.ASAssetStatistic($A15,"Annual Treynor ratio",,,'PBA Summary'!$H$2,"m",'PBA Summary'!$F$2,'PBA Summary'!$G$2)</f>
        <v>-2.6014227649811024</v>
      </c>
      <c r="AY15" s="26" t="str" cm="1">
        <f t="array" ref="AY15">_xll.ASAssetStatistic($A15,"Annual Sortino Ratio (vs 0%)",,,'PBA Summary'!$H$2,"m",'PBA Summary'!$F$2,'PBA Summary'!$G$2)</f>
        <v/>
      </c>
      <c r="AZ15" s="26" t="str" cm="1">
        <f t="array" ref="AZ15">_xll.ASAssetStatistic($A15,"Annual Sortino Ratio (vs Rf)",,,'PBA Summary'!$H$2,"m",'PBA Summary'!$F$2,'PBA Summary'!$G$2)</f>
        <v/>
      </c>
      <c r="BA15" s="26" cm="1">
        <f t="array" ref="BA15">_xll.ASAssetStatistic($A15,"Sterling ratio",,,'PBA Summary'!$H$2,"m",'PBA Summary'!$F$2,'PBA Summary'!$G$2)</f>
        <v>0.50038051572967479</v>
      </c>
      <c r="BB15" s="26" t="str" cm="1">
        <f t="array" ref="BB15">_xll.ASAssetStatistic($A15,"Calmar ratio",,,'PBA Summary'!$H$2,"m",'PBA Summary'!$F$2,'PBA Summary'!$G$2)</f>
        <v/>
      </c>
      <c r="BC15" s="26" cm="1">
        <f t="array" ref="BC15">_xll.ASAssetStatistic($A15,"Hurst index",,,'PBA Summary'!$H$2,"m",'PBA Summary'!$F$2,'PBA Summary'!$G$2)</f>
        <v>0.51500596446964975</v>
      </c>
      <c r="BD15" s="26" t="str" cm="1">
        <f t="array" ref="BD15">_xll.ASAssetStatistic($A15,"Omega (Threshold 1)",,,'PBA Summary'!$H$2,"m",'PBA Summary'!$F$2,'PBA Summary'!$G$2)</f>
        <v/>
      </c>
      <c r="BE15" s="26" cm="1">
        <f t="array" ref="BE15">_xll.ASAssetStatistic($A15,"Omega (Threshold 2)",,,'PBA Summary'!$H$2,"m",'PBA Summary'!$F$2,'PBA Summary'!$G$2)</f>
        <v>0.41025641025641013</v>
      </c>
      <c r="BF15" s="26" cm="1">
        <f t="array" ref="BF15">_xll.ASAssetStatistic($A15,"Omega (Threshold 3)",,,'PBA Summary'!$H$2,"m",'PBA Summary'!$F$2,'PBA Summary'!$G$2)</f>
        <v>0</v>
      </c>
      <c r="BG15" s="26" cm="1">
        <f t="array" ref="BG15">_xll.ASAssetStatistic($A15,"Omega (Threshold 4)",,,'PBA Summary'!$H$2,"m",'PBA Summary'!$F$2,'PBA Summary'!$G$2)</f>
        <v>0</v>
      </c>
      <c r="BH15" s="26" cm="1">
        <f t="array" ref="BH15">_xll.ASAssetStatistic($A15,"Omega (Threshold 5)",,,'PBA Summary'!$H$2,"m",'PBA Summary'!$F$2,'PBA Summary'!$G$2)</f>
        <v>0</v>
      </c>
      <c r="BI15" s="26" t="str" cm="1">
        <f t="array" ref="BI15">_xll.ASAssetStatistic($A15,"Autocorrelated (illiquid)",,,'PBA Summary'!$H$2,"m",'PBA Summary'!$F$2,'PBA Summary'!$G$2)</f>
        <v>Yes</v>
      </c>
      <c r="BJ15" s="27" t="str" cm="1">
        <f t="array" ref="BJ15">_xll.ASAssetStatistic($A15,"% months in Run Up",,,'PBA Summary'!$H$2,"m",'PBA Summary'!$F$2,'PBA Summary'!$G$2)</f>
        <v/>
      </c>
      <c r="BK15" s="27" t="str" cm="1">
        <f t="array" ref="BK15">_xll.ASAssetStatistic($A15,"% months in Drawdown",,,'PBA Summary'!$H$2,"m",'PBA Summary'!$F$2,'PBA Summary'!$G$2)</f>
        <v/>
      </c>
      <c r="BL15" s="18" cm="1">
        <f t="array" ref="BL15">IF('PBA Summary'!$D$2="","",_xll.ASAssetStatistic($A15,"Bull Beta to Benchmark 1",'PBA Summary'!$D$2,,,"m",'PBA Summary'!$F$2,'PBA Summary'!$G$2))</f>
        <v>6.0654357790035342E-2</v>
      </c>
      <c r="BM15" s="18" cm="1">
        <f t="array" ref="BM15">IF('PBA Summary'!$D$2="","",_xll.ASAssetStatistic($A15,"Average return during bear Benchmark 1",'PBA Summary'!$D$2,,,"m",'PBA Summary'!$F$2,'PBA Summary'!$G$2))</f>
        <v>2.075E-3</v>
      </c>
      <c r="BN15" s="18" cm="1">
        <f t="array" ref="BN15">IF('PBA Summary'!$D$3="","",_xll.ASAssetStatistic($A15,"Average return during bull Benchmark 1",'PBA Summary'!$D$3,,,"m",'PBA Summary'!$F$2,'PBA Summary'!$G$2))</f>
        <v>4.8090909090909096E-3</v>
      </c>
      <c r="BO15" s="18" cm="1">
        <f t="array" ref="BO15">IF('PBA Summary'!$D$3="","",_xll.ASAssetStatistic($A15,"Average return during bear Benchmark 1",'PBA Summary'!$D$3,,,"m",'PBA Summary'!$F$2,'PBA Summary'!$G$2))</f>
        <v>2.075E-3</v>
      </c>
      <c r="BP15" s="27" cm="1">
        <f t="array" ref="BP15">_xll.ASAssetStatistic($A15,"Maximum consecutive gain",,,'PBA Summary'!$H$2,"m",'PBA Summary'!$F$2,'PBA Summary'!$G$2)</f>
        <v>6.2933994557087258E-2</v>
      </c>
      <c r="BQ15" s="27" cm="1">
        <f t="array" ref="BQ15">_xll.ASAssetStatistic($A15,"Maximum consecutive loss",,,'PBA Summary'!$H$2,"m",'PBA Summary'!$F$2,'PBA Summary'!$G$2)</f>
        <v>0</v>
      </c>
      <c r="BR15" s="27" cm="1">
        <f t="array" ref="BR15">_xll.ASAssetStatistic($A15,"Max monthly gain",,,'PBA Summary'!$H$2,"m",'PBA Summary'!$F$2,'PBA Summary'!$G$2)</f>
        <v>8.8000000000000005E-3</v>
      </c>
      <c r="BS15" s="27" cm="1">
        <f t="array" ref="BS15">_xll.ASAssetStatistic($A15,"Max monthly loss",,,'PBA Summary'!$H$2,"m",'PBA Summary'!$F$2,'PBA Summary'!$G$2)</f>
        <v>0</v>
      </c>
      <c r="BT15" s="27" cm="1">
        <f t="array" ref="BT15">_xll.ASAssetStatistic($A15,"Max drawdown",,,'PBA Summary'!$H$2,"m",'PBA Summary'!$F$2,'PBA Summary'!$G$2)</f>
        <v>0</v>
      </c>
      <c r="BU15" s="28" t="str" cm="1">
        <f t="array" ref="BU15">_xll.ASAssetStatistic($A15,"Date Max drawdown",,,'PBA Summary'!$H$2,"m",'PBA Summary'!$F$2,'PBA Summary'!$G$2)</f>
        <v/>
      </c>
      <c r="BV15" s="28" t="str" cm="1">
        <f t="array" ref="BV15">_xll.ASAssetStatistic($A15,"Start Date Max Drawdown",,,'PBA Summary'!$H$2,"m",'PBA Summary'!$F$2,'PBA Summary'!$G$2)</f>
        <v/>
      </c>
      <c r="BW15" s="28" t="str" cm="1">
        <f t="array" ref="BW15">_xll.ASAssetStatistic($A15,"End Date Max Drawdown",,,'PBA Summary'!$H$2,"m",'PBA Summary'!$F$2,'PBA Summary'!$G$2)</f>
        <v/>
      </c>
      <c r="BX15" s="29" cm="1">
        <f t="array" ref="BX15">_xll.ASAssetStatistic($A15,"Max Time-under-water (months)",,,'PBA Summary'!$H$2,"m",'PBA Summary'!$F$2,'PBA Summary'!$G$2)</f>
        <v>0</v>
      </c>
      <c r="BY15" s="27" cm="1">
        <f t="array" ref="BY15">_xll.ASAssetStatistic($A15,"Max possible drawdown 99%",,,'PBA Summary'!$H$2,"m",'PBA Summary'!$F$2,'PBA Summary'!$G$2)</f>
        <v>-2.0300288879511628E-3</v>
      </c>
      <c r="BZ15" s="27" cm="1">
        <f t="array" ref="BZ15">_xll.ASAssetStatistic($A15,"Max possible drawdown 99.9%",,,'PBA Summary'!$H$2,"m",'PBA Summary'!$F$2,'PBA Summary'!$G$2)</f>
        <v>-3.5820789922713539E-3</v>
      </c>
      <c r="CA15" s="30" cm="1">
        <f t="array" ref="CA15">_xll.ASAssetStatistic($A15,"Max Possible Time-under-water 99% (months)",,,'PBA Summary'!$H$2,"m",'PBA Summary'!$F$2,'PBA Summary'!$G$2)</f>
        <v>1.9902243999521201</v>
      </c>
      <c r="CB15" s="30" cm="1">
        <f t="array" ref="CB15">_xll.ASAssetStatistic($A15,"Max Possible Time-under-water 99.9% (months)",,,'PBA Summary'!$H$2,"m",'PBA Summary'!$F$2,'PBA Summary'!$G$2)</f>
        <v>3.5118421492856404</v>
      </c>
      <c r="CC15" s="17" cm="1">
        <f t="array" ref="CC15">_xll.ASPortfolioReturnAttribution('PBA Summary'!$C$2,"OR",A15,"Last 1m",'PBA Summary'!$F$2,'PBA Summary'!$G$2)</f>
        <v>0</v>
      </c>
      <c r="CD15" s="11" t="str" cm="1">
        <f t="array" ref="CD15">_xll.ASAssetInfo($A15,"Strategy")</f>
        <v>Funds - Credit Long/Short</v>
      </c>
      <c r="CE15" s="14" cm="1">
        <f t="array" ref="CE15">_xll.ASAssetInfo($A15,"Start Date")</f>
        <v>41364</v>
      </c>
      <c r="CF15" s="14" t="str" cm="1">
        <f t="array" ref="CF15">_xll.ASAssetRatings($A15,"Quantitative",0,0,0,0,0,'PBA Summary'!$F$2,'PBA Summary'!$G$2)</f>
        <v/>
      </c>
      <c r="CG15" s="14" t="str" cm="1">
        <f t="array" ref="CG15">_xll.ASAssetRatings($A15,"Qualitative",0,0,0,0,0,'PBA Summary'!$F$2,'PBA Summary'!$G$2)</f>
        <v/>
      </c>
      <c r="CH15" s="14" t="str" cm="1">
        <f t="array" ref="CH15">_xll.ASAssetRatings($A15,"Final",0,0,0,0,0,'PBA Summary'!$F$2,'PBA Summary'!$G$2)</f>
        <v/>
      </c>
      <c r="CI15" s="14" cm="1">
        <f t="array" ref="CI15">_xll.ASAssetInfo($A15,"Last Return Date")</f>
        <v>44135</v>
      </c>
      <c r="CJ15" s="14" t="str" cm="1">
        <f t="array" ref="CJ15">_xll.ASAssetInfo($A15,"Company Name")</f>
        <v/>
      </c>
      <c r="CK15" s="14" t="str" cm="1">
        <f t="array" ref="CK15">_xll.ASAssetInfo($A15,"Manager Name")</f>
        <v/>
      </c>
      <c r="CL15" s="14" t="str" cm="1">
        <f t="array" ref="CL15">_xll.ASAssetInfo($A15,"Address")</f>
        <v/>
      </c>
      <c r="CM15" s="14" t="str" cm="1">
        <f t="array" ref="CM15">_xll.ASAssetInfo($A15,"Phone Number")</f>
        <v/>
      </c>
      <c r="CN15" s="14" t="str" cm="1">
        <f t="array" ref="CN15">_xll.ASAssetInfo($A15,"Email")</f>
        <v/>
      </c>
      <c r="CO15" s="14" t="str" cm="1">
        <f t="array" ref="CO15">_xll.ASAssetInfo($A15,"Asset Type")</f>
        <v>Fixed Income</v>
      </c>
      <c r="CP15" s="14" t="str" cm="1">
        <f t="array" ref="CP15">_xll.ASAssetInfo($A15,"Proprietary ID")</f>
        <v/>
      </c>
      <c r="CQ15" s="14" t="str" cm="1">
        <f t="array" ref="CQ15">_xll.ASAssetInfo($A15,"Country")</f>
        <v>[Not Classified]</v>
      </c>
      <c r="CR15" s="14" t="str" cm="1">
        <f t="array" ref="CR15">_xll.ASAssetInfo($A15,"Currency")</f>
        <v>USD</v>
      </c>
      <c r="CS15" s="14" t="str" cm="1">
        <f t="array" ref="CS15">_xll.ASAssetInfo($A15,"Sub-Strategy")</f>
        <v/>
      </c>
      <c r="CT15" s="31" cm="1">
        <f t="array" ref="CT15">_xll.ASAssetInfo($A15,"Fund AUM (m)")</f>
        <v>400</v>
      </c>
      <c r="CU15" s="31" t="str" cm="1">
        <f t="array" ref="CU15">_xll.ASAssetInfo($A15,"Status")</f>
        <v>Unknown</v>
      </c>
      <c r="CV15" s="31" t="str" cm="1">
        <f t="array" ref="CV15">_xll.ASAssetInfo($A15,"Redemption 1 Frequency")</f>
        <v>Monthly</v>
      </c>
      <c r="CW15" s="31" t="str" cm="1">
        <f t="array" ref="CW15">_xll.ASAssetInfo($A15,"Redemption 2 Frequency")</f>
        <v>Unknown</v>
      </c>
      <c r="CX15" s="31" t="str" cm="1">
        <f t="array" ref="CX15">_xll.ASAssetInfo($A15,"Redemption 3 Frequency")</f>
        <v>Unknown</v>
      </c>
      <c r="CY15" s="31" t="str" cm="1">
        <f t="array" ref="CY15">_xll.ASAssetInfo($A15,"Notice Period")</f>
        <v>60 Days</v>
      </c>
      <c r="CZ15" s="15" cm="1">
        <f t="array" ref="CZ15">_xll.ASAssetInfo($A15,"Performance Fee")</f>
        <v>0.125</v>
      </c>
      <c r="DA15" s="15" cm="1">
        <f t="array" ref="DA15">_xll.ASAssetInfo($A15,"Management Fee")</f>
        <v>0.01</v>
      </c>
      <c r="DB15" s="15" t="str" cm="1">
        <f t="array" ref="DB15">_xll.ASAssetInfo($A15,"ISIN")</f>
        <v/>
      </c>
      <c r="DC15" s="16" cm="1">
        <f t="array" ref="DC15">_xll.ASAssetStatistic($A15,"Return during " &amp;YEAR(EOMONTH('PBA Summary'!$G$2,-60)),,,,"M",DATE(YEAR(EOMONTH('PBA Summary'!$G$2,-60)),1,31),DATE(YEAR(EOMONTH('PBA Summary'!$G$2,-60)),12,31))</f>
        <v>7.1273695893043332E-2</v>
      </c>
      <c r="DD15" s="16" cm="1">
        <f t="array" ref="DD15">_xll.ASAssetStatistic($A15,"Return during " &amp;YEAR(EOMONTH('PBA Summary'!$G$2,-48)),,,,"M",DATE(YEAR(EOMONTH('PBA Summary'!$G$2,-48)),1,31),DATE(YEAR(EOMONTH('PBA Summary'!$G$2,-48)),12,31))</f>
        <v>4.9372318672200155E-2</v>
      </c>
      <c r="DE15" s="16" cm="1">
        <f t="array" ref="DE15">_xll.ASAssetStatistic($A15,"Return during " &amp;YEAR(EOMONTH('PBA Summary'!$G$2,-36)),,,,"M",DATE(YEAR(EOMONTH('PBA Summary'!$G$2,-36)),1,31),DATE(YEAR(EOMONTH('PBA Summary'!$G$2,-36)),12,31))</f>
        <v>5.1449596059302882E-2</v>
      </c>
      <c r="DF15" s="16" cm="1">
        <f t="array" ref="DF15">_xll.ASAssetStatistic($A15,"Return during " &amp;YEAR(EOMONTH('PBA Summary'!$G$2,-24)),,,,"M",DATE(YEAR(EOMONTH('PBA Summary'!$G$2,-24)),1,31),DATE(YEAR(EOMONTH('PBA Summary'!$G$2,-24)),12,31))</f>
        <v>3.9789584640363529E-2</v>
      </c>
      <c r="DG15" s="16" cm="1">
        <f t="array" ref="DG15">_xll.ASAssetStatistic($A15,"Return during " &amp;YEAR(EOMONTH('PBA Summary'!$G$2,-12)),,,,"M",DATE(YEAR(EOMONTH('PBA Summary'!$G$2,-12)),1,31),DATE(YEAR(EOMONTH('PBA Summary'!$G$2,-12)),12,31))</f>
        <v>5.8800109168657633E-2</v>
      </c>
      <c r="DH15" s="11" t="str" cm="1">
        <f t="array" ref="DH15">_xll.ASAssetInfo($A15,"Prime Broker")</f>
        <v>JPMorgan</v>
      </c>
      <c r="DI15" s="16" cm="1">
        <f t="array" ref="DI15">_xll.ASAssetStatistic($A15,"Return",,,,"m",'PBA Summary'!$F$2,'PBA Summary'!$G$2)</f>
        <v>6.2933994557087258E-2</v>
      </c>
      <c r="DJ15" s="33" cm="1">
        <f t="array" ref="DJ15">IF('PBA Summary'!$D$2="","",_xll.ASAssetStatistic($A15,"Ann. Information Ratio vs Benchmark 1",'PBA Summary'!$D$2,,,"m",'PBA Summary'!$F$2,'PBA Summary'!$G$2))</f>
        <v>-0.82680913086910823</v>
      </c>
      <c r="DK15" s="33" cm="1">
        <f t="array" ref="DK15">IF('PBA Summary'!$D$3="","",_xll.ASAssetStatistic($A15,"Ann. Information Ratio vs Benchmark 1",'PBA Summary'!$D$3,,,"m",'PBA Summary'!$F$2,'PBA Summary'!$G$2))</f>
        <v>-0.82680913086910823</v>
      </c>
      <c r="DL15" s="33" cm="1">
        <f t="array" ref="DL15">IF('PBA Summary'!$D$2="","",_xll.ASAssetStatistic($A15,"Ann. Tracking Error vs Benchmark 1",'PBA Summary'!$D$2,,,"m",'PBA Summary'!$F$2,'PBA Summary'!$G$2))</f>
        <v>0.1478869524882605</v>
      </c>
      <c r="DM15" s="33" cm="1">
        <f t="array" ref="DM15">IF('PBA Summary'!$D$3="","",_xll.ASAssetStatistic($A15,"Ann. Tracking Error vs Benchmark 1",'PBA Summary'!$D$3,,,"m",'PBA Summary'!$F$2,'PBA Summary'!$G$2))</f>
        <v>0.1478869524882605</v>
      </c>
      <c r="DN15" s="33" cm="1">
        <f t="array" ref="DN15">IF('PBA Summary'!$D$2="","",_xll.ASAssetStatistic($A15,"R² vs Benchmark 1",'PBA Summary'!$D$2,,,"m",'PBA Summary'!$F$2,'PBA Summary'!$G$2))</f>
        <v>0.453648080291017</v>
      </c>
      <c r="DO15" s="33" cm="1">
        <f t="array" ref="DO15">IF('PBA Summary'!$D$3="","",_xll.ASAssetStatistic($A15,"R² vs Benchmark 1",'PBA Summary'!$D$3,,,"m",'PBA Summary'!$F$2,'PBA Summary'!$G$2))</f>
        <v>0.453648080291017</v>
      </c>
      <c r="DP15" s="11" t="str" cm="1">
        <f t="array" ref="DP15">_xll.ASAssetInfo($A15,"On-/Offshore")</f>
        <v>Unknown</v>
      </c>
      <c r="DQ15" s="16" cm="1">
        <f t="array" ref="DQ15">_xll.ASAssetStatistic($A15,"Quarter-to-date",,,,"m",'PBA Summary'!$F$2,'PBA Summary'!$G$2)</f>
        <v>2.2999999999999687E-3</v>
      </c>
      <c r="DR15" s="16" cm="1">
        <f t="array" ref="DR15">_xll.ASAssetStatistic($A15,"Annualized Return Since inception",,,,"m",'PBA Summary'!$F$2,'PBA Summary'!$G$2)</f>
        <v>7.9722640780636178E-2</v>
      </c>
      <c r="DS15" s="16" cm="1">
        <f t="array" ref="DS15">IF('PBA Summary'!$D$2="","",_xll.ASAssetStatistic($A15,"Ann. Bear Market Return vs Benchmark 1",'PBA Summary'!$D$2,,,"m",'PBA Summary'!$F$2,'PBA Summary'!$G$2))</f>
        <v>2.5178785330481457E-2</v>
      </c>
      <c r="DT15" s="16" cm="1">
        <f t="array" ref="DT15">IF('PBA Summary'!$D$2="","",_xll.ASAssetStatistic($A15,"Ann. Bull Market Return vs Benchmark 1",'PBA Summary'!$D$2,,,"m",'PBA Summary'!$F$2,'PBA Summary'!$G$2))</f>
        <v>5.9226479369370644E-2</v>
      </c>
      <c r="DU15" s="16" cm="1">
        <f t="array" ref="DU15">IF('PBA Summary'!$D$3="","",_xll.ASAssetStatistic($A15,"Ann. Bear Market Return vs Benchmark 1",'PBA Summary'!$D$3,,,"m",'PBA Summary'!$F$2,'PBA Summary'!$G$2))</f>
        <v>2.5178785330481457E-2</v>
      </c>
      <c r="DV15" s="16" cm="1">
        <f t="array" ref="DV15">IF('PBA Summary'!$D$3="","",_xll.ASAssetStatistic($A15,"Ann. Bull Market Return vs Benchmark 1",'PBA Summary'!$D$3,,,"m",'PBA Summary'!$F$2,'PBA Summary'!$G$2))</f>
        <v>5.9226479369370644E-2</v>
      </c>
      <c r="DW15" s="17" cm="1">
        <f t="array" ref="DW15">_xll.ASAssetStatistic($A15,"Average Positive Return",,,,"m",'PBA Summary'!$F$2,'PBA Summary'!$G$2)</f>
        <v>4.0800000000000003E-3</v>
      </c>
      <c r="DX15" s="17" t="str" cm="1">
        <f t="array" ref="DX15">_xll.ASAssetStatistic($A15,"Average Negative Return",,,,"m",'PBA Summary'!$F$2,'PBA Summary'!$G$2)</f>
        <v/>
      </c>
      <c r="DY15" s="16" cm="1">
        <f t="array" ref="DY15">IF('PBA Summary'!$D$2="","",_xll.ASAssetStatistic($A15,"Outperformance vs Benchmark 1",'PBA Summary'!$D$2,,,"m",'PBA Summary'!$F$2,'PBA Summary'!$G$2))</f>
        <v>-0.15690965025163139</v>
      </c>
      <c r="DZ15" s="16" cm="1">
        <f t="array" ref="DZ15">IF('PBA Summary'!$D$3="","",_xll.ASAssetStatistic($A15,"Outperformance vs Benchmark 1",'PBA Summary'!$D$3,,,"m",'PBA Summary'!$F$2,'PBA Summary'!$G$2))</f>
        <v>-0.15690965025163139</v>
      </c>
      <c r="EA15" s="16" cm="1">
        <f t="array" ref="EA15">IF('PBA Summary'!$D$2="","",_xll.ASAssetStatistic($A15,"Annual Outperformance vs Benchmark 1",'PBA Summary'!$D$2,,,"m",'PBA Summary'!$F$2,'PBA Summary'!$G$2))</f>
        <v>-0.12227428265369977</v>
      </c>
      <c r="EB15" s="16" cm="1">
        <f t="array" ref="EB15">IF('PBA Summary'!$D$3="","",_xll.ASAssetStatistic($A15,"Annual Outperformance vs Benchmark 1",'PBA Summary'!$D$3,,,"m",'PBA Summary'!$F$2,'PBA Summary'!$G$2))</f>
        <v>-0.12227428265369977</v>
      </c>
      <c r="EC15" s="32" cm="1">
        <f t="array" ref="EC15">_xll.ASAssetStatistic($A15,"Rachev Ratio 99%",,,,"m",'PBA Summary'!$F$2,'PBA Summary'!$G$2)</f>
        <v>12.571428571428571</v>
      </c>
      <c r="ED15" s="32" cm="1">
        <f t="array" ref="ED15">_xll.ASAssetStatistic($A15,"Rachev Ratio 97%",,,,"m",'PBA Summary'!$F$2,'PBA Summary'!$G$2)</f>
        <v>12.571428571428571</v>
      </c>
      <c r="EE15" s="32" cm="1">
        <f t="array" ref="EE15">_xll.ASAssetStatistic($A15,"Rachev Ratio 95%",,,,"m",'PBA Summary'!$F$2,'PBA Summary'!$G$2)</f>
        <v>12.571428571428571</v>
      </c>
      <c r="EF15" s="32" cm="1">
        <f t="array" ref="EF15">_xll.ASAssetStatistic($A15,"Rachev Ratio 90%",,,,"m",'PBA Summary'!$F$2,'PBA Summary'!$G$2)</f>
        <v>10</v>
      </c>
      <c r="EG15" s="34" cm="1">
        <f t="array" ref="EG15">IF('PBA Summary'!$D$2="","",_xll.ASAssetStatistic($A15,"Annual Up Capture vs Benchmark 1",'PBA Summary'!$D$2,,,"m",'PBA Summary'!$F$2,'PBA Summary'!$G$2))</f>
        <v>0.11700031405190874</v>
      </c>
      <c r="EH15" s="34" cm="1">
        <f t="array" ref="EH15">IF('PBA Summary'!$D$3="","",_xll.ASAssetStatistic($A15,"Annual Up Capture vs Benchmark 1",'PBA Summary'!$D$3,,,"m",'PBA Summary'!$F$2,'PBA Summary'!$G$2))</f>
        <v>0.11700031405190874</v>
      </c>
      <c r="EI15" s="34" cm="1">
        <f t="array" ref="EI15">IF('PBA Summary'!$D$2="","",_xll.ASAssetStatistic($A15,"Annual Down Capture vs Benchmark 1",'PBA Summary'!$D$2,,,"m",'PBA Summary'!$F$2,'PBA Summary'!$G$2))</f>
        <v>-6.1184293891415907E-2</v>
      </c>
      <c r="EJ15" s="34" cm="1">
        <f t="array" ref="EJ15">IF('PBA Summary'!$D$3="","",_xll.ASAssetStatistic($A15,"Annual Down Capture vs Benchmark 1",'PBA Summary'!$D$3,,,"m",'PBA Summary'!$F$2,'PBA Summary'!$G$2))</f>
        <v>-6.1184293891415907E-2</v>
      </c>
      <c r="EK15" s="16" cm="1">
        <f t="array" ref="EK15">IF('PBA Summary'!$D$2="","",_xll.ASAssetStatistic($A15,"Ann. Tracking Error vs Benchmark 1",'PBA Summary'!$D$2,,,"m",'PBA Summary'!$F$2,'PBA Summary'!$G$2))</f>
        <v>0.1478869524882605</v>
      </c>
      <c r="EL15" s="16" cm="1">
        <f t="array" ref="EL15">IF('PBA Summary'!$D$3="","",_xll.ASAssetStatistic($A15,"Ann. Tracking Error vs Benchmark 1",'PBA Summary'!$D$3,,,"m",'PBA Summary'!$F$2,'PBA Summary'!$G$2))</f>
        <v>0.1478869524882605</v>
      </c>
      <c r="EM15" s="16" cm="1">
        <f t="array" ref="EM15">IF('PBA Summary'!$D$2="","",_xll.ASAssetStatistic($A15,"Annual Jensen Alpha vs Benchmark 1 (Rf)",'PBA Summary'!$D$2,,,"m",'PBA Summary'!$F$2,'PBA Summary'!$G$2))</f>
        <v>4.1152775868065969E-2</v>
      </c>
      <c r="EN15" s="16" cm="1">
        <f t="array" ref="EN15">IF('PBA Summary'!$D$3="","",_xll.ASAssetStatistic($A15,"Annual Jensen Alpha vs Benchmark 1 (Rf)",'PBA Summary'!$D$3,,,"m",'PBA Summary'!$F$2,'PBA Summary'!$G$2))</f>
        <v>4.1152775868065969E-2</v>
      </c>
      <c r="EO15" s="33" cm="1">
        <f t="array" ref="EO15">IF('PBA Summary'!$D$2="","",_xll.ASAssetStatistic($A15,"Ann. Information Ratio vs Benchmark 1",'PBA Summary'!$D$2,,,"m",'PBA Summary'!$F$2,'PBA Summary'!$G$2))</f>
        <v>-0.82680913086910823</v>
      </c>
      <c r="EP15" s="33" cm="1">
        <f t="array" ref="EP15">IF('PBA Summary'!$D$3="","",_xll.ASAssetStatistic($A15,"Ann. Information Ratio vs Benchmark 1",'PBA Summary'!$D$3,,,"m",'PBA Summary'!$F$2,'PBA Summary'!$G$2))</f>
        <v>-0.82680913086910823</v>
      </c>
      <c r="EQ15" s="17" cm="1">
        <f t="array" ref="EQ15">IF('PBA Summary'!$D$2="","",_xll.ASAssetStatistic($A15,"Alpha Monthly vs Benchmark 1",'PBA Summary'!$D$2,,,"m",'PBA Summary'!$F$2,'PBA Summary'!$G$2))</f>
        <v>3.5435149790765267E-3</v>
      </c>
      <c r="ER15" s="17" cm="1">
        <f t="array" ref="ER15">IF('PBA Summary'!$D$3="","",_xll.ASAssetStatistic($A15,"Alpha Monthly vs Benchmark 1",'PBA Summary'!$D$3,,,"m",'PBA Summary'!$F$2,'PBA Summary'!$G$2))</f>
        <v>3.5435149790765267E-3</v>
      </c>
      <c r="ES15" s="11" cm="1">
        <f t="array" ref="ES15">_xll.ASAssetInfo($A15,"Company AUM (m)")</f>
        <v>430</v>
      </c>
      <c r="ET15" s="16" cm="1">
        <f t="array" ref="ET15">_xll.ASAssetStatistic($A15,"Exponential Annualized Volatility",,,,"m",'PBA Summary'!$F$2,'PBA Summary'!$G$2)</f>
        <v>7.4044367435635028E-3</v>
      </c>
      <c r="EU15" s="16" cm="1">
        <f t="array" ref="EU15">_xll.ASAssetStatistic($A15,"Exponential Annualized Volatility Last 1 year",,,,"m",'PBA Summary'!$F$2,'PBA Summary'!$G$2)</f>
        <v>6.3566528619716824E-3</v>
      </c>
      <c r="EV15" s="16" t="str" cm="1">
        <f t="array" ref="EV15">_xll.ASAssetStatistic($A15,"Exponential Annualized Volatility Last 3 years",,,,"m",'PBA Summary'!$F$2,'PBA Summary'!$G$2)</f>
        <v/>
      </c>
      <c r="EW15" s="34" cm="1">
        <f t="array" ref="EW15">IF('PBA Summary'!$D$2="","",_xll.ASAssetStatistic($A15,"Exponential Correlation to Benchmark 1",'PBA Summary'!$D$2,,,"m",'PBA Summary'!$F$2,'PBA Summary'!$G$2))</f>
        <v>0.58060944152737815</v>
      </c>
      <c r="EX15" s="34" cm="1">
        <f t="array" ref="EX15">IF('PBA Summary'!$D$3="","",_xll.ASAssetStatistic($A15,"Exponential Correlation to Benchmark 1",'PBA Summary'!$D$3,,,"m",'PBA Summary'!$F$2,'PBA Summary'!$G$2))</f>
        <v>0.58060944152737815</v>
      </c>
      <c r="EY15" s="34" cm="1">
        <f t="array" ref="EY15">_xll.ASAssetStatistic($A15,"Exponential Annual Sharpe Ratio (Rf)",,,,"m",'PBA Summary'!$F$2,'PBA Summary'!$G$2)</f>
        <v>6.3385811735989783</v>
      </c>
      <c r="EZ15" s="34" cm="1">
        <f t="array" ref="EZ15">_xll.ASAssetStatistic($A15,"Exponential Normal Monthly VaR 99%",,,,"m",'PBA Summary'!$F$2,'PBA Summary'!$G$2)</f>
        <v>-9.4353558873384088E-4</v>
      </c>
      <c r="FA15" s="34" cm="1">
        <f t="array" ref="FA15">_xll.ASAssetStatistic($A15,"Exponential Normal Monthly VaR 97%",,,,"m",'PBA Summary'!$F$2,'PBA Summary'!$G$2)</f>
        <v>8.8263059599301072E-6</v>
      </c>
      <c r="FB15" s="34" cm="1">
        <f t="array" ref="FB15">_xll.ASAssetStatistic($A15,"Exponential Normal Monthly VaR 95%",,,,"m",'PBA Summary'!$F$2,'PBA Summary'!$G$2)</f>
        <v>5.1314253572556619E-4</v>
      </c>
      <c r="FC15" s="34" cm="1">
        <f t="array" ref="FC15">_xll.ASAssetStatistic($A15,"Exponential Normal Monthly VaR 90%",,,,"m",'PBA Summary'!$F$2,'PBA Summary'!$G$2)</f>
        <v>1.2896922537644902E-3</v>
      </c>
      <c r="FD15" s="34" t="str" cm="1">
        <f t="array" ref="FD15">_xll.ASAssetStatistic($A15,"Exponential Normal weekly VaR 99%",,,,"m",'PBA Summary'!$F$2,'PBA Summary'!$G$2)</f>
        <v/>
      </c>
      <c r="FE15" s="34" t="str" cm="1">
        <f t="array" ref="FE15">_xll.ASAssetStatistic($A15,"Exponential Normal weekly VaR 97%",,,,"m",'PBA Summary'!$F$2,'PBA Summary'!$G$2)</f>
        <v/>
      </c>
      <c r="FF15" s="34" t="str" cm="1">
        <f t="array" ref="FF15">_xll.ASAssetStatistic($A15,"Exponential Normal weekly VaR 95%",,,,"m",'PBA Summary'!$F$2,'PBA Summary'!$G$2)</f>
        <v/>
      </c>
      <c r="FG15" s="34" t="str" cm="1">
        <f t="array" ref="FG15">_xll.ASAssetStatistic($A15,"Exponential Normal weekly VaR 90%",,,,"m",'PBA Summary'!$F$2,'PBA Summary'!$G$2)</f>
        <v/>
      </c>
      <c r="FH15" s="34" t="str" cm="1">
        <f t="array" ref="FH15">_xll.ASAssetStatistic($A15,"Exponential Normal daily VaR 99%",,,,"m",'PBA Summary'!$F$2,'PBA Summary'!$G$2)</f>
        <v/>
      </c>
      <c r="FI15" s="34" t="str" cm="1">
        <f t="array" ref="FI15">_xll.ASAssetStatistic($A15,"Exponential Normal daily VaR 97%",,,,"m",'PBA Summary'!$F$2,'PBA Summary'!$G$2)</f>
        <v/>
      </c>
      <c r="FJ15" s="34" t="str" cm="1">
        <f t="array" ref="FJ15">_xll.ASAssetStatistic($A15,"Exponential Normal daily VaR 95%",,,,"m",'PBA Summary'!$F$2,'PBA Summary'!$G$2)</f>
        <v/>
      </c>
      <c r="FK15" s="34" t="str" cm="1">
        <f t="array" ref="FK15">_xll.ASAssetStatistic($A15,"Exponential Normal daily VaR 90%",,,,"m",'PBA Summary'!$F$2,'PBA Summary'!$G$2)</f>
        <v/>
      </c>
      <c r="FL15" s="34" cm="1">
        <f t="array" ref="FL15">_xll.ASAssetStatistic($A15,"Bias Ratio",,,,"m",'PBA Summary'!$F$2,'PBA Summary'!$G$2)</f>
        <v>6</v>
      </c>
      <c r="FM15" s="11" t="str" cm="1">
        <f t="array" ref="FM15">_xll.ASAssetInfo($A15,"Manager's Biography")</f>
        <v/>
      </c>
      <c r="FN15" s="11" cm="1">
        <f t="array" ref="FN15">_xll.ASAssetInfo($A15,"Investment Min")</f>
        <v>100000</v>
      </c>
      <c r="FO15" s="11" t="str" cm="1">
        <f t="array" ref="FO15">_xll.ASAssetInfo($A15,"Auditor")</f>
        <v>KPMG LLP</v>
      </c>
      <c r="FP15" s="11" t="str" cm="1">
        <f t="array" ref="FP15">_xll.ASAssetInfo($A15,"Custodian")</f>
        <v>J.P. Morgan Securities LLC</v>
      </c>
      <c r="FQ15" s="11" t="str" cm="1">
        <f t="array" ref="FQ15">_xll.ASAssetInfo($A15,"Administrator")</f>
        <v>SS&amp;C GlobeOp</v>
      </c>
      <c r="FR15" s="14" t="str" cm="1">
        <f t="array" ref="FR15">_xll.ASAssetInfo($A15,"Proxy 1 Start Date")</f>
        <v/>
      </c>
      <c r="FS15" s="14" t="str" cm="1">
        <f t="array" ref="FS15">_xll.ASAssetInfo($A15,"Proxy 1 End Date")</f>
        <v/>
      </c>
      <c r="FT15" s="14" t="str" cm="1">
        <f t="array" ref="FT15">_xll.ASAssetInfo($A15,"Proxy 2 Start Date")</f>
        <v/>
      </c>
      <c r="FU15" s="14" t="str" cm="1">
        <f t="array" ref="FU15">_xll.ASAssetInfo($A15,"Proxy 2 End Date")</f>
        <v/>
      </c>
      <c r="FV15" s="14" t="str" cm="1">
        <f t="array" ref="FV15">_xll.ASAssetInfo($A15,"Proxy 3 Start Date")</f>
        <v/>
      </c>
      <c r="FW15" s="14" t="str" cm="1">
        <f t="array" ref="FW15">_xll.ASAssetInfo($A15,"Proxy 3 End Date")</f>
        <v/>
      </c>
      <c r="FX15" s="14" t="str" cm="1">
        <f t="array" ref="FX15">_xll.ASAssetInfo($A15,"Fund Domicile")</f>
        <v/>
      </c>
      <c r="FY15" s="14" t="str" cm="1">
        <f t="array" ref="FY15">_xll.ASAssetInfo($A15,"Fund Contact")</f>
        <v/>
      </c>
      <c r="FZ15" s="14" t="str" cm="1">
        <f t="array" ref="FZ15">_xll.ASAssetInfo($A15,"Fund Contact Email")</f>
        <v/>
      </c>
      <c r="GA15" s="14" t="str" cm="1">
        <f t="array" ref="GA15">_xll.ASAssetInfo($A15,"Fund Contact Number")</f>
        <v/>
      </c>
      <c r="GB15" s="14" t="str" cm="1">
        <f t="array" ref="GB15">_xll.ASAssetInfo($A15,"City")</f>
        <v/>
      </c>
      <c r="GC15" s="14" t="str" cm="1">
        <f t="array" ref="GC15">_xll.ASAssetInfo($A15,"Leverage")</f>
        <v>Yes (Max leverage at 300%)</v>
      </c>
      <c r="GD15" s="14" t="str" cm="1">
        <f t="array" ref="GD15">_xll.ASAssetInfo($A15,"Lockup 1 Duration")</f>
        <v>0 Months</v>
      </c>
      <c r="GE15" s="14" t="str" cm="1">
        <f t="array" ref="GE15">_xll.ASAssetInfo($A15,"Lockup 2 Duration")</f>
        <v>0 Months</v>
      </c>
      <c r="GF15" s="14" t="str" cm="1">
        <f t="array" ref="GF15">_xll.ASAssetInfo($A15,"Lockup 3 Duration")</f>
        <v>0 Months</v>
      </c>
      <c r="GG15" s="31" t="str" cm="1">
        <f t="array" ref="GG15">_xll.ASAssetInfo($A15,"Fund Level Gate")</f>
        <v/>
      </c>
      <c r="GH15" s="31" t="str" cm="1">
        <f t="array" ref="GH15">_xll.ASAssetInfo($A15,"Fund Level Gate Frequency")</f>
        <v>Unknown</v>
      </c>
      <c r="GI15" s="35" cm="1">
        <f t="array" ref="GI15">_xll.ASAssetInfo($A15,"Payment 2 (%)")</f>
        <v>0</v>
      </c>
      <c r="GJ15" s="35" t="str" cm="1">
        <f t="array" ref="GJ15">_xll.ASAssetInfo($A15,"Payment 2 (days)")</f>
        <v/>
      </c>
      <c r="GK15" s="35" t="str" cm="1">
        <f t="array" ref="GK15">_xll.ASAssetInfo($A15,"Payment 2 (Paid After)")</f>
        <v>NAV Date</v>
      </c>
      <c r="GL15" s="35" cm="1">
        <f t="array" ref="GL15">_xll.ASAssetInfo($A15,"Payment 3 (%)")</f>
        <v>0</v>
      </c>
      <c r="GM15" s="36" t="str" cm="1">
        <f t="array" ref="GM15">_xll.ASAssetInfo($A15,"Payment 3 (Days)")</f>
        <v/>
      </c>
      <c r="GN15" s="35" t="str" cm="1">
        <f t="array" ref="GN15">_xll.ASAssetInfo($A15,"Payment 3 (Paid After)")</f>
        <v>NAV Date</v>
      </c>
      <c r="GO15" s="35" cm="1">
        <f t="array" ref="GO15">_xll.ASAssetInfo($A15,"Payment 4 (%)")</f>
        <v>0</v>
      </c>
      <c r="GP15" s="36" t="str" cm="1">
        <f t="array" ref="GP15">_xll.ASAssetInfo($A15,"Payment 4 (days)")</f>
        <v/>
      </c>
      <c r="GQ15" s="35" t="str" cm="1">
        <f t="array" ref="GQ15">_xll.ASAssetInfo($A15,"Payment 4 (Paid After)")</f>
        <v>NAV Date</v>
      </c>
      <c r="GR15" s="31" cm="1">
        <f t="array" ref="GR15">_xll.ASAssetInfo($A15,"Payment 1 (%)")</f>
        <v>1</v>
      </c>
      <c r="GS15" s="35" cm="1">
        <f t="array" ref="GS15">_xll.ASAssetInfo($A15,"Lockup 1 Fee")</f>
        <v>0</v>
      </c>
      <c r="GT15" s="35" cm="1">
        <f t="array" ref="GT15">_xll.ASAssetInfo($A15,"Lockup 2 Fee")</f>
        <v>0</v>
      </c>
      <c r="GU15" s="35" cm="1">
        <f t="array" ref="GU15">_xll.ASAssetInfo($A15,"Lockup 3 Fee")</f>
        <v>0</v>
      </c>
      <c r="GV15" s="35" t="str" cm="1">
        <f t="array" ref="GV15">_xll.ASAssetInfo($A15,"Lockup 1 type")</f>
        <v>None</v>
      </c>
      <c r="GW15" s="35" t="str" cm="1">
        <f t="array" ref="GW15">_xll.ASAssetInfo($A15,"Lockup 2 type")</f>
        <v>None</v>
      </c>
      <c r="GX15" s="35" t="str" cm="1">
        <f t="array" ref="GX15">_xll.ASAssetInfo($A15,"Lockup 3 type")</f>
        <v>None</v>
      </c>
      <c r="GY15" s="35" t="str" cm="1">
        <f t="array" ref="GY15">_xll.ASAssetInfo($A15,"Redemption 1 type")</f>
        <v>Calendar</v>
      </c>
      <c r="GZ15" s="35" t="str" cm="1">
        <f t="array" ref="GZ15">_xll.ASAssetInfo($A15,"Redemption 2 type")</f>
        <v>Calendar</v>
      </c>
      <c r="HA15" s="35" t="str" cm="1">
        <f t="array" ref="HA15">_xll.ASAssetInfo($A15,"Redemption 3 type")</f>
        <v>Calendar</v>
      </c>
      <c r="HB15" s="35" t="str" cm="1">
        <f t="array" ref="HB15">_xll.ASAssetInfo($A15,"Redemption 1 Fee")</f>
        <v/>
      </c>
      <c r="HC15" s="35" t="str" cm="1">
        <f t="array" ref="HC15">_xll.ASAssetInfo($A15,"Redemption 2 Fee")</f>
        <v/>
      </c>
      <c r="HD15" s="35" t="str" cm="1">
        <f t="array" ref="HD15">_xll.ASAssetInfo($A15,"Redemption 3 Fee")</f>
        <v/>
      </c>
      <c r="HE15" s="35" t="str" cm="1">
        <f t="array" ref="HE15">_xll.ASAssetInfo($A15,"Redemption 1 Frequency")</f>
        <v>Monthly</v>
      </c>
      <c r="HF15" s="35" t="str" cm="1">
        <f t="array" ref="HF15">_xll.ASAssetInfo($A15,"Redemption 2 Frequency")</f>
        <v>Unknown</v>
      </c>
      <c r="HG15" s="35" t="str" cm="1">
        <f t="array" ref="HG15">_xll.ASAssetInfo($A15,"Redemption 3 Frequency")</f>
        <v>Unknown</v>
      </c>
      <c r="HH15" s="35" t="str" cm="1">
        <f t="array" ref="HH15">_xll.ASAssetInfo($A15,"Asset Calendar")</f>
        <v>[Default]</v>
      </c>
      <c r="HI15" s="16" cm="1">
        <f t="array" ref="HI15">_xll.ASAssetStatistic($A15,"Max Second Drawdown",,,,"m",'PBA Summary'!$F$2,'PBA Summary'!$G$2)</f>
        <v>0</v>
      </c>
      <c r="HJ15" s="37" t="str" cm="1">
        <f t="array" ref="HJ15">_xll.ASAssetStatistic($A15,"Date Max Second Drawdown",,,,"m",'PBA Summary'!$F$2,'PBA Summary'!$G$2)</f>
        <v/>
      </c>
      <c r="HK15" s="37" t="str" cm="1">
        <f t="array" ref="HK15">_xll.ASAssetInfo($A15,HK$1)</f>
        <v/>
      </c>
      <c r="HL15" s="37" t="str" cm="1">
        <f t="array" ref="HL15">_xll.ASAssetInfo($A15,HL$1)</f>
        <v/>
      </c>
      <c r="HM15" s="34" t="str" cm="1">
        <f t="array" ref="HM15">_xll.ASAssetInfo($A15,HM$1)</f>
        <v/>
      </c>
      <c r="HN15" s="37" t="str" cm="1">
        <f t="array" ref="HN15">_xll.ASAssetInfo($A15,HN$1)</f>
        <v/>
      </c>
      <c r="HO15" s="15" cm="1">
        <f t="array" ref="HO15">_xll.ASAssetInfo($A15,HO$1)</f>
        <v>0</v>
      </c>
      <c r="HP15" s="15" t="str" cm="1">
        <f t="array" ref="HP15">_xll.ASAssetInfo($A15,HP$1)</f>
        <v/>
      </c>
      <c r="HQ15" s="34" t="str" cm="1">
        <f t="array" ref="HQ15">_xll.ASAssetInfo($A15,HQ$1)</f>
        <v/>
      </c>
      <c r="HR15" s="37" t="str" cm="1">
        <f t="array" ref="HR15">_xll.ASAssetInfo($A15,HR$1)</f>
        <v/>
      </c>
      <c r="HS15" s="37" t="str" cm="1">
        <f t="array" ref="HS15">_xll.ASAssetInfo($A15,HS$1)</f>
        <v/>
      </c>
      <c r="HT15" s="37" t="str" cm="1">
        <f t="array" ref="HT15">_xll.ASAssetInfo($A15,HT$1)</f>
        <v/>
      </c>
      <c r="HU15" s="37" t="str" cm="1">
        <f t="array" ref="HU15">_xll.ASAssetInfo($A15,HU$1)</f>
        <v>Global</v>
      </c>
      <c r="HV15" s="37" t="str" cm="1">
        <f t="array" ref="HV15">_xll.ASAssetInfo($A15,HV$1)</f>
        <v/>
      </c>
      <c r="HW15" s="37" t="str" cm="1">
        <f t="array" ref="HW15">_xll.ASAssetInfo($A15,HW$1)</f>
        <v/>
      </c>
    </row>
    <row r="16" spans="1:231" s="11" customFormat="1" x14ac:dyDescent="0.25">
      <c r="A16" t="s">
        <v>320</v>
      </c>
      <c r="B16" cm="1">
        <f t="array" ref="B16">_xll.ASPortfolioWeights('PBA Summary'!$C$2,"OR",$A16)</f>
        <v>0</v>
      </c>
      <c r="C16" cm="1">
        <f t="array" ref="C16">_xll.ASAssetStatistic($A16,"Annualized Return since inception",,,,"m",_xll.ASAssetInfo($A16,"Start Date"),_xll.ASAssetInfo($A16,"Last Return Date"))</f>
        <v>7.3407441545612739E-2</v>
      </c>
      <c r="D16" cm="1">
        <f t="array" ref="D16">_xll.ASAssetStatistic($A16,"Annualized Return",,,,"m",'PBA Summary'!$F$2,'PBA Summary'!$G$2)</f>
        <v>0.16253895321596756</v>
      </c>
      <c r="E16" s="19" cm="1">
        <f t="array" ref="E16">_xll.ASAssetStatistic($A16,"Equilibrium Annual Return",,,,"m",'PBA Summary'!$F$2,'PBA Summary'!$G$2)</f>
        <v>9.1626749993621415E-2</v>
      </c>
      <c r="F16" cm="1">
        <f t="array" ref="F16">_xll.ASAssetStatistic($A16,"Annualized Volatility (Inception)",,,,"m",_xll.ASAssetInfo($A16,"Start Date"),_xll.ASAssetInfo($A16,"Last Return Date"))</f>
        <v>0.10268785538891853</v>
      </c>
      <c r="G16" cm="1">
        <f t="array" ref="G16">_xll.ASAssetStatistic($A16,"Annualized Volatility",,,,"m",'PBA Summary'!$F$2,'PBA Summary'!$G$2)</f>
        <v>5.8834105588303466E-2</v>
      </c>
      <c r="H16" s="20" cm="1">
        <f t="array" ref="H16">_xll.ASAssetStatistic($A16,"Skewness",,,,"m",'PBA Summary'!$F$2,'PBA Summary'!$G$2)</f>
        <v>-0.19792645937063705</v>
      </c>
      <c r="I16" s="20" cm="1">
        <f t="array" ref="I16">_xll.ASAssetStatistic($A16,"Excess kurtosis",,,,"m",'PBA Summary'!$F$2,'PBA Summary'!$G$2)</f>
        <v>0.70092914715628274</v>
      </c>
      <c r="J16" s="19" cm="1">
        <f t="array" ref="J16">_xll.ASAssetStatistic($A16,"Return Last 1 month",,,,"m",'PBA Summary'!$F$2,'PBA Summary'!$G$2)</f>
        <v>1.7533776067856E-2</v>
      </c>
      <c r="K16" s="19" cm="1">
        <f t="array" ref="K16">_xll.ASAssetStatistic($A16,"Return Last 3 months",,,,"m",'PBA Summary'!$F$2,'PBA Summary'!$G$2)</f>
        <v>4.82007973347649E-2</v>
      </c>
      <c r="L16" s="19" cm="1">
        <f t="array" ref="L16">_xll.ASAssetStatistic($A16,"Return Last 1 year",,,,"m",'PBA Summary'!$F$2,'PBA Summary'!$G$2)</f>
        <v>0.17871874853828484</v>
      </c>
      <c r="M16" s="19" cm="1">
        <f t="array" ref="M16">_xll.ASAssetStatistic($A16,"Year-to-date Return",,,,"m",'PBA Summary'!$F$2,'PBA Summary'!$G$2)</f>
        <v>1.7533776067856E-2</v>
      </c>
      <c r="N16" s="19" cm="1">
        <f t="array" ref="N16">_xll.ASAssetStatistic($A16,"Annualized Return",,,,"m",EOMONTH('PBA Summary'!$G$2,-2),'PBA Summary'!$G$2)</f>
        <v>0.20719643122371911</v>
      </c>
      <c r="O16" s="19" t="str" cm="1">
        <f t="array" ref="O16">_xll.ASAssetStatistic($A16,"Annualized Return Last 3 years",,,,"m",'PBA Summary'!$F$2,'PBA Summary'!$G$2)</f>
        <v/>
      </c>
      <c r="P16" s="19" t="str" cm="1">
        <f t="array" ref="P16">_xll.ASAssetStatistic($A16,"Annualized Return Last 5 years",,,,"m",'PBA Summary'!$F$2,'PBA Summary'!$G$2)</f>
        <v/>
      </c>
      <c r="Q16" s="19" cm="1">
        <f t="array" ref="Q16">_xll.ASAssetStatistic($A16,"Annualized Volatility Last 1 year",,,,"m",'PBA Summary'!$F$2,'PBA Summary'!$G$2)</f>
        <v>4.4451136057027572E-2</v>
      </c>
      <c r="R16" s="19" t="str" cm="1">
        <f t="array" ref="R16">_xll.ASAssetStatistic($A16,"Annualized Volatility Last 3 years",,,,"m",'PBA Summary'!$F$2,'PBA Summary'!$G$2)</f>
        <v/>
      </c>
      <c r="S16" s="19" t="str" cm="1">
        <f t="array" ref="S16">_xll.ASAssetStatistic($A16,"Annualized Volatility Last 5 years",,,,"m",'PBA Summary'!$F$2,'PBA Summary'!$G$2)</f>
        <v/>
      </c>
      <c r="T16" s="19" cm="1">
        <f t="array" ref="T16">_xll.ASAssetStatistic($A16,"Normal monthly VaR 99%",,,,"m",'PBA Summary'!$F$2,'PBA Summary'!$G$2)</f>
        <v>-2.674772517198578E-2</v>
      </c>
      <c r="U16" s="19" cm="1">
        <f t="array" ref="U16">_xll.ASAssetStatistic($A16,"Modified monthly VaR 99%",,,,"m",'PBA Summary'!$F$2,'PBA Summary'!$G$2)</f>
        <v>-3.175228332373746E-2</v>
      </c>
      <c r="V16" s="19" cm="1">
        <f t="array" ref="V16">_xll.ASAssetStatistic($A16,"Conditional monthly VaR 99%",,,,"m",'PBA Summary'!$F$2,'PBA Summary'!$G$2)</f>
        <v>-2.1673068689766151E-2</v>
      </c>
      <c r="W16" s="19" cm="1">
        <f t="array" ref="W16">_xll.ASAssetStatistic($A16,"Normal monthly VaR 97%",,,,"m",'PBA Summary'!$F$2,'PBA Summary'!$G$2)</f>
        <v>-1.9180456761002752E-2</v>
      </c>
      <c r="X16" s="19" cm="1">
        <f t="array" ref="X16">_xll.ASAssetStatistic($A16,"Modified monthly VaR 97%",,,,"m",'PBA Summary'!$F$2,'PBA Summary'!$G$2)</f>
        <v>-2.10312717062704E-2</v>
      </c>
      <c r="Y16" s="19" cm="1">
        <f t="array" ref="Y16">_xll.ASAssetStatistic($A16,"Conditional monthly VaR 97%",,,,"m",'PBA Summary'!$F$2,'PBA Summary'!$G$2)</f>
        <v>-2.1673068689766151E-2</v>
      </c>
      <c r="Z16" s="19" cm="1">
        <f t="array" ref="Z16">_xll.ASAssetStatistic($A16,"Normal monthly VaR 95%",,,,"m",'PBA Summary'!$F$2,'PBA Summary'!$G$2)</f>
        <v>-1.5173265486430951E-2</v>
      </c>
      <c r="AA16" s="19" cm="1">
        <f t="array" ref="AA16">_xll.ASAssetStatistic($A16,"Modified monthly VaR 95%",,,,"m",'PBA Summary'!$F$2,'PBA Summary'!$G$2)</f>
        <v>-1.5876077117599488E-2</v>
      </c>
      <c r="AB16" s="19" cm="1">
        <f t="array" ref="AB16">_xll.ASAssetStatistic($A16,"Conditional monthly VaR 95%",,,,"m",'PBA Summary'!$F$2,'PBA Summary'!$G$2)</f>
        <v>-2.1673068689766151E-2</v>
      </c>
      <c r="AC16" s="66" cm="1">
        <f t="array" ref="AC16">_xll.ASAssetStatistic($A16,"Correlation to Benchmark 1","MSCI ACWI Index",,,"m",'PBA Summary'!$F$2,'PBA Summary'!$G$2)</f>
        <v>0.70647115853002207</v>
      </c>
      <c r="AD16" s="38" cm="1">
        <f t="array" ref="AD16">IF('PBA Summary'!$D$3="","",_xll.ASAssetStatistic($A16,"Correlation to Benchmark 1",'PBA Summary'!$D$3,,,"m",'PBA Summary'!$F$2,'PBA Summary'!$G$2))</f>
        <v>0.66906993413401505</v>
      </c>
      <c r="AE16" s="21" cm="1">
        <f t="array" ref="AE16">IF('PBA Summary'!$D$2="","",_xll.ASAssetStatistic($A16,"Bull correlation to Benchmark 1",'PBA Summary'!$D$2,,,"m",'PBA Summary'!$F$2,'PBA Summary'!$G$2))</f>
        <v>0.80320208872588472</v>
      </c>
      <c r="AF16" s="21" cm="1">
        <f t="array" ref="AF16">IF('PBA Summary'!$D$2="","",_xll.ASAssetStatistic($A16,"Bear correlation to Benchmark 1",'PBA Summary'!$D$2,,,"m",'PBA Summary'!$F$2,'PBA Summary'!$G$2))</f>
        <v>0.63098073154189538</v>
      </c>
      <c r="AG16" s="21" cm="1">
        <f t="array" ref="AG16">IF('PBA Summary'!$D$3="","",_xll.ASAssetStatistic($A16,"Bull correlation to Benchmark 1",'PBA Summary'!$D$3,,,"m",'PBA Summary'!$F$2,'PBA Summary'!$G$2))</f>
        <v>0.80320208872588472</v>
      </c>
      <c r="AH16" s="21" cm="1">
        <f t="array" ref="AH16">IF('PBA Summary'!$D$3="","",_xll.ASAssetStatistic($A16,"Bear correlation to Benchmark 1",'PBA Summary'!$D$3,,,"m",'PBA Summary'!$F$2,'PBA Summary'!$G$2))</f>
        <v>0.63098073154189538</v>
      </c>
      <c r="AI16" s="24" cm="1">
        <f t="array" ref="AI16">IF('PBA Summary'!$D$2="","",_xll.ASAssetStatistic($A16,"Beta to Benchmark 1",'PBA Summary'!$D$2,,,"m",'PBA Summary'!$F$2,'PBA Summary'!$G$2))</f>
        <v>0.25640376766036038</v>
      </c>
      <c r="AJ16" s="24" t="str" cm="1">
        <f t="array" ref="AJ16">IF('PBA Summary'!$D$2="","",_xll.ASAssetStatistic($A16,"Beta to Benchmark 1 Last 3 years",'PBA Summary'!$D$2,,,"m",'PBA Summary'!$F$2,'PBA Summary'!$G$2))</f>
        <v/>
      </c>
      <c r="AK16" s="24" t="str" cm="1">
        <f t="array" ref="AK16">IF('PBA Summary'!$D$2="","",_xll.ASAssetStatistic($A16,"Beta to Benchmark 1 Last 5 years",'PBA Summary'!$D$2,,,"m",'PBA Summary'!$F$2,'PBA Summary'!$G$2))</f>
        <v/>
      </c>
      <c r="AL16" s="25" cm="1">
        <f t="array" ref="AL16">IF('PBA Summary'!$D$3="","",_xll.ASAssetStatistic($A16,"Beta to Benchmark 1",'PBA Summary'!$D$3,,,"m",'PBA Summary'!$F$2,'PBA Summary'!$G$2))</f>
        <v>0.25640376766036038</v>
      </c>
      <c r="AM16" s="25" t="str" cm="1">
        <f t="array" ref="AM16">IF('PBA Summary'!$D$3="","",_xll.ASAssetStatistic($A16,"Beta to Benchmark 1 Last 3 years",'PBA Summary'!$D$3,,,"m",'PBA Summary'!$F$2,'PBA Summary'!$G$2))</f>
        <v/>
      </c>
      <c r="AN16" s="25" t="str" cm="1">
        <f t="array" ref="AN16">IF('PBA Summary'!$D$3="","",_xll.ASAssetStatistic($A16,"Beta to Benchmark 1 Last 5 years",'PBA Summary'!$D$3,,,"m",'PBA Summary'!$F$2,'PBA Summary'!$G$2))</f>
        <v/>
      </c>
      <c r="AO16" s="25" cm="1">
        <f t="array" ref="AO16">IF('PBA Summary'!$D$2="","",_xll.ASAssetStatistic($A16,"Bull Beta to Benchmark 1",'PBA Summary'!$D$2,,,"m",'PBA Summary'!$F$2,'PBA Summary'!$G$2))</f>
        <v>0.64369914779690263</v>
      </c>
      <c r="AP16" s="25" cm="1">
        <f t="array" ref="AP16">IF('PBA Summary'!$D$2="","",_xll.ASAssetStatistic($A16,"Bear Beta to Benchmark 1",'PBA Summary'!$D$2,,,"m",'PBA Summary'!$F$2,'PBA Summary'!$G$2))</f>
        <v>0.19915855637724317</v>
      </c>
      <c r="AQ16" s="25" cm="1">
        <f t="array" ref="AQ16">IF('PBA Summary'!$D$3="","",_xll.ASAssetStatistic($A16,"Bull Beta to Benchmark 1",'PBA Summary'!$D$3,,,"m",'PBA Summary'!$F$2,'PBA Summary'!$G$2))</f>
        <v>0.64369914779690263</v>
      </c>
      <c r="AR16" s="25" cm="1">
        <f t="array" ref="AR16">IF('PBA Summary'!$D$3="","",_xll.ASAssetStatistic($A16,"Bear Beta to Benchmark 1",'PBA Summary'!$D$3,,,"m",'PBA Summary'!$F$2,'PBA Summary'!$G$2))</f>
        <v>0.19915855637724317</v>
      </c>
      <c r="AS16" s="25" cm="1">
        <f t="array" ref="AS16">_xll.ASAssetStatistic($A16,"Annual Sharpe Ratio (Rf)",,,'PBA Summary'!$H$2,"m",'PBA Summary'!$F$2,'PBA Summary'!$G$2)</f>
        <v>2.7201731311401827</v>
      </c>
      <c r="AT16" s="25" t="str" cm="1">
        <f t="array" ref="AT16">_xll.ASAssetStatistic($A16,"Annual Sharpe Ratio (Rf) Last 3 years",,,'PBA Summary'!$H$2,"m",'PBA Summary'!$F$2,'PBA Summary'!$G$2)</f>
        <v/>
      </c>
      <c r="AU16" s="25" t="str" cm="1">
        <f t="array" ref="AU16">_xll.ASAssetStatistic($A16,"Annual Sharpe Ratio (Rf) Last 5 years",,,'PBA Summary'!$H$2,"m",'PBA Summary'!$F$2,'PBA Summary'!$G$2)</f>
        <v/>
      </c>
      <c r="AV16" s="18" cm="1">
        <f t="array" ref="AV16">_xll.ASAssetStatistic($A16,"Ann. Downside Deviation (vs 0%)",,,'PBA Summary'!$H$2,"m",'PBA Summary'!$F$2,'PBA Summary'!$G$2)</f>
        <v>2.3230489451775027E-2</v>
      </c>
      <c r="AW16" s="18" cm="1">
        <f t="array" ref="AW16">_xll.ASAssetStatistic($A16,"Ann. Downside Deviation (vs Rf)",,,'PBA Summary'!$H$2,"m",'PBA Summary'!$F$2,'PBA Summary'!$G$2)</f>
        <v>2.3488431038658039E-2</v>
      </c>
      <c r="AX16" s="39" cm="1">
        <f t="array" ref="AX16">_xll.ASAssetStatistic($A16,"Annual Treynor ratio",,,'PBA Summary'!$H$2,"m",'PBA Summary'!$F$2,'PBA Summary'!$G$2)</f>
        <v>0.16003895321596756</v>
      </c>
      <c r="AY16" s="26" cm="1">
        <f t="array" ref="AY16">_xll.ASAssetStatistic($A16,"Annual Sortino Ratio (vs 0%)",,,'PBA Summary'!$H$2,"m",'PBA Summary'!$F$2,'PBA Summary'!$G$2)</f>
        <v>6.9967941723047966</v>
      </c>
      <c r="AZ16" s="26" cm="1">
        <f t="array" ref="AZ16">_xll.ASAssetStatistic($A16,"Annual Sortino Ratio (vs Rf)",,,'PBA Summary'!$H$2,"m",'PBA Summary'!$F$2,'PBA Summary'!$G$2)</f>
        <v>6.8135224933742977</v>
      </c>
      <c r="BA16" s="26" cm="1">
        <f t="array" ref="BA16">_xll.ASAssetStatistic($A16,"Sterling ratio",,,'PBA Summary'!$H$2,"m",'PBA Summary'!$F$2,'PBA Summary'!$G$2)</f>
        <v>1.4218825923270724</v>
      </c>
      <c r="BB16" s="26" cm="1">
        <f t="array" ref="BB16">_xll.ASAssetStatistic($A16,"Calmar ratio",,,'PBA Summary'!$H$2,"m",'PBA Summary'!$F$2,'PBA Summary'!$G$2)</f>
        <v>7.4995818793633573</v>
      </c>
      <c r="BC16" s="26" cm="1">
        <f t="array" ref="BC16">_xll.ASAssetStatistic($A16,"Hurst index",,,'PBA Summary'!$H$2,"m",'PBA Summary'!$F$2,'PBA Summary'!$G$2)</f>
        <v>0.35074411463702149</v>
      </c>
      <c r="BD16" s="26" cm="1">
        <f t="array" ref="BD16">_xll.ASAssetStatistic($A16,"Omega (Threshold 1)",,,'PBA Summary'!$H$2,"m",'PBA Summary'!$F$2,'PBA Summary'!$G$2)</f>
        <v>6.3199807385628644</v>
      </c>
      <c r="BE16" s="26" cm="1">
        <f t="array" ref="BE16">_xll.ASAssetStatistic($A16,"Omega (Threshold 2)",,,'PBA Summary'!$H$2,"m",'PBA Summary'!$F$2,'PBA Summary'!$G$2)</f>
        <v>3.4413976899704757</v>
      </c>
      <c r="BF16" s="26" cm="1">
        <f t="array" ref="BF16">_xll.ASAssetStatistic($A16,"Omega (Threshold 3)",,,'PBA Summary'!$H$2,"m",'PBA Summary'!$F$2,'PBA Summary'!$G$2)</f>
        <v>1.5639404134799217</v>
      </c>
      <c r="BG16" s="26" cm="1">
        <f t="array" ref="BG16">_xll.ASAssetStatistic($A16,"Omega (Threshold 4)",,,'PBA Summary'!$H$2,"m",'PBA Summary'!$F$2,'PBA Summary'!$G$2)</f>
        <v>0.67658578353634979</v>
      </c>
      <c r="BH16" s="26" cm="1">
        <f t="array" ref="BH16">_xll.ASAssetStatistic($A16,"Omega (Threshold 5)",,,'PBA Summary'!$H$2,"m",'PBA Summary'!$F$2,'PBA Summary'!$G$2)</f>
        <v>0.31151105110792832</v>
      </c>
      <c r="BI16" s="26" t="str" cm="1">
        <f t="array" ref="BI16">_xll.ASAssetStatistic($A16,"Autocorrelated (illiquid)",,,'PBA Summary'!$H$2,"m",'PBA Summary'!$F$2,'PBA Summary'!$G$2)</f>
        <v>No</v>
      </c>
      <c r="BJ16" s="27" cm="1">
        <f t="array" ref="BJ16">_xll.ASAssetStatistic($A16,"% months in Run Up",,,'PBA Summary'!$H$2,"m",'PBA Summary'!$F$2,'PBA Summary'!$G$2)</f>
        <v>0.8666666666666667</v>
      </c>
      <c r="BK16" s="27" cm="1">
        <f t="array" ref="BK16">_xll.ASAssetStatistic($A16,"% months in Drawdown",,,'PBA Summary'!$H$2,"m",'PBA Summary'!$F$2,'PBA Summary'!$G$2)</f>
        <v>0.13333333333333333</v>
      </c>
      <c r="BL16" s="18" cm="1">
        <f t="array" ref="BL16">IF('PBA Summary'!$D$2="","",_xll.ASAssetStatistic($A16,"Bull Beta to Benchmark 1",'PBA Summary'!$D$2,,,"m",'PBA Summary'!$F$2,'PBA Summary'!$G$2))</f>
        <v>0.64369914779690263</v>
      </c>
      <c r="BM16" s="18" cm="1">
        <f t="array" ref="BM16">IF('PBA Summary'!$D$2="","",_xll.ASAssetStatistic($A16,"Average return during bear Benchmark 1",'PBA Summary'!$D$2,,,"m",'PBA Summary'!$F$2,'PBA Summary'!$G$2))</f>
        <v>3.090100467258744E-3</v>
      </c>
      <c r="BN16" s="18" cm="1">
        <f t="array" ref="BN16">IF('PBA Summary'!$D$3="","",_xll.ASAssetStatistic($A16,"Average return during bull Benchmark 1",'PBA Summary'!$D$3,,,"m",'PBA Summary'!$F$2,'PBA Summary'!$G$2))</f>
        <v>1.6280193464471404E-2</v>
      </c>
      <c r="BO16" s="18" cm="1">
        <f t="array" ref="BO16">IF('PBA Summary'!$D$3="","",_xll.ASAssetStatistic($A16,"Average return during bear Benchmark 1",'PBA Summary'!$D$3,,,"m",'PBA Summary'!$F$2,'PBA Summary'!$G$2))</f>
        <v>3.090100467258744E-3</v>
      </c>
      <c r="BP16" s="27" cm="1">
        <f t="array" ref="BP16">_xll.ASAssetStatistic($A16,"Maximum consecutive gain",,,'PBA Summary'!$H$2,"m",'PBA Summary'!$F$2,'PBA Summary'!$G$2)</f>
        <v>0.14046045839355759</v>
      </c>
      <c r="BQ16" s="27" cm="1">
        <f t="array" ref="BQ16">_xll.ASAssetStatistic($A16,"Maximum consecutive loss",,,'PBA Summary'!$H$2,"m",'PBA Summary'!$F$2,'PBA Summary'!$G$2)</f>
        <v>-2.1673068689766151E-2</v>
      </c>
      <c r="BR16" s="27" cm="1">
        <f t="array" ref="BR16">_xll.ASAssetStatistic($A16,"Max monthly gain",,,'PBA Summary'!$H$2,"m",'PBA Summary'!$F$2,'PBA Summary'!$G$2)</f>
        <v>4.3370309620163416E-2</v>
      </c>
      <c r="BS16" s="27" cm="1">
        <f t="array" ref="BS16">_xll.ASAssetStatistic($A16,"Max monthly loss",,,'PBA Summary'!$H$2,"m",'PBA Summary'!$F$2,'PBA Summary'!$G$2)</f>
        <v>-2.1673068689766151E-2</v>
      </c>
      <c r="BT16" s="27" cm="1">
        <f t="array" ref="BT16">_xll.ASAssetStatistic($A16,"Max drawdown",,,'PBA Summary'!$H$2,"m",'PBA Summary'!$F$2,'PBA Summary'!$G$2)</f>
        <v>-2.1673068689766151E-2</v>
      </c>
      <c r="BU16" s="28" cm="1">
        <f t="array" ref="BU16">_xll.ASAssetStatistic($A16,"Date Max drawdown",,,'PBA Summary'!$H$2,"m",'PBA Summary'!$F$2,'PBA Summary'!$G$2)</f>
        <v>43434</v>
      </c>
      <c r="BV16" s="28" cm="1">
        <f t="array" ref="BV16">_xll.ASAssetStatistic($A16,"Start Date Max Drawdown",,,'PBA Summary'!$H$2,"m",'PBA Summary'!$F$2,'PBA Summary'!$G$2)</f>
        <v>43434</v>
      </c>
      <c r="BW16" s="28" cm="1">
        <f t="array" ref="BW16">_xll.ASAssetStatistic($A16,"End Date Max Drawdown",,,'PBA Summary'!$H$2,"m",'PBA Summary'!$F$2,'PBA Summary'!$G$2)</f>
        <v>43465</v>
      </c>
      <c r="BX16" s="29" cm="1">
        <f t="array" ref="BX16">_xll.ASAssetStatistic($A16,"Max Time-under-water (months)",,,'PBA Summary'!$H$2,"m",'PBA Summary'!$F$2,'PBA Summary'!$G$2)</f>
        <v>2</v>
      </c>
      <c r="BY16" s="27" cm="1">
        <f t="array" ref="BY16">_xll.ASAssetStatistic($A16,"Max possible drawdown 99%",,,'PBA Summary'!$H$2,"m",'PBA Summary'!$F$2,'PBA Summary'!$G$2)</f>
        <v>-3.0578714500652183E-2</v>
      </c>
      <c r="BZ16" s="27" cm="1">
        <f t="array" ref="BZ16">_xll.ASAssetStatistic($A16,"Max possible drawdown 99.9%",,,'PBA Summary'!$H$2,"m",'PBA Summary'!$F$2,'PBA Summary'!$G$2)</f>
        <v>-5.3957542906692246E-2</v>
      </c>
      <c r="CA16" s="30" cm="1">
        <f t="array" ref="CA16">_xll.ASAssetStatistic($A16,"Max Possible Time-under-water 99% (months)",,,'PBA Summary'!$H$2,"m",'PBA Summary'!$F$2,'PBA Summary'!$G$2)</f>
        <v>9.5836743812770298</v>
      </c>
      <c r="CB16" s="30" cm="1">
        <f t="array" ref="CB16">_xll.ASAssetStatistic($A16,"Max Possible Time-under-water 99.9% (months)",,,'PBA Summary'!$H$2,"m",'PBA Summary'!$F$2,'PBA Summary'!$G$2)</f>
        <v>16.910832586520069</v>
      </c>
      <c r="CC16" s="17" t="str" cm="1">
        <f t="array" ref="CC16">_xll.ASPortfolioReturnAttribution('PBA Summary'!$C$2,"OR",A16,"Last 1m",'PBA Summary'!$F$2,'PBA Summary'!$G$2)</f>
        <v/>
      </c>
      <c r="CD16" s="11" t="str" cm="1">
        <f t="array" ref="CD16">_xll.ASAssetInfo($A16,"Strategy")</f>
        <v>DIrect Holdings - Bonds</v>
      </c>
      <c r="CE16" s="14" cm="1">
        <f t="array" ref="CE16">_xll.ASAssetInfo($A16,"Start Date")</f>
        <v>41816</v>
      </c>
      <c r="CF16" s="14" t="str" cm="1">
        <f t="array" ref="CF16">_xll.ASAssetRatings($A16,"Quantitative",0,0,0,0,0,'PBA Summary'!$F$2,'PBA Summary'!$G$2)</f>
        <v/>
      </c>
      <c r="CG16" s="14" t="str" cm="1">
        <f t="array" ref="CG16">_xll.ASAssetRatings($A16,"Qualitative",0,0,0,0,0,'PBA Summary'!$F$2,'PBA Summary'!$G$2)</f>
        <v/>
      </c>
      <c r="CH16" s="14" t="str" cm="1">
        <f t="array" ref="CH16">_xll.ASAssetRatings($A16,"Final",0,0,0,0,0,'PBA Summary'!$F$2,'PBA Summary'!$G$2)</f>
        <v/>
      </c>
      <c r="CI16" s="14" cm="1">
        <f t="array" ref="CI16">_xll.ASAssetInfo($A16,"Last Return Date")</f>
        <v>44134</v>
      </c>
      <c r="CJ16" s="14" t="str" cm="1">
        <f t="array" ref="CJ16">_xll.ASAssetInfo($A16,"Company Name")</f>
        <v/>
      </c>
      <c r="CK16" s="14" t="str" cm="1">
        <f t="array" ref="CK16">_xll.ASAssetInfo($A16,"Manager Name")</f>
        <v/>
      </c>
      <c r="CL16" s="14" t="str" cm="1">
        <f t="array" ref="CL16">_xll.ASAssetInfo($A16,"Address")</f>
        <v/>
      </c>
      <c r="CM16" s="14" t="str" cm="1">
        <f t="array" ref="CM16">_xll.ASAssetInfo($A16,"Phone Number")</f>
        <v/>
      </c>
      <c r="CN16" s="14" t="str" cm="1">
        <f t="array" ref="CN16">_xll.ASAssetInfo($A16,"Email")</f>
        <v/>
      </c>
      <c r="CO16" s="14" t="str" cm="1">
        <f t="array" ref="CO16">_xll.ASAssetInfo($A16,"Asset Type")</f>
        <v>Fixed Income</v>
      </c>
      <c r="CP16" s="14" t="str" cm="1">
        <f t="array" ref="CP16">_xll.ASAssetInfo($A16,"Proprietary ID")</f>
        <v/>
      </c>
      <c r="CQ16" s="14" t="str" cm="1">
        <f t="array" ref="CQ16">_xll.ASAssetInfo($A16,"Country")</f>
        <v>[Not Classified]</v>
      </c>
      <c r="CR16" s="14" t="str" cm="1">
        <f t="array" ref="CR16">_xll.ASAssetInfo($A16,"Currency")</f>
        <v>EUR</v>
      </c>
      <c r="CS16" s="14" t="str" cm="1">
        <f t="array" ref="CS16">_xll.ASAssetInfo($A16,"Sub-Strategy")</f>
        <v/>
      </c>
      <c r="CT16" s="31" t="str" cm="1">
        <f t="array" ref="CT16">_xll.ASAssetInfo($A16,"Fund AUM (m)")</f>
        <v/>
      </c>
      <c r="CU16" s="31" t="str" cm="1">
        <f t="array" ref="CU16">_xll.ASAssetInfo($A16,"Status")</f>
        <v>Unknown</v>
      </c>
      <c r="CV16" s="31" t="str" cm="1">
        <f t="array" ref="CV16">_xll.ASAssetInfo($A16,"Redemption 1 Frequency")</f>
        <v>Unknown</v>
      </c>
      <c r="CW16" s="31" t="str" cm="1">
        <f t="array" ref="CW16">_xll.ASAssetInfo($A16,"Redemption 2 Frequency")</f>
        <v>Unknown</v>
      </c>
      <c r="CX16" s="31" t="str" cm="1">
        <f t="array" ref="CX16">_xll.ASAssetInfo($A16,"Redemption 3 Frequency")</f>
        <v>Unknown</v>
      </c>
      <c r="CY16" s="31" t="str" cm="1">
        <f t="array" ref="CY16">_xll.ASAssetInfo($A16,"Notice Period")</f>
        <v/>
      </c>
      <c r="CZ16" s="15" t="str" cm="1">
        <f t="array" ref="CZ16">_xll.ASAssetInfo($A16,"Performance Fee")</f>
        <v/>
      </c>
      <c r="DA16" s="15" t="str" cm="1">
        <f t="array" ref="DA16">_xll.ASAssetInfo($A16,"Management Fee")</f>
        <v/>
      </c>
      <c r="DB16" s="15" t="str" cm="1">
        <f t="array" ref="DB16">_xll.ASAssetInfo($A16,"ISIN")</f>
        <v>XS2202900424</v>
      </c>
      <c r="DC16" s="16" cm="1">
        <f t="array" ref="DC16">_xll.ASAssetStatistic($A16,"Return during " &amp;YEAR(EOMONTH('PBA Summary'!$G$2,-60)),,,,"M",DATE(YEAR(EOMONTH('PBA Summary'!$G$2,-60)),1,31),DATE(YEAR(EOMONTH('PBA Summary'!$G$2,-60)),12,31))</f>
        <v>7.70715093125387E-2</v>
      </c>
      <c r="DD16" s="16" cm="1">
        <f t="array" ref="DD16">_xll.ASAssetStatistic($A16,"Return during " &amp;YEAR(EOMONTH('PBA Summary'!$G$2,-48)),,,,"M",DATE(YEAR(EOMONTH('PBA Summary'!$G$2,-48)),1,31),DATE(YEAR(EOMONTH('PBA Summary'!$G$2,-48)),12,31))</f>
        <v>6.2635418039146185E-2</v>
      </c>
      <c r="DE16" s="16" cm="1">
        <f t="array" ref="DE16">_xll.ASAssetStatistic($A16,"Return during " &amp;YEAR(EOMONTH('PBA Summary'!$G$2,-36)),,,,"M",DATE(YEAR(EOMONTH('PBA Summary'!$G$2,-36)),1,31),DATE(YEAR(EOMONTH('PBA Summary'!$G$2,-36)),12,31))</f>
        <v>0.16973445947749588</v>
      </c>
      <c r="DF16" s="16" cm="1">
        <f t="array" ref="DF16">_xll.ASAssetStatistic($A16,"Return during " &amp;YEAR(EOMONTH('PBA Summary'!$G$2,-24)),,,,"M",DATE(YEAR(EOMONTH('PBA Summary'!$G$2,-24)),1,31),DATE(YEAR(EOMONTH('PBA Summary'!$G$2,-24)),12,31))</f>
        <v>-3.4678183366690374E-2</v>
      </c>
      <c r="DG16" s="16" cm="1">
        <f t="array" ref="DG16">_xll.ASAssetStatistic($A16,"Return during " &amp;YEAR(EOMONTH('PBA Summary'!$G$2,-12)),,,,"M",DATE(YEAR(EOMONTH('PBA Summary'!$G$2,-12)),1,31),DATE(YEAR(EOMONTH('PBA Summary'!$G$2,-12)),12,31))</f>
        <v>0.20864798254664252</v>
      </c>
      <c r="DH16" s="11" t="str" cm="1">
        <f t="array" ref="DH16">_xll.ASAssetInfo($A16,"Prime Broker")</f>
        <v/>
      </c>
      <c r="DI16" s="16" cm="1">
        <f t="array" ref="DI16">_xll.ASAssetStatistic($A16,"Return",,,,"m",'PBA Summary'!$F$2,'PBA Summary'!$G$2)</f>
        <v>0.20714486735387294</v>
      </c>
      <c r="DJ16" s="33" cm="1">
        <f t="array" ref="DJ16">IF('PBA Summary'!$D$2="","",_xll.ASAssetStatistic($A16,"Ann. Information Ratio vs Benchmark 1",'PBA Summary'!$D$2,,,"m",'PBA Summary'!$F$2,'PBA Summary'!$G$2))</f>
        <v>-7.9947650262537806E-2</v>
      </c>
      <c r="DK16" s="33" cm="1">
        <f t="array" ref="DK16">IF('PBA Summary'!$D$3="","",_xll.ASAssetStatistic($A16,"Ann. Information Ratio vs Benchmark 1",'PBA Summary'!$D$3,,,"m",'PBA Summary'!$F$2,'PBA Summary'!$G$2))</f>
        <v>-7.9947650262537806E-2</v>
      </c>
      <c r="DL16" s="33" cm="1">
        <f t="array" ref="DL16">IF('PBA Summary'!$D$2="","",_xll.ASAssetStatistic($A16,"Ann. Tracking Error vs Benchmark 1",'PBA Summary'!$D$2,,,"m",'PBA Summary'!$F$2,'PBA Summary'!$G$2))</f>
        <v>0.12224725778187555</v>
      </c>
      <c r="DM16" s="33" cm="1">
        <f t="array" ref="DM16">IF('PBA Summary'!$D$3="","",_xll.ASAssetStatistic($A16,"Ann. Tracking Error vs Benchmark 1",'PBA Summary'!$D$3,,,"m",'PBA Summary'!$F$2,'PBA Summary'!$G$2))</f>
        <v>0.12224725778187555</v>
      </c>
      <c r="DN16" s="33" cm="1">
        <f t="array" ref="DN16">IF('PBA Summary'!$D$2="","",_xll.ASAssetStatistic($A16,"R² vs Benchmark 1",'PBA Summary'!$D$2,,,"m",'PBA Summary'!$F$2,'PBA Summary'!$G$2))</f>
        <v>0.44765457676209525</v>
      </c>
      <c r="DO16" s="33" cm="1">
        <f t="array" ref="DO16">IF('PBA Summary'!$D$3="","",_xll.ASAssetStatistic($A16,"R² vs Benchmark 1",'PBA Summary'!$D$3,,,"m",'PBA Summary'!$F$2,'PBA Summary'!$G$2))</f>
        <v>0.44765457676209525</v>
      </c>
      <c r="DP16" s="11" t="str" cm="1">
        <f t="array" ref="DP16">_xll.ASAssetInfo($A16,"On-/Offshore")</f>
        <v>Unknown</v>
      </c>
      <c r="DQ16" s="16" cm="1">
        <f t="array" ref="DQ16">_xll.ASAssetStatistic($A16,"Quarter-to-date",,,,"m",'PBA Summary'!$F$2,'PBA Summary'!$G$2)</f>
        <v>1.7533776067856E-2</v>
      </c>
      <c r="DR16" s="16" cm="1">
        <f t="array" ref="DR16">_xll.ASAssetStatistic($A16,"Annualized Return Since inception",,,,"m",'PBA Summary'!$F$2,'PBA Summary'!$G$2)</f>
        <v>7.3407441545612739E-2</v>
      </c>
      <c r="DS16" s="16" cm="1">
        <f t="array" ref="DS16">IF('PBA Summary'!$D$2="","",_xll.ASAssetStatistic($A16,"Ann. Bear Market Return vs Benchmark 1",'PBA Summary'!$D$2,,,"m",'PBA Summary'!$F$2,'PBA Summary'!$G$2))</f>
        <v>3.6912787927827928E-2</v>
      </c>
      <c r="DT16" s="16" cm="1">
        <f t="array" ref="DT16">IF('PBA Summary'!$D$2="","",_xll.ASAssetStatistic($A16,"Ann. Bull Market Return vs Benchmark 1",'PBA Summary'!$D$2,,,"m",'PBA Summary'!$F$2,'PBA Summary'!$G$2))</f>
        <v>0.21190231953348881</v>
      </c>
      <c r="DU16" s="16" cm="1">
        <f t="array" ref="DU16">IF('PBA Summary'!$D$3="","",_xll.ASAssetStatistic($A16,"Ann. Bear Market Return vs Benchmark 1",'PBA Summary'!$D$3,,,"m",'PBA Summary'!$F$2,'PBA Summary'!$G$2))</f>
        <v>3.6912787927827928E-2</v>
      </c>
      <c r="DV16" s="16" cm="1">
        <f t="array" ref="DV16">IF('PBA Summary'!$D$3="","",_xll.ASAssetStatistic($A16,"Ann. Bull Market Return vs Benchmark 1",'PBA Summary'!$D$3,,,"m",'PBA Summary'!$F$2,'PBA Summary'!$G$2))</f>
        <v>0.21190231953348881</v>
      </c>
      <c r="DW16" s="17" cm="1">
        <f t="array" ref="DW16">_xll.ASAssetStatistic($A16,"Average Positive Return",,,,"m",'PBA Summary'!$F$2,'PBA Summary'!$G$2)</f>
        <v>1.7494469094796326E-2</v>
      </c>
      <c r="DX16" s="17" cm="1">
        <f t="array" ref="DX16">_xll.ASAssetStatistic($A16,"Average Negative Return",,,,"m",'PBA Summary'!$F$2,'PBA Summary'!$G$2)</f>
        <v>-1.7992784127065897E-2</v>
      </c>
      <c r="DY16" s="16" cm="1">
        <f t="array" ref="DY16">IF('PBA Summary'!$D$2="","",_xll.ASAssetStatistic($A16,"Outperformance vs Benchmark 1",'PBA Summary'!$D$2,,,"m",'PBA Summary'!$F$2,'PBA Summary'!$G$2))</f>
        <v>-1.2698777454845711E-2</v>
      </c>
      <c r="DZ16" s="16" cm="1">
        <f t="array" ref="DZ16">IF('PBA Summary'!$D$3="","",_xll.ASAssetStatistic($A16,"Outperformance vs Benchmark 1",'PBA Summary'!$D$3,,,"m",'PBA Summary'!$F$2,'PBA Summary'!$G$2))</f>
        <v>-1.2698777454845711E-2</v>
      </c>
      <c r="EA16" s="16" cm="1">
        <f t="array" ref="EA16">IF('PBA Summary'!$D$2="","",_xll.ASAssetStatistic($A16,"Annual Outperformance vs Benchmark 1",'PBA Summary'!$D$2,,,"m",'PBA Summary'!$F$2,'PBA Summary'!$G$2))</f>
        <v>-9.7733810106996888E-3</v>
      </c>
      <c r="EB16" s="16" cm="1">
        <f t="array" ref="EB16">IF('PBA Summary'!$D$3="","",_xll.ASAssetStatistic($A16,"Annual Outperformance vs Benchmark 1",'PBA Summary'!$D$3,,,"m",'PBA Summary'!$F$2,'PBA Summary'!$G$2))</f>
        <v>-9.7733810106996888E-3</v>
      </c>
      <c r="EC16" s="32" cm="1">
        <f t="array" ref="EC16">_xll.ASAssetStatistic($A16,"Rachev Ratio 99%",,,,"m",'PBA Summary'!$F$2,'PBA Summary'!$G$2)</f>
        <v>-2.0011153123250391</v>
      </c>
      <c r="ED16" s="32" cm="1">
        <f t="array" ref="ED16">_xll.ASAssetStatistic($A16,"Rachev Ratio 97%",,,,"m",'PBA Summary'!$F$2,'PBA Summary'!$G$2)</f>
        <v>-2.0011153123250391</v>
      </c>
      <c r="EE16" s="32" cm="1">
        <f t="array" ref="EE16">_xll.ASAssetStatistic($A16,"Rachev Ratio 95%",,,,"m",'PBA Summary'!$F$2,'PBA Summary'!$G$2)</f>
        <v>-2.0011153123250391</v>
      </c>
      <c r="EF16" s="32" cm="1">
        <f t="array" ref="EF16">_xll.ASAssetStatistic($A16,"Rachev Ratio 90%",,,,"m",'PBA Summary'!$F$2,'PBA Summary'!$G$2)</f>
        <v>-2.3046808918051678</v>
      </c>
      <c r="EG16" s="34" cm="1">
        <f t="array" ref="EG16">IF('PBA Summary'!$D$2="","",_xll.ASAssetStatistic($A16,"Annual Up Capture vs Benchmark 1",'PBA Summary'!$D$2,,,"m",'PBA Summary'!$F$2,'PBA Summary'!$G$2))</f>
        <v>0.4186073222270203</v>
      </c>
      <c r="EH16" s="34" cm="1">
        <f t="array" ref="EH16">IF('PBA Summary'!$D$3="","",_xll.ASAssetStatistic($A16,"Annual Up Capture vs Benchmark 1",'PBA Summary'!$D$3,,,"m",'PBA Summary'!$F$2,'PBA Summary'!$G$2))</f>
        <v>0.4186073222270203</v>
      </c>
      <c r="EI16" s="34" cm="1">
        <f t="array" ref="EI16">IF('PBA Summary'!$D$2="","",_xll.ASAssetStatistic($A16,"Annual Down Capture vs Benchmark 1",'PBA Summary'!$D$2,,,"m",'PBA Summary'!$F$2,'PBA Summary'!$G$2))</f>
        <v>-8.9697848219612561E-2</v>
      </c>
      <c r="EJ16" s="34" cm="1">
        <f t="array" ref="EJ16">IF('PBA Summary'!$D$3="","",_xll.ASAssetStatistic($A16,"Annual Down Capture vs Benchmark 1",'PBA Summary'!$D$3,,,"m",'PBA Summary'!$F$2,'PBA Summary'!$G$2))</f>
        <v>-8.9697848219612561E-2</v>
      </c>
      <c r="EK16" s="16" cm="1">
        <f t="array" ref="EK16">IF('PBA Summary'!$D$2="","",_xll.ASAssetStatistic($A16,"Ann. Tracking Error vs Benchmark 1",'PBA Summary'!$D$2,,,"m",'PBA Summary'!$F$2,'PBA Summary'!$G$2))</f>
        <v>0.12224725778187555</v>
      </c>
      <c r="EL16" s="16" cm="1">
        <f t="array" ref="EL16">IF('PBA Summary'!$D$3="","",_xll.ASAssetStatistic($A16,"Ann. Tracking Error vs Benchmark 1",'PBA Summary'!$D$3,,,"m",'PBA Summary'!$F$2,'PBA Summary'!$G$2))</f>
        <v>0.12224725778187555</v>
      </c>
      <c r="EM16" s="16" cm="1">
        <f t="array" ref="EM16">IF('PBA Summary'!$D$2="","",_xll.ASAssetStatistic($A16,"Annual Jensen Alpha vs Benchmark 1 (Rf)",'PBA Summary'!$D$2,,,"m",'PBA Summary'!$F$2,'PBA Summary'!$G$2))</f>
        <v>0.11649843092504972</v>
      </c>
      <c r="EN16" s="16" cm="1">
        <f t="array" ref="EN16">IF('PBA Summary'!$D$3="","",_xll.ASAssetStatistic($A16,"Annual Jensen Alpha vs Benchmark 1 (Rf)",'PBA Summary'!$D$3,,,"m",'PBA Summary'!$F$2,'PBA Summary'!$G$2))</f>
        <v>0.11649843092504972</v>
      </c>
      <c r="EO16" s="33" cm="1">
        <f t="array" ref="EO16">IF('PBA Summary'!$D$2="","",_xll.ASAssetStatistic($A16,"Ann. Information Ratio vs Benchmark 1",'PBA Summary'!$D$2,,,"m",'PBA Summary'!$F$2,'PBA Summary'!$G$2))</f>
        <v>-7.9947650262537806E-2</v>
      </c>
      <c r="EP16" s="33" cm="1">
        <f t="array" ref="EP16">IF('PBA Summary'!$D$3="","",_xll.ASAssetStatistic($A16,"Ann. Information Ratio vs Benchmark 1",'PBA Summary'!$D$3,,,"m",'PBA Summary'!$F$2,'PBA Summary'!$G$2))</f>
        <v>-7.9947650262537806E-2</v>
      </c>
      <c r="EQ16" s="17" cm="1">
        <f t="array" ref="EQ16">IF('PBA Summary'!$D$2="","",_xll.ASAssetStatistic($A16,"Alpha Monthly vs Benchmark 1",'PBA Summary'!$D$2,,,"m",'PBA Summary'!$F$2,'PBA Summary'!$G$2))</f>
        <v>9.1046004972709857E-3</v>
      </c>
      <c r="ER16" s="17" cm="1">
        <f t="array" ref="ER16">IF('PBA Summary'!$D$3="","",_xll.ASAssetStatistic($A16,"Alpha Monthly vs Benchmark 1",'PBA Summary'!$D$3,,,"m",'PBA Summary'!$F$2,'PBA Summary'!$G$2))</f>
        <v>9.1046004972709857E-3</v>
      </c>
      <c r="ES16" s="11" t="str" cm="1">
        <f t="array" ref="ES16">_xll.ASAssetInfo($A16,"Company AUM (m)")</f>
        <v/>
      </c>
      <c r="ET16" s="16" cm="1">
        <f t="array" ref="ET16">_xll.ASAssetStatistic($A16,"Exponential Annualized Volatility",,,,"m",'PBA Summary'!$F$2,'PBA Summary'!$G$2)</f>
        <v>4.7728719340298147E-2</v>
      </c>
      <c r="EU16" s="16" cm="1">
        <f t="array" ref="EU16">_xll.ASAssetStatistic($A16,"Exponential Annualized Volatility Last 1 year",,,,"m",'PBA Summary'!$F$2,'PBA Summary'!$G$2)</f>
        <v>3.8959039905547686E-2</v>
      </c>
      <c r="EV16" s="16" t="str" cm="1">
        <f t="array" ref="EV16">_xll.ASAssetStatistic($A16,"Exponential Annualized Volatility Last 3 years",,,,"m",'PBA Summary'!$F$2,'PBA Summary'!$G$2)</f>
        <v/>
      </c>
      <c r="EW16" s="34" cm="1">
        <f t="array" ref="EW16">IF('PBA Summary'!$D$2="","",_xll.ASAssetStatistic($A16,"Exponential Correlation to Benchmark 1",'PBA Summary'!$D$2,,,"m",'PBA Summary'!$F$2,'PBA Summary'!$G$2))</f>
        <v>0.66538643031759392</v>
      </c>
      <c r="EX16" s="34" cm="1">
        <f t="array" ref="EX16">IF('PBA Summary'!$D$3="","",_xll.ASAssetStatistic($A16,"Exponential Correlation to Benchmark 1",'PBA Summary'!$D$3,,,"m",'PBA Summary'!$F$2,'PBA Summary'!$G$2))</f>
        <v>0.66538643031759392</v>
      </c>
      <c r="EY16" s="34" cm="1">
        <f t="array" ref="EY16">_xll.ASAssetStatistic($A16,"Exponential Annual Sharpe Ratio (Rf)",,,,"m",'PBA Summary'!$F$2,'PBA Summary'!$G$2)</f>
        <v>3.7486369079342077</v>
      </c>
      <c r="EZ16" s="34" cm="1">
        <f t="array" ref="EZ16">_xll.ASAssetStatistic($A16,"Exponential Normal Monthly VaR 99%",,,,"m",'PBA Summary'!$F$2,'PBA Summary'!$G$2)</f>
        <v>-1.8062760111564321E-2</v>
      </c>
      <c r="FA16" s="34" cm="1">
        <f t="array" ref="FA16">_xll.ASAssetStatistic($A16,"Exponential Normal Monthly VaR 97%",,,,"m",'PBA Summary'!$F$2,'PBA Summary'!$G$2)</f>
        <v>-1.1923871340349342E-2</v>
      </c>
      <c r="FB16" s="34" cm="1">
        <f t="array" ref="FB16">_xll.ASAssetStatistic($A16,"Exponential Normal Monthly VaR 95%",,,,"m",'PBA Summary'!$F$2,'PBA Summary'!$G$2)</f>
        <v>-8.6730679878640748E-3</v>
      </c>
      <c r="FC16" s="34" cm="1">
        <f t="array" ref="FC16">_xll.ASAssetStatistic($A16,"Exponential Normal Monthly VaR 90%",,,,"m",'PBA Summary'!$F$2,'PBA Summary'!$G$2)</f>
        <v>-3.667457861167258E-3</v>
      </c>
      <c r="FD16" s="34" t="str" cm="1">
        <f t="array" ref="FD16">_xll.ASAssetStatistic($A16,"Exponential Normal weekly VaR 99%",,,,"m",'PBA Summary'!$F$2,'PBA Summary'!$G$2)</f>
        <v/>
      </c>
      <c r="FE16" s="34" t="str" cm="1">
        <f t="array" ref="FE16">_xll.ASAssetStatistic($A16,"Exponential Normal weekly VaR 97%",,,,"m",'PBA Summary'!$F$2,'PBA Summary'!$G$2)</f>
        <v/>
      </c>
      <c r="FF16" s="34" t="str" cm="1">
        <f t="array" ref="FF16">_xll.ASAssetStatistic($A16,"Exponential Normal weekly VaR 95%",,,,"m",'PBA Summary'!$F$2,'PBA Summary'!$G$2)</f>
        <v/>
      </c>
      <c r="FG16" s="34" t="str" cm="1">
        <f t="array" ref="FG16">_xll.ASAssetStatistic($A16,"Exponential Normal weekly VaR 90%",,,,"m",'PBA Summary'!$F$2,'PBA Summary'!$G$2)</f>
        <v/>
      </c>
      <c r="FH16" s="34" t="str" cm="1">
        <f t="array" ref="FH16">_xll.ASAssetStatistic($A16,"Exponential Normal daily VaR 99%",,,,"m",'PBA Summary'!$F$2,'PBA Summary'!$G$2)</f>
        <v/>
      </c>
      <c r="FI16" s="34" t="str" cm="1">
        <f t="array" ref="FI16">_xll.ASAssetStatistic($A16,"Exponential Normal daily VaR 97%",,,,"m",'PBA Summary'!$F$2,'PBA Summary'!$G$2)</f>
        <v/>
      </c>
      <c r="FJ16" s="34" t="str" cm="1">
        <f t="array" ref="FJ16">_xll.ASAssetStatistic($A16,"Exponential Normal daily VaR 95%",,,,"m",'PBA Summary'!$F$2,'PBA Summary'!$G$2)</f>
        <v/>
      </c>
      <c r="FK16" s="34" t="str" cm="1">
        <f t="array" ref="FK16">_xll.ASAssetStatistic($A16,"Exponential Normal daily VaR 90%",,,,"m",'PBA Summary'!$F$2,'PBA Summary'!$G$2)</f>
        <v/>
      </c>
      <c r="FL16" s="34" cm="1">
        <f t="array" ref="FL16">_xll.ASAssetStatistic($A16,"Bias Ratio",,,,"m",'PBA Summary'!$F$2,'PBA Summary'!$G$2)</f>
        <v>4</v>
      </c>
      <c r="FM16" s="11" t="str" cm="1">
        <f t="array" ref="FM16">_xll.ASAssetInfo($A16,"Manager's Biography")</f>
        <v/>
      </c>
      <c r="FN16" s="11" cm="1">
        <f t="array" ref="FN16">_xll.ASAssetInfo($A16,"Investment Min")</f>
        <v>0</v>
      </c>
      <c r="FO16" s="11" t="str" cm="1">
        <f t="array" ref="FO16">_xll.ASAssetInfo($A16,"Auditor")</f>
        <v/>
      </c>
      <c r="FP16" s="11" t="str" cm="1">
        <f t="array" ref="FP16">_xll.ASAssetInfo($A16,"Custodian")</f>
        <v/>
      </c>
      <c r="FQ16" s="11" t="str" cm="1">
        <f t="array" ref="FQ16">_xll.ASAssetInfo($A16,"Administrator")</f>
        <v/>
      </c>
      <c r="FR16" s="14" cm="1">
        <f t="array" ref="FR16">_xll.ASAssetInfo($A16,"Proxy 1 Start Date")</f>
        <v>41816</v>
      </c>
      <c r="FS16" s="14" cm="1">
        <f t="array" ref="FS16">_xll.ASAssetInfo($A16,"Proxy 1 End Date")</f>
        <v>44134</v>
      </c>
      <c r="FT16" s="14" t="str" cm="1">
        <f t="array" ref="FT16">_xll.ASAssetInfo($A16,"Proxy 2 Start Date")</f>
        <v/>
      </c>
      <c r="FU16" s="14" t="str" cm="1">
        <f t="array" ref="FU16">_xll.ASAssetInfo($A16,"Proxy 2 End Date")</f>
        <v/>
      </c>
      <c r="FV16" s="14" t="str" cm="1">
        <f t="array" ref="FV16">_xll.ASAssetInfo($A16,"Proxy 3 Start Date")</f>
        <v/>
      </c>
      <c r="FW16" s="14" t="str" cm="1">
        <f t="array" ref="FW16">_xll.ASAssetInfo($A16,"Proxy 3 End Date")</f>
        <v/>
      </c>
      <c r="FX16" s="14" t="str" cm="1">
        <f t="array" ref="FX16">_xll.ASAssetInfo($A16,"Fund Domicile")</f>
        <v/>
      </c>
      <c r="FY16" s="14" t="str" cm="1">
        <f t="array" ref="FY16">_xll.ASAssetInfo($A16,"Fund Contact")</f>
        <v/>
      </c>
      <c r="FZ16" s="14" t="str" cm="1">
        <f t="array" ref="FZ16">_xll.ASAssetInfo($A16,"Fund Contact Email")</f>
        <v/>
      </c>
      <c r="GA16" s="14" t="str" cm="1">
        <f t="array" ref="GA16">_xll.ASAssetInfo($A16,"Fund Contact Number")</f>
        <v/>
      </c>
      <c r="GB16" s="14" t="str" cm="1">
        <f t="array" ref="GB16">_xll.ASAssetInfo($A16,"City")</f>
        <v/>
      </c>
      <c r="GC16" s="14" t="str" cm="1">
        <f t="array" ref="GC16">_xll.ASAssetInfo($A16,"Leverage")</f>
        <v/>
      </c>
      <c r="GD16" s="14" t="str" cm="1">
        <f t="array" ref="GD16">_xll.ASAssetInfo($A16,"Lockup 1 Duration")</f>
        <v>0 Months</v>
      </c>
      <c r="GE16" s="14" t="str" cm="1">
        <f t="array" ref="GE16">_xll.ASAssetInfo($A16,"Lockup 2 Duration")</f>
        <v>0 Months</v>
      </c>
      <c r="GF16" s="14" t="str" cm="1">
        <f t="array" ref="GF16">_xll.ASAssetInfo($A16,"Lockup 3 Duration")</f>
        <v>0 Months</v>
      </c>
      <c r="GG16" s="31" t="str" cm="1">
        <f t="array" ref="GG16">_xll.ASAssetInfo($A16,"Fund Level Gate")</f>
        <v/>
      </c>
      <c r="GH16" s="31" t="str" cm="1">
        <f t="array" ref="GH16">_xll.ASAssetInfo($A16,"Fund Level Gate Frequency")</f>
        <v>Unknown</v>
      </c>
      <c r="GI16" s="35" cm="1">
        <f t="array" ref="GI16">_xll.ASAssetInfo($A16,"Payment 2 (%)")</f>
        <v>0</v>
      </c>
      <c r="GJ16" s="35" t="str" cm="1">
        <f t="array" ref="GJ16">_xll.ASAssetInfo($A16,"Payment 2 (days)")</f>
        <v/>
      </c>
      <c r="GK16" s="35" t="str" cm="1">
        <f t="array" ref="GK16">_xll.ASAssetInfo($A16,"Payment 2 (Paid After)")</f>
        <v>NAV Date</v>
      </c>
      <c r="GL16" s="35" cm="1">
        <f t="array" ref="GL16">_xll.ASAssetInfo($A16,"Payment 3 (%)")</f>
        <v>0</v>
      </c>
      <c r="GM16" s="36" t="str" cm="1">
        <f t="array" ref="GM16">_xll.ASAssetInfo($A16,"Payment 3 (Days)")</f>
        <v/>
      </c>
      <c r="GN16" s="35" t="str" cm="1">
        <f t="array" ref="GN16">_xll.ASAssetInfo($A16,"Payment 3 (Paid After)")</f>
        <v>NAV Date</v>
      </c>
      <c r="GO16" s="35" cm="1">
        <f t="array" ref="GO16">_xll.ASAssetInfo($A16,"Payment 4 (%)")</f>
        <v>0</v>
      </c>
      <c r="GP16" s="36" t="str" cm="1">
        <f t="array" ref="GP16">_xll.ASAssetInfo($A16,"Payment 4 (days)")</f>
        <v/>
      </c>
      <c r="GQ16" s="35" t="str" cm="1">
        <f t="array" ref="GQ16">_xll.ASAssetInfo($A16,"Payment 4 (Paid After)")</f>
        <v>NAV Date</v>
      </c>
      <c r="GR16" s="11" cm="1">
        <f t="array" ref="GR16">_xll.ASAssetInfo($A16,"Payment 1 (%)")</f>
        <v>1</v>
      </c>
      <c r="GS16" s="35" cm="1">
        <f t="array" ref="GS16">_xll.ASAssetInfo($A16,"Lockup 1 Fee")</f>
        <v>0</v>
      </c>
      <c r="GT16" s="35" cm="1">
        <f t="array" ref="GT16">_xll.ASAssetInfo($A16,"Lockup 2 Fee")</f>
        <v>0</v>
      </c>
      <c r="GU16" s="35" cm="1">
        <f t="array" ref="GU16">_xll.ASAssetInfo($A16,"Lockup 3 Fee")</f>
        <v>0</v>
      </c>
      <c r="GV16" s="35" t="str" cm="1">
        <f t="array" ref="GV16">_xll.ASAssetInfo($A16,"Lockup 1 type")</f>
        <v>None</v>
      </c>
      <c r="GW16" s="35" t="str" cm="1">
        <f t="array" ref="GW16">_xll.ASAssetInfo($A16,"Lockup 2 type")</f>
        <v>None</v>
      </c>
      <c r="GX16" s="35" t="str" cm="1">
        <f t="array" ref="GX16">_xll.ASAssetInfo($A16,"Lockup 3 type")</f>
        <v>None</v>
      </c>
      <c r="GY16" s="35" t="str" cm="1">
        <f t="array" ref="GY16">_xll.ASAssetInfo($A16,"Redemption 1 type")</f>
        <v>Calendar</v>
      </c>
      <c r="GZ16" s="35" t="str" cm="1">
        <f t="array" ref="GZ16">_xll.ASAssetInfo($A16,"Redemption 2 type")</f>
        <v>Calendar</v>
      </c>
      <c r="HA16" s="35" t="str" cm="1">
        <f t="array" ref="HA16">_xll.ASAssetInfo($A16,"Redemption 3 type")</f>
        <v>Calendar</v>
      </c>
      <c r="HB16" s="35" t="str" cm="1">
        <f t="array" ref="HB16">_xll.ASAssetInfo($A16,"Redemption 1 Fee")</f>
        <v/>
      </c>
      <c r="HC16" s="35" t="str" cm="1">
        <f t="array" ref="HC16">_xll.ASAssetInfo($A16,"Redemption 2 Fee")</f>
        <v/>
      </c>
      <c r="HD16" s="35" t="str" cm="1">
        <f t="array" ref="HD16">_xll.ASAssetInfo($A16,"Redemption 3 Fee")</f>
        <v/>
      </c>
      <c r="HE16" s="35" t="str" cm="1">
        <f t="array" ref="HE16">_xll.ASAssetInfo($A16,"Redemption 1 Frequency")</f>
        <v>Unknown</v>
      </c>
      <c r="HF16" s="35" t="str" cm="1">
        <f t="array" ref="HF16">_xll.ASAssetInfo($A16,"Redemption 2 Frequency")</f>
        <v>Unknown</v>
      </c>
      <c r="HG16" s="35" t="str" cm="1">
        <f t="array" ref="HG16">_xll.ASAssetInfo($A16,"Redemption 3 Frequency")</f>
        <v>Unknown</v>
      </c>
      <c r="HH16" s="35" t="str" cm="1">
        <f t="array" ref="HH16">_xll.ASAssetInfo($A16,"Asset Calendar")</f>
        <v>[Default]</v>
      </c>
      <c r="HI16" s="16" cm="1">
        <f t="array" ref="HI16">_xll.ASAssetStatistic($A16,"Max Second Drawdown",,,,"m",'PBA Summary'!$F$2,'PBA Summary'!$G$2)</f>
        <v>-1.4312499564365755E-2</v>
      </c>
      <c r="HJ16" s="37" cm="1">
        <f t="array" ref="HJ16">_xll.ASAssetStatistic($A16,"Date Max Second Drawdown",,,,"m",'PBA Summary'!$F$2,'PBA Summary'!$G$2)</f>
        <v>43616</v>
      </c>
      <c r="HK16" s="37" t="str" cm="1">
        <f t="array" ref="HK16">_xll.ASAssetInfo($A16,HK$1)</f>
        <v>BK4137737</v>
      </c>
      <c r="HL16" s="37" t="str" cm="1">
        <f t="array" ref="HL16">_xll.ASAssetInfo($A16,HL$1)</f>
        <v/>
      </c>
      <c r="HM16" s="34" cm="1">
        <f t="array" ref="HM16">_xll.ASAssetInfo($A16,HM$1)</f>
        <v>104.161</v>
      </c>
      <c r="HN16" s="37" t="str" cm="1">
        <f t="array" ref="HN16">_xll.ASAssetInfo($A16,HN$1)</f>
        <v/>
      </c>
      <c r="HO16" s="15" cm="1">
        <f t="array" ref="HO16">_xll.ASAssetInfo($A16,HO$1)</f>
        <v>4.3749999999999997E-2</v>
      </c>
      <c r="HP16" s="15" cm="1">
        <f t="array" ref="HP16">_xll.ASAssetInfo($A16,HP$1)</f>
        <v>3.7086058554627252E-2</v>
      </c>
      <c r="HQ16" s="34" t="str" cm="1">
        <f t="array" ref="HQ16">_xll.ASAssetInfo($A16,HQ$1)</f>
        <v/>
      </c>
      <c r="HR16" s="37" t="str" cm="1">
        <f t="array" ref="HR16">_xll.ASAssetInfo($A16,HR$1)</f>
        <v/>
      </c>
      <c r="HS16" s="37" t="str" cm="1">
        <f t="array" ref="HS16">_xll.ASAssetInfo($A16,HS$1)</f>
        <v/>
      </c>
      <c r="HT16" s="37" t="str" cm="1">
        <f t="array" ref="HT16">_xll.ASAssetInfo($A16,HT$1)</f>
        <v>BBB-</v>
      </c>
      <c r="HU16" s="37" t="str" cm="1">
        <f t="array" ref="HU16">_xll.ASAssetInfo($A16,HU$1)</f>
        <v>Netherlands</v>
      </c>
      <c r="HV16" s="37" t="str" cm="1">
        <f t="array" ref="HV16">_xll.ASAssetInfo($A16,HV$1)</f>
        <v/>
      </c>
      <c r="HW16" s="37" t="str" cm="1">
        <f t="array" ref="HW16">_xll.ASAssetInfo($A16,HW$1)</f>
        <v/>
      </c>
    </row>
    <row r="17" spans="1:231" s="11" customFormat="1" x14ac:dyDescent="0.25">
      <c r="A17" t="s">
        <v>296</v>
      </c>
      <c r="B17" cm="1">
        <f t="array" ref="B17">_xll.ASPortfolioWeights('PBA Summary'!$C$2,"OR",$A17)</f>
        <v>0</v>
      </c>
      <c r="C17" cm="1">
        <f t="array" ref="C17">_xll.ASAssetStatistic($A17,"Annualized Return since inception",,,,"m",_xll.ASAssetInfo($A17,"Start Date"),_xll.ASAssetInfo($A17,"Last Return Date"))</f>
        <v>0.19333717937743611</v>
      </c>
      <c r="D17" cm="1">
        <f t="array" ref="D17">_xll.ASAssetStatistic($A17,"Annualized Return",,,,"m",'PBA Summary'!$F$2,'PBA Summary'!$G$2)</f>
        <v>0.15938718396463791</v>
      </c>
      <c r="E17" s="19" cm="1">
        <f t="array" ref="E17">_xll.ASAssetStatistic($A17,"Equilibrium Annual Return",,,,"m",'PBA Summary'!$F$2,'PBA Summary'!$G$2)</f>
        <v>0.53338035397488004</v>
      </c>
      <c r="F17" cm="1">
        <f t="array" ref="F17">_xll.ASAssetStatistic($A17,"Annualized Volatility (Inception)",,,,"m",_xll.ASAssetInfo($A17,"Start Date"),_xll.ASAssetInfo($A17,"Last Return Date"))</f>
        <v>0.19339949189226699</v>
      </c>
      <c r="G17" cm="1">
        <f t="array" ref="G17">_xll.ASAssetStatistic($A17,"Annualized Volatility",,,,"m",'PBA Summary'!$F$2,'PBA Summary'!$G$2)</f>
        <v>0.20048893553962513</v>
      </c>
      <c r="H17" s="20" cm="1">
        <f t="array" ref="H17">_xll.ASAssetStatistic($A17,"Skewness",,,,"m",'PBA Summary'!$F$2,'PBA Summary'!$G$2)</f>
        <v>-0.26381729806256443</v>
      </c>
      <c r="I17" s="20" cm="1">
        <f t="array" ref="I17">_xll.ASAssetStatistic($A17,"Excess kurtosis",,,,"m",'PBA Summary'!$F$2,'PBA Summary'!$G$2)</f>
        <v>-0.53643554139088534</v>
      </c>
      <c r="J17" s="19" cm="1">
        <f t="array" ref="J17">_xll.ASAssetStatistic($A17,"Return Last 1 month",,,,"m",'PBA Summary'!$F$2,'PBA Summary'!$G$2)</f>
        <v>1.0695187165775666E-2</v>
      </c>
      <c r="K17" s="19" cm="1">
        <f t="array" ref="K17">_xll.ASAssetStatistic($A17,"Return Last 3 months",,,,"m",'PBA Summary'!$F$2,'PBA Summary'!$G$2)</f>
        <v>0.11241907004120089</v>
      </c>
      <c r="L17" s="19" cm="1">
        <f t="array" ref="L17">_xll.ASAssetStatistic($A17,"Return Last 1 year",,,,"m",'PBA Summary'!$F$2,'PBA Summary'!$G$2)</f>
        <v>0.17318435754189965</v>
      </c>
      <c r="M17" s="19" cm="1">
        <f t="array" ref="M17">_xll.ASAssetStatistic($A17,"Year-to-date Return",,,,"m",'PBA Summary'!$F$2,'PBA Summary'!$G$2)</f>
        <v>1.0695187165775666E-2</v>
      </c>
      <c r="N17" s="19" cm="1">
        <f t="array" ref="N17">_xll.ASAssetStatistic($A17,"Annualized Return",,,,"m",EOMONTH('PBA Summary'!$G$2,-2),'PBA Summary'!$G$2)</f>
        <v>0.53134731436058269</v>
      </c>
      <c r="O17" s="19" t="str" cm="1">
        <f t="array" ref="O17">_xll.ASAssetStatistic($A17,"Annualized Return Last 3 years",,,,"m",'PBA Summary'!$F$2,'PBA Summary'!$G$2)</f>
        <v/>
      </c>
      <c r="P17" s="19" t="str" cm="1">
        <f t="array" ref="P17">_xll.ASAssetStatistic($A17,"Annualized Return Last 5 years",,,,"m",'PBA Summary'!$F$2,'PBA Summary'!$G$2)</f>
        <v/>
      </c>
      <c r="Q17" s="19" cm="1">
        <f t="array" ref="Q17">_xll.ASAssetStatistic($A17,"Annualized Volatility Last 1 year",,,,"m",'PBA Summary'!$F$2,'PBA Summary'!$G$2)</f>
        <v>0.17231937809120018</v>
      </c>
      <c r="R17" s="19" t="str" cm="1">
        <f t="array" ref="R17">_xll.ASAssetStatistic($A17,"Annualized Volatility Last 3 years",,,,"m",'PBA Summary'!$F$2,'PBA Summary'!$G$2)</f>
        <v/>
      </c>
      <c r="S17" s="19" t="str" cm="1">
        <f t="array" ref="S17">_xll.ASAssetStatistic($A17,"Annualized Volatility Last 5 years",,,,"m",'PBA Summary'!$F$2,'PBA Summary'!$G$2)</f>
        <v/>
      </c>
      <c r="T17" s="19" cm="1">
        <f t="array" ref="T17">_xll.ASAssetStatistic($A17,"Normal monthly VaR 99%",,,,"m",'PBA Summary'!$F$2,'PBA Summary'!$G$2)</f>
        <v>-0.12068028151564446</v>
      </c>
      <c r="U17" s="19" cm="1">
        <f t="array" ref="U17">_xll.ASAssetStatistic($A17,"Modified monthly VaR 99%",,,,"m",'PBA Summary'!$F$2,'PBA Summary'!$G$2)</f>
        <v>-0.12313330631914922</v>
      </c>
      <c r="V17" s="19" cm="1">
        <f t="array" ref="V17">_xll.ASAssetStatistic($A17,"Conditional monthly VaR 99%",,,,"m",'PBA Summary'!$F$2,'PBA Summary'!$G$2)</f>
        <v>-8.7994971715901982E-2</v>
      </c>
      <c r="W17" s="19" cm="1">
        <f t="array" ref="W17">_xll.ASAssetStatistic($A17,"Normal monthly VaR 97%",,,,"m",'PBA Summary'!$F$2,'PBA Summary'!$G$2)</f>
        <v>-9.4893306877548919E-2</v>
      </c>
      <c r="X17" s="19" cm="1">
        <f t="array" ref="X17">_xll.ASAssetStatistic($A17,"Modified monthly VaR 97%",,,,"m",'PBA Summary'!$F$2,'PBA Summary'!$G$2)</f>
        <v>-9.9606312345260975E-2</v>
      </c>
      <c r="Y17" s="19" cm="1">
        <f t="array" ref="Y17">_xll.ASAssetStatistic($A17,"Conditional monthly VaR 97%",,,,"m",'PBA Summary'!$F$2,'PBA Summary'!$G$2)</f>
        <v>-8.7994971715901982E-2</v>
      </c>
      <c r="Z17" s="19" cm="1">
        <f t="array" ref="Z17">_xll.ASAssetStatistic($A17,"Normal monthly VaR 95%",,,,"m",'PBA Summary'!$F$2,'PBA Summary'!$G$2)</f>
        <v>-8.123800430926624E-2</v>
      </c>
      <c r="AA17" s="19" cm="1">
        <f t="array" ref="AA17">_xll.ASAssetStatistic($A17,"Modified monthly VaR 95%",,,,"m",'PBA Summary'!$F$2,'PBA Summary'!$G$2)</f>
        <v>-8.612914137520572E-2</v>
      </c>
      <c r="AB17" s="19" cm="1">
        <f t="array" ref="AB17">_xll.ASAssetStatistic($A17,"Conditional monthly VaR 95%",,,,"m",'PBA Summary'!$F$2,'PBA Summary'!$G$2)</f>
        <v>-8.7994971715901982E-2</v>
      </c>
      <c r="AC17" s="66" cm="1">
        <f t="array" ref="AC17">_xll.ASAssetStatistic($A17,"Correlation to Benchmark 1","MSCI ACWI Index",,,"m",'PBA Summary'!$F$2,'PBA Summary'!$G$2)</f>
        <v>0.93628948289021785</v>
      </c>
      <c r="AD17" s="38" cm="1">
        <f t="array" ref="AD17">IF('PBA Summary'!$D$3="","",_xll.ASAssetStatistic($A17,"Correlation to Benchmark 1",'PBA Summary'!$D$3,,,"m",'PBA Summary'!$F$2,'PBA Summary'!$G$2))</f>
        <v>0.93037561415562076</v>
      </c>
      <c r="AE17" s="21" cm="1">
        <f t="array" ref="AE17">IF('PBA Summary'!$D$2="","",_xll.ASAssetStatistic($A17,"Bull correlation to Benchmark 1",'PBA Summary'!$D$2,,,"m",'PBA Summary'!$F$2,'PBA Summary'!$G$2))</f>
        <v>0.9026648922660826</v>
      </c>
      <c r="AF17" s="21" cm="1">
        <f t="array" ref="AF17">IF('PBA Summary'!$D$2="","",_xll.ASAssetStatistic($A17,"Bear correlation to Benchmark 1",'PBA Summary'!$D$2,,,"m",'PBA Summary'!$F$2,'PBA Summary'!$G$2))</f>
        <v>0.89348667669218618</v>
      </c>
      <c r="AG17" s="21" cm="1">
        <f t="array" ref="AG17">IF('PBA Summary'!$D$3="","",_xll.ASAssetStatistic($A17,"Bull correlation to Benchmark 1",'PBA Summary'!$D$3,,,"m",'PBA Summary'!$F$2,'PBA Summary'!$G$2))</f>
        <v>0.9026648922660826</v>
      </c>
      <c r="AH17" s="21" cm="1">
        <f t="array" ref="AH17">IF('PBA Summary'!$D$3="","",_xll.ASAssetStatistic($A17,"Bear correlation to Benchmark 1",'PBA Summary'!$D$3,,,"m",'PBA Summary'!$F$2,'PBA Summary'!$G$2))</f>
        <v>0.89348667669218618</v>
      </c>
      <c r="AI17" s="24" cm="1">
        <f t="array" ref="AI17">IF('PBA Summary'!$D$2="","",_xll.ASAssetStatistic($A17,"Beta to Benchmark 1",'PBA Summary'!$D$2,,,"m",'PBA Summary'!$F$2,'PBA Summary'!$G$2))</f>
        <v>1.2149893220777199</v>
      </c>
      <c r="AJ17" s="24" t="str" cm="1">
        <f t="array" ref="AJ17">IF('PBA Summary'!$D$2="","",_xll.ASAssetStatistic($A17,"Beta to Benchmark 1 Last 3 years",'PBA Summary'!$D$2,,,"m",'PBA Summary'!$F$2,'PBA Summary'!$G$2))</f>
        <v/>
      </c>
      <c r="AK17" s="24" t="str" cm="1">
        <f t="array" ref="AK17">IF('PBA Summary'!$D$2="","",_xll.ASAssetStatistic($A17,"Beta to Benchmark 1 Last 5 years",'PBA Summary'!$D$2,,,"m",'PBA Summary'!$F$2,'PBA Summary'!$G$2))</f>
        <v/>
      </c>
      <c r="AL17" s="25" cm="1">
        <f t="array" ref="AL17">IF('PBA Summary'!$D$3="","",_xll.ASAssetStatistic($A17,"Beta to Benchmark 1",'PBA Summary'!$D$3,,,"m",'PBA Summary'!$F$2,'PBA Summary'!$G$2))</f>
        <v>1.2149893220777199</v>
      </c>
      <c r="AM17" s="25" t="str" cm="1">
        <f t="array" ref="AM17">IF('PBA Summary'!$D$3="","",_xll.ASAssetStatistic($A17,"Beta to Benchmark 1 Last 3 years",'PBA Summary'!$D$3,,,"m",'PBA Summary'!$F$2,'PBA Summary'!$G$2))</f>
        <v/>
      </c>
      <c r="AN17" s="25" t="str" cm="1">
        <f t="array" ref="AN17">IF('PBA Summary'!$D$3="","",_xll.ASAssetStatistic($A17,"Beta to Benchmark 1 Last 5 years",'PBA Summary'!$D$3,,,"m",'PBA Summary'!$F$2,'PBA Summary'!$G$2))</f>
        <v/>
      </c>
      <c r="AO17" s="25" cm="1">
        <f t="array" ref="AO17">IF('PBA Summary'!$D$2="","",_xll.ASAssetStatistic($A17,"Bull Beta to Benchmark 1",'PBA Summary'!$D$2,,,"m",'PBA Summary'!$F$2,'PBA Summary'!$G$2))</f>
        <v>1.7579655430324754</v>
      </c>
      <c r="AP17" s="25" cm="1">
        <f t="array" ref="AP17">IF('PBA Summary'!$D$2="","",_xll.ASAssetStatistic($A17,"Bear Beta to Benchmark 1",'PBA Summary'!$D$2,,,"m",'PBA Summary'!$F$2,'PBA Summary'!$G$2))</f>
        <v>0.95012523063543952</v>
      </c>
      <c r="AQ17" s="25" cm="1">
        <f t="array" ref="AQ17">IF('PBA Summary'!$D$3="","",_xll.ASAssetStatistic($A17,"Bull Beta to Benchmark 1",'PBA Summary'!$D$3,,,"m",'PBA Summary'!$F$2,'PBA Summary'!$G$2))</f>
        <v>1.7579655430324754</v>
      </c>
      <c r="AR17" s="25" cm="1">
        <f t="array" ref="AR17">IF('PBA Summary'!$D$3="","",_xll.ASAssetStatistic($A17,"Bear Beta to Benchmark 1",'PBA Summary'!$D$3,,,"m",'PBA Summary'!$F$2,'PBA Summary'!$G$2))</f>
        <v>0.95012523063543952</v>
      </c>
      <c r="AS17" s="25" cm="1">
        <f t="array" ref="AS17">_xll.ASAssetStatistic($A17,"Annual Sharpe Ratio (Rf)",,,'PBA Summary'!$H$2,"m",'PBA Summary'!$F$2,'PBA Summary'!$G$2)</f>
        <v>0.78252290353265075</v>
      </c>
      <c r="AT17" s="25" t="str" cm="1">
        <f t="array" ref="AT17">_xll.ASAssetStatistic($A17,"Annual Sharpe Ratio (Rf) Last 3 years",,,'PBA Summary'!$H$2,"m",'PBA Summary'!$F$2,'PBA Summary'!$G$2)</f>
        <v/>
      </c>
      <c r="AU17" s="25" t="str" cm="1">
        <f t="array" ref="AU17">_xll.ASAssetStatistic($A17,"Annual Sharpe Ratio (Rf) Last 5 years",,,'PBA Summary'!$H$2,"m",'PBA Summary'!$F$2,'PBA Summary'!$G$2)</f>
        <v/>
      </c>
      <c r="AV17" s="18" cm="1">
        <f t="array" ref="AV17">_xll.ASAssetStatistic($A17,"Ann. Downside Deviation (vs 0%)",,,'PBA Summary'!$H$2,"m",'PBA Summary'!$F$2,'PBA Summary'!$G$2)</f>
        <v>0.11843869135984744</v>
      </c>
      <c r="AW17" s="18" cm="1">
        <f t="array" ref="AW17">_xll.ASAssetStatistic($A17,"Ann. Downside Deviation (vs Rf)",,,'PBA Summary'!$H$2,"m",'PBA Summary'!$F$2,'PBA Summary'!$G$2)</f>
        <v>0.11879149131397224</v>
      </c>
      <c r="AX17" s="39" cm="1">
        <f t="array" ref="AX17">_xll.ASAssetStatistic($A17,"Annual Treynor ratio",,,'PBA Summary'!$H$2,"m",'PBA Summary'!$F$2,'PBA Summary'!$G$2)</f>
        <v>4.8860107172268692E-2</v>
      </c>
      <c r="AY17" s="26" cm="1">
        <f t="array" ref="AY17">_xll.ASAssetStatistic($A17,"Annual Sortino Ratio (vs 0%)",,,'PBA Summary'!$H$2,"m",'PBA Summary'!$F$2,'PBA Summary'!$G$2)</f>
        <v>1.3457357737969118</v>
      </c>
      <c r="AZ17" s="26" cm="1">
        <f t="array" ref="AZ17">_xll.ASAssetStatistic($A17,"Annual Sortino Ratio (vs Rf)",,,'PBA Summary'!$H$2,"m",'PBA Summary'!$F$2,'PBA Summary'!$G$2)</f>
        <v>1.3206937822674245</v>
      </c>
      <c r="BA17" s="26" cm="1">
        <f t="array" ref="BA17">_xll.ASAssetStatistic($A17,"Sterling ratio",,,'PBA Summary'!$H$2,"m",'PBA Summary'!$F$2,'PBA Summary'!$G$2)</f>
        <v>0.86414738294080851</v>
      </c>
      <c r="BB17" s="26" cm="1">
        <f t="array" ref="BB17">_xll.ASAssetStatistic($A17,"Calmar ratio",,,'PBA Summary'!$H$2,"m",'PBA Summary'!$F$2,'PBA Summary'!$G$2)</f>
        <v>1.8113214977695631</v>
      </c>
      <c r="BC17" s="26" cm="1">
        <f t="array" ref="BC17">_xll.ASAssetStatistic($A17,"Hurst index",,,'PBA Summary'!$H$2,"m",'PBA Summary'!$F$2,'PBA Summary'!$G$2)</f>
        <v>0.39480083178028097</v>
      </c>
      <c r="BD17" s="26" cm="1">
        <f t="array" ref="BD17">_xll.ASAssetStatistic($A17,"Omega (Threshold 1)",,,'PBA Summary'!$H$2,"m",'PBA Summary'!$F$2,'PBA Summary'!$G$2)</f>
        <v>1.8343994854672303</v>
      </c>
      <c r="BE17" s="26" cm="1">
        <f t="array" ref="BE17">_xll.ASAssetStatistic($A17,"Omega (Threshold 2)",,,'PBA Summary'!$H$2,"m",'PBA Summary'!$F$2,'PBA Summary'!$G$2)</f>
        <v>1.4880753087464604</v>
      </c>
      <c r="BF17" s="26" cm="1">
        <f t="array" ref="BF17">_xll.ASAssetStatistic($A17,"Omega (Threshold 3)",,,'PBA Summary'!$H$2,"m",'PBA Summary'!$F$2,'PBA Summary'!$G$2)</f>
        <v>1.1977526402937986</v>
      </c>
      <c r="BG17" s="26" cm="1">
        <f t="array" ref="BG17">_xll.ASAssetStatistic($A17,"Omega (Threshold 4)",,,'PBA Summary'!$H$2,"m",'PBA Summary'!$F$2,'PBA Summary'!$G$2)</f>
        <v>0.9534814823075517</v>
      </c>
      <c r="BH17" s="26" cm="1">
        <f t="array" ref="BH17">_xll.ASAssetStatistic($A17,"Omega (Threshold 5)",,,'PBA Summary'!$H$2,"m",'PBA Summary'!$F$2,'PBA Summary'!$G$2)</f>
        <v>0.75917052860402223</v>
      </c>
      <c r="BI17" s="26" t="str" cm="1">
        <f t="array" ref="BI17">_xll.ASAssetStatistic($A17,"Autocorrelated (illiquid)",,,'PBA Summary'!$H$2,"m",'PBA Summary'!$F$2,'PBA Summary'!$G$2)</f>
        <v>No</v>
      </c>
      <c r="BJ17" s="27" cm="1">
        <f t="array" ref="BJ17">_xll.ASAssetStatistic($A17,"% months in Run Up",,,'PBA Summary'!$H$2,"m",'PBA Summary'!$F$2,'PBA Summary'!$G$2)</f>
        <v>0.66666666666666674</v>
      </c>
      <c r="BK17" s="27" cm="1">
        <f t="array" ref="BK17">_xll.ASAssetStatistic($A17,"% months in Drawdown",,,'PBA Summary'!$H$2,"m",'PBA Summary'!$F$2,'PBA Summary'!$G$2)</f>
        <v>0.33333333333333331</v>
      </c>
      <c r="BL17" s="18" cm="1">
        <f t="array" ref="BL17">IF('PBA Summary'!$D$2="","",_xll.ASAssetStatistic($A17,"Bull Beta to Benchmark 1",'PBA Summary'!$D$2,,,"m",'PBA Summary'!$F$2,'PBA Summary'!$G$2))</f>
        <v>1.7579655430324754</v>
      </c>
      <c r="BM17" s="18" cm="1">
        <f t="array" ref="BM17">IF('PBA Summary'!$D$2="","",_xll.ASAssetStatistic($A17,"Average return during bear Benchmark 1",'PBA Summary'!$D$2,,,"m",'PBA Summary'!$F$2,'PBA Summary'!$G$2))</f>
        <v>-5.1305413636731023E-2</v>
      </c>
      <c r="BN17" s="18" cm="1">
        <f t="array" ref="BN17">IF('PBA Summary'!$D$3="","",_xll.ASAssetStatistic($A17,"Average return during bull Benchmark 1",'PBA Summary'!$D$3,,,"m",'PBA Summary'!$F$2,'PBA Summary'!$G$2))</f>
        <v>3.7692638466395124E-2</v>
      </c>
      <c r="BO17" s="18" cm="1">
        <f t="array" ref="BO17">IF('PBA Summary'!$D$3="","",_xll.ASAssetStatistic($A17,"Average return during bear Benchmark 1",'PBA Summary'!$D$3,,,"m",'PBA Summary'!$F$2,'PBA Summary'!$G$2))</f>
        <v>-5.1305413636731023E-2</v>
      </c>
      <c r="BP17" s="27" cm="1">
        <f t="array" ref="BP17">_xll.ASAssetStatistic($A17,"Maximum consecutive gain",,,'PBA Summary'!$H$2,"m",'PBA Summary'!$F$2,'PBA Summary'!$G$2)</f>
        <v>0.24052377670572023</v>
      </c>
      <c r="BQ17" s="27" cm="1">
        <f t="array" ref="BQ17">_xll.ASAssetStatistic($A17,"Maximum consecutive loss",,,'PBA Summary'!$H$2,"m",'PBA Summary'!$F$2,'PBA Summary'!$G$2)</f>
        <v>-8.7994971715901982E-2</v>
      </c>
      <c r="BR17" s="27" cm="1">
        <f t="array" ref="BR17">_xll.ASAssetStatistic($A17,"Max monthly gain",,,'PBA Summary'!$H$2,"m",'PBA Summary'!$F$2,'PBA Summary'!$G$2)</f>
        <v>0.11026878015161956</v>
      </c>
      <c r="BS17" s="27" cm="1">
        <f t="array" ref="BS17">_xll.ASAssetStatistic($A17,"Max monthly loss",,,'PBA Summary'!$H$2,"m",'PBA Summary'!$F$2,'PBA Summary'!$G$2)</f>
        <v>-8.7994971715901982E-2</v>
      </c>
      <c r="BT17" s="27" cm="1">
        <f t="array" ref="BT17">_xll.ASAssetStatistic($A17,"Max drawdown",,,'PBA Summary'!$H$2,"m",'PBA Summary'!$F$2,'PBA Summary'!$G$2)</f>
        <v>-8.7994971715901982E-2</v>
      </c>
      <c r="BU17" s="28" cm="1">
        <f t="array" ref="BU17">_xll.ASAssetStatistic($A17,"Date Max drawdown",,,'PBA Summary'!$H$2,"m",'PBA Summary'!$F$2,'PBA Summary'!$G$2)</f>
        <v>43465</v>
      </c>
      <c r="BV17" s="28" cm="1">
        <f t="array" ref="BV17">_xll.ASAssetStatistic($A17,"Start Date Max Drawdown",,,'PBA Summary'!$H$2,"m",'PBA Summary'!$F$2,'PBA Summary'!$G$2)</f>
        <v>43465</v>
      </c>
      <c r="BW17" s="28" cm="1">
        <f t="array" ref="BW17">_xll.ASAssetStatistic($A17,"End Date Max Drawdown",,,'PBA Summary'!$H$2,"m",'PBA Summary'!$F$2,'PBA Summary'!$G$2)</f>
        <v>43465</v>
      </c>
      <c r="BX17" s="29" cm="1">
        <f t="array" ref="BX17">_xll.ASAssetStatistic($A17,"Max Time-under-water (months)",,,'PBA Summary'!$H$2,"m",'PBA Summary'!$F$2,'PBA Summary'!$G$2)</f>
        <v>6</v>
      </c>
      <c r="BY17" s="27" cm="1">
        <f t="array" ref="BY17">_xll.ASAssetStatistic($A17,"Max possible drawdown 99%",,,'PBA Summary'!$H$2,"m",'PBA Summary'!$F$2,'PBA Summary'!$G$2)</f>
        <v>-0.32464516429915552</v>
      </c>
      <c r="BZ17" s="27" cm="1">
        <f t="array" ref="BZ17">_xll.ASAssetStatistic($A17,"Max possible drawdown 99.9%",,,'PBA Summary'!$H$2,"m",'PBA Summary'!$F$2,'PBA Summary'!$G$2)</f>
        <v>-0.57285126821626964</v>
      </c>
      <c r="CA17" s="30" cm="1">
        <f t="array" ref="CA17">_xll.ASAssetStatistic($A17,"Max Possible Time-under-water 99% (months)",,,'PBA Summary'!$H$2,"m",'PBA Summary'!$F$2,'PBA Summary'!$G$2)</f>
        <v>93.022706014517894</v>
      </c>
      <c r="CB17" s="30" cm="1">
        <f t="array" ref="CB17">_xll.ASAssetStatistic($A17,"Max Possible Time-under-water 99.9% (months)",,,'PBA Summary'!$H$2,"m",'PBA Summary'!$F$2,'PBA Summary'!$G$2)</f>
        <v>164.14282722604037</v>
      </c>
      <c r="CC17" s="17" cm="1">
        <f t="array" ref="CC17">_xll.ASPortfolioReturnAttribution('PBA Summary'!$C$2,"OR",A17,"Last 1m",'PBA Summary'!$F$2,'PBA Summary'!$G$2)</f>
        <v>0</v>
      </c>
      <c r="CD17" s="11" t="str" cm="1">
        <f t="array" ref="CD17">_xll.ASAssetInfo($A17,"Strategy")</f>
        <v>Funds - Robotics Long Only</v>
      </c>
      <c r="CE17" s="14" cm="1">
        <f t="array" ref="CE17">_xll.ASAssetInfo($A17,"Start Date")</f>
        <v>42552</v>
      </c>
      <c r="CF17" s="14" t="str" cm="1">
        <f t="array" ref="CF17">_xll.ASAssetRatings($A17,"Quantitative",0,0,0,0,0,'PBA Summary'!$F$2,'PBA Summary'!$G$2)</f>
        <v/>
      </c>
      <c r="CG17" s="14" t="str" cm="1">
        <f t="array" ref="CG17">_xll.ASAssetRatings($A17,"Qualitative",0,0,0,0,0,'PBA Summary'!$F$2,'PBA Summary'!$G$2)</f>
        <v/>
      </c>
      <c r="CH17" s="14" t="str" cm="1">
        <f t="array" ref="CH17">_xll.ASAssetRatings($A17,"Final",0,0,0,0,0,'PBA Summary'!$F$2,'PBA Summary'!$G$2)</f>
        <v/>
      </c>
      <c r="CI17" s="14" cm="1">
        <f t="array" ref="CI17">_xll.ASAssetInfo($A17,"Last Return Date")</f>
        <v>44133</v>
      </c>
      <c r="CJ17" s="14" t="str" cm="1">
        <f t="array" ref="CJ17">_xll.ASAssetInfo($A17,"Company Name")</f>
        <v>Credit Suisse Fund Services Lu</v>
      </c>
      <c r="CK17" s="14" t="str" cm="1">
        <f t="array" ref="CK17">_xll.ASAssetInfo($A17,"Manager Name")</f>
        <v>Patrick Kolb</v>
      </c>
      <c r="CL17" s="14" t="str" cm="1">
        <f t="array" ref="CL17">_xll.ASAssetInfo($A17,"Address")</f>
        <v>Credit Suisse Fund Services Lux SA. 5, rue Jean Monnet. L-2180 Grand Duchy of Luxembourg. Luxembourg</v>
      </c>
      <c r="CM17" s="14" t="str" cm="1">
        <f t="array" ref="CM17">_xll.ASAssetInfo($A17,"Phone Number")</f>
        <v>352-436-1611   Tel</v>
      </c>
      <c r="CN17" s="14" t="str" cm="1">
        <f t="array" ref="CN17">_xll.ASAssetInfo($A17,"Email")</f>
        <v/>
      </c>
      <c r="CO17" s="14" t="str" cm="1">
        <f t="array" ref="CO17">_xll.ASAssetInfo($A17,"Asset Type")</f>
        <v>Equities</v>
      </c>
      <c r="CP17" s="14" t="str" cm="1">
        <f t="array" ref="CP17">_xll.ASAssetInfo($A17,"Proprietary ID")</f>
        <v/>
      </c>
      <c r="CQ17" s="14" t="str" cm="1">
        <f t="array" ref="CQ17">_xll.ASAssetInfo($A17,"Country")</f>
        <v>Luxembourg</v>
      </c>
      <c r="CR17" s="14" t="str" cm="1">
        <f t="array" ref="CR17">_xll.ASAssetInfo($A17,"Currency")</f>
        <v>USD</v>
      </c>
      <c r="CS17" s="14" t="str" cm="1">
        <f t="array" ref="CS17">_xll.ASAssetInfo($A17,"Sub-Strategy")</f>
        <v/>
      </c>
      <c r="CT17" s="31" cm="1">
        <f t="array" ref="CT17">_xll.ASAssetInfo($A17,"Fund AUM (m)")</f>
        <v>2867.7</v>
      </c>
      <c r="CU17" s="31" t="str" cm="1">
        <f t="array" ref="CU17">_xll.ASAssetInfo($A17,"Status")</f>
        <v>Unknown</v>
      </c>
      <c r="CV17" s="31" t="str" cm="1">
        <f t="array" ref="CV17">_xll.ASAssetInfo($A17,"Redemption 1 Frequency")</f>
        <v>Daily</v>
      </c>
      <c r="CW17" s="31" t="str" cm="1">
        <f t="array" ref="CW17">_xll.ASAssetInfo($A17,"Redemption 2 Frequency")</f>
        <v>Unknown</v>
      </c>
      <c r="CX17" s="31" t="str" cm="1">
        <f t="array" ref="CX17">_xll.ASAssetInfo($A17,"Redemption 3 Frequency")</f>
        <v>Unknown</v>
      </c>
      <c r="CY17" s="31" t="str" cm="1">
        <f t="array" ref="CY17">_xll.ASAssetInfo($A17,"Notice Period")</f>
        <v/>
      </c>
      <c r="CZ17" s="15" t="str" cm="1">
        <f t="array" ref="CZ17">_xll.ASAssetInfo($A17,"Performance Fee")</f>
        <v/>
      </c>
      <c r="DA17" s="15" cm="1">
        <f t="array" ref="DA17">_xll.ASAssetInfo($A17,"Management Fee")</f>
        <v>1.6E-2</v>
      </c>
      <c r="DB17" s="15" t="str" cm="1">
        <f t="array" ref="DB17">_xll.ASAssetInfo($A17,"ISIN")</f>
        <v>LU1330433571</v>
      </c>
      <c r="DC17" s="16" t="str" cm="1">
        <f t="array" ref="DC17">_xll.ASAssetStatistic($A17,"Return during " &amp;YEAR(EOMONTH('PBA Summary'!$G$2,-60)),,,,"M",DATE(YEAR(EOMONTH('PBA Summary'!$G$2,-60)),1,31),DATE(YEAR(EOMONTH('PBA Summary'!$G$2,-60)),12,31))</f>
        <v/>
      </c>
      <c r="DD17" s="16" cm="1">
        <f t="array" ref="DD17">_xll.ASAssetStatistic($A17,"Return during " &amp;YEAR(EOMONTH('PBA Summary'!$G$2,-48)),,,,"M",DATE(YEAR(EOMONTH('PBA Summary'!$G$2,-48)),1,31),DATE(YEAR(EOMONTH('PBA Summary'!$G$2,-48)),12,31))</f>
        <v>6.8999999999999506E-2</v>
      </c>
      <c r="DE17" s="16" cm="1">
        <f t="array" ref="DE17">_xll.ASAssetStatistic($A17,"Return during " &amp;YEAR(EOMONTH('PBA Summary'!$G$2,-36)),,,,"M",DATE(YEAR(EOMONTH('PBA Summary'!$G$2,-36)),1,31),DATE(YEAR(EOMONTH('PBA Summary'!$G$2,-36)),12,31))</f>
        <v>0.45650140318054322</v>
      </c>
      <c r="DF17" s="16" cm="1">
        <f t="array" ref="DF17">_xll.ASAssetStatistic($A17,"Return during " &amp;YEAR(EOMONTH('PBA Summary'!$G$2,-24)),,,,"M",DATE(YEAR(EOMONTH('PBA Summary'!$G$2,-24)),1,31),DATE(YEAR(EOMONTH('PBA Summary'!$G$2,-24)),12,31))</f>
        <v>-6.8079640333973512E-2</v>
      </c>
      <c r="DG17" s="16" cm="1">
        <f t="array" ref="DG17">_xll.ASAssetStatistic($A17,"Return during " &amp;YEAR(EOMONTH('PBA Summary'!$G$2,-12)),,,,"M",DATE(YEAR(EOMONTH('PBA Summary'!$G$2,-12)),1,31),DATE(YEAR(EOMONTH('PBA Summary'!$G$2,-12)),12,31))</f>
        <v>0.2887663680220538</v>
      </c>
      <c r="DH17" s="11" t="str" cm="1">
        <f t="array" ref="DH17">_xll.ASAssetInfo($A17,"Prime Broker")</f>
        <v/>
      </c>
      <c r="DI17" s="16" cm="1">
        <f t="array" ref="DI17">_xll.ASAssetStatistic($A17,"Return",,,,"m",'PBA Summary'!$F$2,'PBA Summary'!$G$2)</f>
        <v>0.20305537873965696</v>
      </c>
      <c r="DJ17" s="33" cm="1">
        <f t="array" ref="DJ17">IF('PBA Summary'!$D$2="","",_xll.ASAssetStatistic($A17,"Ann. Information Ratio vs Benchmark 1",'PBA Summary'!$D$2,,,"m",'PBA Summary'!$F$2,'PBA Summary'!$G$2))</f>
        <v>-0.16041842713734486</v>
      </c>
      <c r="DK17" s="33" cm="1">
        <f t="array" ref="DK17">IF('PBA Summary'!$D$3="","",_xll.ASAssetStatistic($A17,"Ann. Information Ratio vs Benchmark 1",'PBA Summary'!$D$3,,,"m",'PBA Summary'!$F$2,'PBA Summary'!$G$2))</f>
        <v>-0.16041842713734486</v>
      </c>
      <c r="DL17" s="33" cm="1">
        <f t="array" ref="DL17">IF('PBA Summary'!$D$2="","",_xll.ASAssetStatistic($A17,"Ann. Tracking Error vs Benchmark 1",'PBA Summary'!$D$2,,,"m",'PBA Summary'!$F$2,'PBA Summary'!$G$2))</f>
        <v>8.0571481049139443E-2</v>
      </c>
      <c r="DM17" s="33" cm="1">
        <f t="array" ref="DM17">IF('PBA Summary'!$D$3="","",_xll.ASAssetStatistic($A17,"Ann. Tracking Error vs Benchmark 1",'PBA Summary'!$D$3,,,"m",'PBA Summary'!$F$2,'PBA Summary'!$G$2))</f>
        <v>8.0571481049139443E-2</v>
      </c>
      <c r="DN17" s="33" cm="1">
        <f t="array" ref="DN17">IF('PBA Summary'!$D$2="","",_xll.ASAssetStatistic($A17,"R² vs Benchmark 1",'PBA Summary'!$D$2,,,"m",'PBA Summary'!$F$2,'PBA Summary'!$G$2))</f>
        <v>0.86559878341544849</v>
      </c>
      <c r="DO17" s="33" cm="1">
        <f t="array" ref="DO17">IF('PBA Summary'!$D$3="","",_xll.ASAssetStatistic($A17,"R² vs Benchmark 1",'PBA Summary'!$D$3,,,"m",'PBA Summary'!$F$2,'PBA Summary'!$G$2))</f>
        <v>0.86559878341544849</v>
      </c>
      <c r="DP17" s="11" t="str" cm="1">
        <f t="array" ref="DP17">_xll.ASAssetInfo($A17,"On-/Offshore")</f>
        <v>Unknown</v>
      </c>
      <c r="DQ17" s="16" cm="1">
        <f t="array" ref="DQ17">_xll.ASAssetStatistic($A17,"Quarter-to-date",,,,"m",'PBA Summary'!$F$2,'PBA Summary'!$G$2)</f>
        <v>1.0695187165775666E-2</v>
      </c>
      <c r="DR17" s="16" cm="1">
        <f t="array" ref="DR17">_xll.ASAssetStatistic($A17,"Annualized Return Since inception",,,,"m",'PBA Summary'!$F$2,'PBA Summary'!$G$2)</f>
        <v>0.19333717937743611</v>
      </c>
      <c r="DS17" s="16" cm="1">
        <f t="array" ref="DS17">IF('PBA Summary'!$D$2="","",_xll.ASAssetStatistic($A17,"Ann. Bear Market Return vs Benchmark 1",'PBA Summary'!$D$2,,,"m",'PBA Summary'!$F$2,'PBA Summary'!$G$2))</f>
        <v>-0.47358018914764655</v>
      </c>
      <c r="DT17" s="16" cm="1">
        <f t="array" ref="DT17">IF('PBA Summary'!$D$2="","",_xll.ASAssetStatistic($A17,"Ann. Bull Market Return vs Benchmark 1",'PBA Summary'!$D$2,,,"m",'PBA Summary'!$F$2,'PBA Summary'!$G$2))</f>
        <v>0.54496287607011729</v>
      </c>
      <c r="DU17" s="16" cm="1">
        <f t="array" ref="DU17">IF('PBA Summary'!$D$3="","",_xll.ASAssetStatistic($A17,"Ann. Bear Market Return vs Benchmark 1",'PBA Summary'!$D$3,,,"m",'PBA Summary'!$F$2,'PBA Summary'!$G$2))</f>
        <v>-0.47358018914764655</v>
      </c>
      <c r="DV17" s="16" cm="1">
        <f t="array" ref="DV17">IF('PBA Summary'!$D$3="","",_xll.ASAssetStatistic($A17,"Ann. Bull Market Return vs Benchmark 1",'PBA Summary'!$D$3,,,"m",'PBA Summary'!$F$2,'PBA Summary'!$G$2))</f>
        <v>0.54496287607011729</v>
      </c>
      <c r="DW17" s="17" cm="1">
        <f t="array" ref="DW17">_xll.ASAssetStatistic($A17,"Average Positive Return",,,,"m",'PBA Summary'!$F$2,'PBA Summary'!$G$2)</f>
        <v>4.1850285676632008E-2</v>
      </c>
      <c r="DX17" s="17" cm="1">
        <f t="array" ref="DX17">_xll.ASAssetStatistic($A17,"Average Negative Return",,,,"m",'PBA Summary'!$F$2,'PBA Summary'!$G$2)</f>
        <v>-6.2738943464882457E-2</v>
      </c>
      <c r="DY17" s="16" cm="1">
        <f t="array" ref="DY17">IF('PBA Summary'!$D$2="","",_xll.ASAssetStatistic($A17,"Outperformance vs Benchmark 1",'PBA Summary'!$D$2,,,"m",'PBA Summary'!$F$2,'PBA Summary'!$G$2))</f>
        <v>-1.6788266069061697E-2</v>
      </c>
      <c r="DZ17" s="16" cm="1">
        <f t="array" ref="DZ17">IF('PBA Summary'!$D$3="","",_xll.ASAssetStatistic($A17,"Outperformance vs Benchmark 1",'PBA Summary'!$D$3,,,"m",'PBA Summary'!$F$2,'PBA Summary'!$G$2))</f>
        <v>-1.6788266069061697E-2</v>
      </c>
      <c r="EA17" s="16" cm="1">
        <f t="array" ref="EA17">IF('PBA Summary'!$D$2="","",_xll.ASAssetStatistic($A17,"Annual Outperformance vs Benchmark 1",'PBA Summary'!$D$2,,,"m",'PBA Summary'!$F$2,'PBA Summary'!$G$2))</f>
        <v>-1.2925150262029339E-2</v>
      </c>
      <c r="EB17" s="16" cm="1">
        <f t="array" ref="EB17">IF('PBA Summary'!$D$3="","",_xll.ASAssetStatistic($A17,"Annual Outperformance vs Benchmark 1",'PBA Summary'!$D$3,,,"m",'PBA Summary'!$F$2,'PBA Summary'!$G$2))</f>
        <v>-1.2925150262029339E-2</v>
      </c>
      <c r="EC17" s="32" cm="1">
        <f t="array" ref="EC17">_xll.ASAssetStatistic($A17,"Rachev Ratio 99%",,,,"m",'PBA Summary'!$F$2,'PBA Summary'!$G$2)</f>
        <v>-1.2531259230087619</v>
      </c>
      <c r="ED17" s="32" cm="1">
        <f t="array" ref="ED17">_xll.ASAssetStatistic($A17,"Rachev Ratio 97%",,,,"m",'PBA Summary'!$F$2,'PBA Summary'!$G$2)</f>
        <v>-1.2531259230087619</v>
      </c>
      <c r="EE17" s="32" cm="1">
        <f t="array" ref="EE17">_xll.ASAssetStatistic($A17,"Rachev Ratio 95%",,,,"m",'PBA Summary'!$F$2,'PBA Summary'!$G$2)</f>
        <v>-1.2531259230087619</v>
      </c>
      <c r="EF17" s="32" cm="1">
        <f t="array" ref="EF17">_xll.ASAssetStatistic($A17,"Rachev Ratio 90%",,,,"m",'PBA Summary'!$F$2,'PBA Summary'!$G$2)</f>
        <v>-1.1666652743759658</v>
      </c>
      <c r="EG17" s="34" cm="1">
        <f t="array" ref="EG17">IF('PBA Summary'!$D$2="","",_xll.ASAssetStatistic($A17,"Annual Up Capture vs Benchmark 1",'PBA Summary'!$D$2,,,"m",'PBA Summary'!$F$2,'PBA Summary'!$G$2))</f>
        <v>1.0765594768715809</v>
      </c>
      <c r="EH17" s="34" cm="1">
        <f t="array" ref="EH17">IF('PBA Summary'!$D$3="","",_xll.ASAssetStatistic($A17,"Annual Up Capture vs Benchmark 1",'PBA Summary'!$D$3,,,"m",'PBA Summary'!$F$2,'PBA Summary'!$G$2))</f>
        <v>1.0765594768715809</v>
      </c>
      <c r="EI17" s="34" cm="1">
        <f t="array" ref="EI17">IF('PBA Summary'!$D$2="","",_xll.ASAssetStatistic($A17,"Annual Down Capture vs Benchmark 1",'PBA Summary'!$D$2,,,"m",'PBA Summary'!$F$2,'PBA Summary'!$G$2))</f>
        <v>1.1507969544060559</v>
      </c>
      <c r="EJ17" s="34" cm="1">
        <f t="array" ref="EJ17">IF('PBA Summary'!$D$3="","",_xll.ASAssetStatistic($A17,"Annual Down Capture vs Benchmark 1",'PBA Summary'!$D$3,,,"m",'PBA Summary'!$F$2,'PBA Summary'!$G$2))</f>
        <v>1.1507969544060559</v>
      </c>
      <c r="EK17" s="16" cm="1">
        <f t="array" ref="EK17">IF('PBA Summary'!$D$2="","",_xll.ASAssetStatistic($A17,"Ann. Tracking Error vs Benchmark 1",'PBA Summary'!$D$2,,,"m",'PBA Summary'!$F$2,'PBA Summary'!$G$2))</f>
        <v>8.0571481049139443E-2</v>
      </c>
      <c r="EL17" s="16" cm="1">
        <f t="array" ref="EL17">IF('PBA Summary'!$D$3="","",_xll.ASAssetStatistic($A17,"Ann. Tracking Error vs Benchmark 1",'PBA Summary'!$D$3,,,"m",'PBA Summary'!$F$2,'PBA Summary'!$G$2))</f>
        <v>8.0571481049139443E-2</v>
      </c>
      <c r="EM17" s="16" cm="1">
        <f t="array" ref="EM17">IF('PBA Summary'!$D$2="","",_xll.ASAssetStatistic($A17,"Annual Jensen Alpha vs Benchmark 1 (Rf)",'PBA Summary'!$D$2,,,"m",'PBA Summary'!$F$2,'PBA Summary'!$G$2))</f>
        <v>-4.9432988877855716E-2</v>
      </c>
      <c r="EN17" s="16" cm="1">
        <f t="array" ref="EN17">IF('PBA Summary'!$D$3="","",_xll.ASAssetStatistic($A17,"Annual Jensen Alpha vs Benchmark 1 (Rf)",'PBA Summary'!$D$3,,,"m",'PBA Summary'!$F$2,'PBA Summary'!$G$2))</f>
        <v>-4.9432988877855716E-2</v>
      </c>
      <c r="EO17" s="33" cm="1">
        <f t="array" ref="EO17">IF('PBA Summary'!$D$2="","",_xll.ASAssetStatistic($A17,"Ann. Information Ratio vs Benchmark 1",'PBA Summary'!$D$2,,,"m",'PBA Summary'!$F$2,'PBA Summary'!$G$2))</f>
        <v>-0.16041842713734486</v>
      </c>
      <c r="EP17" s="33" cm="1">
        <f t="array" ref="EP17">IF('PBA Summary'!$D$3="","",_xll.ASAssetStatistic($A17,"Ann. Information Ratio vs Benchmark 1",'PBA Summary'!$D$3,,,"m",'PBA Summary'!$F$2,'PBA Summary'!$G$2))</f>
        <v>-0.16041842713734486</v>
      </c>
      <c r="EQ17" s="17" cm="1">
        <f t="array" ref="EQ17">IF('PBA Summary'!$D$2="","",_xll.ASAssetStatistic($A17,"Alpha Monthly vs Benchmark 1",'PBA Summary'!$D$2,,,"m",'PBA Summary'!$F$2,'PBA Summary'!$G$2))</f>
        <v>-3.3750075258397374E-3</v>
      </c>
      <c r="ER17" s="17" cm="1">
        <f t="array" ref="ER17">IF('PBA Summary'!$D$3="","",_xll.ASAssetStatistic($A17,"Alpha Monthly vs Benchmark 1",'PBA Summary'!$D$3,,,"m",'PBA Summary'!$F$2,'PBA Summary'!$G$2))</f>
        <v>-3.3750075258397374E-3</v>
      </c>
      <c r="ES17" s="11" t="str" cm="1">
        <f t="array" ref="ES17">_xll.ASAssetInfo($A17,"Company AUM (m)")</f>
        <v/>
      </c>
      <c r="ET17" s="16" cm="1">
        <f t="array" ref="ET17">_xll.ASAssetStatistic($A17,"Exponential Annualized Volatility",,,,"m",'PBA Summary'!$F$2,'PBA Summary'!$G$2)</f>
        <v>0.17728755208270239</v>
      </c>
      <c r="EU17" s="16" cm="1">
        <f t="array" ref="EU17">_xll.ASAssetStatistic($A17,"Exponential Annualized Volatility Last 1 year",,,,"m",'PBA Summary'!$F$2,'PBA Summary'!$G$2)</f>
        <v>0.16004540170926482</v>
      </c>
      <c r="EV17" s="16" t="str" cm="1">
        <f t="array" ref="EV17">_xll.ASAssetStatistic($A17,"Exponential Annualized Volatility Last 3 years",,,,"m",'PBA Summary'!$F$2,'PBA Summary'!$G$2)</f>
        <v/>
      </c>
      <c r="EW17" s="34" cm="1">
        <f t="array" ref="EW17">IF('PBA Summary'!$D$2="","",_xll.ASAssetStatistic($A17,"Exponential Correlation to Benchmark 1",'PBA Summary'!$D$2,,,"m",'PBA Summary'!$F$2,'PBA Summary'!$G$2))</f>
        <v>0.83699729293087088</v>
      </c>
      <c r="EX17" s="34" cm="1">
        <f t="array" ref="EX17">IF('PBA Summary'!$D$3="","",_xll.ASAssetStatistic($A17,"Exponential Correlation to Benchmark 1",'PBA Summary'!$D$3,,,"m",'PBA Summary'!$F$2,'PBA Summary'!$G$2))</f>
        <v>0.83699729293087088</v>
      </c>
      <c r="EY17" s="34" cm="1">
        <f t="array" ref="EY17">_xll.ASAssetStatistic($A17,"Exponential Annual Sharpe Ratio (Rf)",,,,"m",'PBA Summary'!$F$2,'PBA Summary'!$G$2)</f>
        <v>1.1520109751096976</v>
      </c>
      <c r="EZ17" s="34" cm="1">
        <f t="array" ref="EZ17">_xll.ASAssetStatistic($A17,"Exponential Normal Monthly VaR 99%",,,,"m",'PBA Summary'!$F$2,'PBA Summary'!$G$2)</f>
        <v>-0.10327573644985863</v>
      </c>
      <c r="FA17" s="34" cm="1">
        <f t="array" ref="FA17">_xll.ASAssetStatistic($A17,"Exponential Normal Monthly VaR 97%",,,,"m",'PBA Summary'!$F$2,'PBA Summary'!$G$2)</f>
        <v>-8.0472933906657301E-2</v>
      </c>
      <c r="FB17" s="34" cm="1">
        <f t="array" ref="FB17">_xll.ASAssetStatistic($A17,"Exponential Normal Monthly VaR 95%",,,,"m",'PBA Summary'!$F$2,'PBA Summary'!$G$2)</f>
        <v>-6.839787770086983E-2</v>
      </c>
      <c r="FC17" s="34" cm="1">
        <f t="array" ref="FC17">_xll.ASAssetStatistic($A17,"Exponential Normal Monthly VaR 90%",,,,"m",'PBA Summary'!$F$2,'PBA Summary'!$G$2)</f>
        <v>-4.980462025947039E-2</v>
      </c>
      <c r="FD17" s="34" t="str" cm="1">
        <f t="array" ref="FD17">_xll.ASAssetStatistic($A17,"Exponential Normal weekly VaR 99%",,,,"m",'PBA Summary'!$F$2,'PBA Summary'!$G$2)</f>
        <v/>
      </c>
      <c r="FE17" s="34" t="str" cm="1">
        <f t="array" ref="FE17">_xll.ASAssetStatistic($A17,"Exponential Normal weekly VaR 97%",,,,"m",'PBA Summary'!$F$2,'PBA Summary'!$G$2)</f>
        <v/>
      </c>
      <c r="FF17" s="34" t="str" cm="1">
        <f t="array" ref="FF17">_xll.ASAssetStatistic($A17,"Exponential Normal weekly VaR 95%",,,,"m",'PBA Summary'!$F$2,'PBA Summary'!$G$2)</f>
        <v/>
      </c>
      <c r="FG17" s="34" t="str" cm="1">
        <f t="array" ref="FG17">_xll.ASAssetStatistic($A17,"Exponential Normal weekly VaR 90%",,,,"m",'PBA Summary'!$F$2,'PBA Summary'!$G$2)</f>
        <v/>
      </c>
      <c r="FH17" s="34" t="str" cm="1">
        <f t="array" ref="FH17">_xll.ASAssetStatistic($A17,"Exponential Normal daily VaR 99%",,,,"m",'PBA Summary'!$F$2,'PBA Summary'!$G$2)</f>
        <v/>
      </c>
      <c r="FI17" s="34" t="str" cm="1">
        <f t="array" ref="FI17">_xll.ASAssetStatistic($A17,"Exponential Normal daily VaR 97%",,,,"m",'PBA Summary'!$F$2,'PBA Summary'!$G$2)</f>
        <v/>
      </c>
      <c r="FJ17" s="34" t="str" cm="1">
        <f t="array" ref="FJ17">_xll.ASAssetStatistic($A17,"Exponential Normal daily VaR 95%",,,,"m",'PBA Summary'!$F$2,'PBA Summary'!$G$2)</f>
        <v/>
      </c>
      <c r="FK17" s="34" t="str" cm="1">
        <f t="array" ref="FK17">_xll.ASAssetStatistic($A17,"Exponential Normal daily VaR 90%",,,,"m",'PBA Summary'!$F$2,'PBA Summary'!$G$2)</f>
        <v/>
      </c>
      <c r="FL17" s="34" cm="1">
        <f t="array" ref="FL17">_xll.ASAssetStatistic($A17,"Bias Ratio",,,,"m",'PBA Summary'!$F$2,'PBA Summary'!$G$2)</f>
        <v>2.3333333333333335</v>
      </c>
      <c r="FM17" s="11" t="str" cm="1">
        <f t="array" ref="FM17">_xll.ASAssetInfo($A17,"Manager's Biography")</f>
        <v/>
      </c>
      <c r="FN17" s="11" cm="1">
        <f t="array" ref="FN17">_xll.ASAssetInfo($A17,"Investment Min")</f>
        <v>0</v>
      </c>
      <c r="FO17" s="11" t="str" cm="1">
        <f t="array" ref="FO17">_xll.ASAssetInfo($A17,"Auditor")</f>
        <v>PricewaterhouseCoopers SC</v>
      </c>
      <c r="FP17" s="11" t="str" cm="1">
        <f t="array" ref="FP17">_xll.ASAssetInfo($A17,"Custodian")</f>
        <v>Credit Suisse Luxembourg SA</v>
      </c>
      <c r="FQ17" s="11" t="str" cm="1">
        <f t="array" ref="FQ17">_xll.ASAssetInfo($A17,"Administrator")</f>
        <v>Credit Suisse Fund Services Luxembourg SA</v>
      </c>
      <c r="FR17" s="14" t="str" cm="1">
        <f t="array" ref="FR17">_xll.ASAssetInfo($A17,"Proxy 1 Start Date")</f>
        <v/>
      </c>
      <c r="FS17" s="14" t="str" cm="1">
        <f t="array" ref="FS17">_xll.ASAssetInfo($A17,"Proxy 1 End Date")</f>
        <v/>
      </c>
      <c r="FT17" s="14" t="str" cm="1">
        <f t="array" ref="FT17">_xll.ASAssetInfo($A17,"Proxy 2 Start Date")</f>
        <v/>
      </c>
      <c r="FU17" s="14" t="str" cm="1">
        <f t="array" ref="FU17">_xll.ASAssetInfo($A17,"Proxy 2 End Date")</f>
        <v/>
      </c>
      <c r="FV17" s="14" t="str" cm="1">
        <f t="array" ref="FV17">_xll.ASAssetInfo($A17,"Proxy 3 Start Date")</f>
        <v/>
      </c>
      <c r="FW17" s="14" t="str" cm="1">
        <f t="array" ref="FW17">_xll.ASAssetInfo($A17,"Proxy 3 End Date")</f>
        <v/>
      </c>
      <c r="FX17" s="14" t="str" cm="1">
        <f t="array" ref="FX17">_xll.ASAssetInfo($A17,"Fund Domicile")</f>
        <v>LU</v>
      </c>
      <c r="FY17" s="14" t="str" cm="1">
        <f t="array" ref="FY17">_xll.ASAssetInfo($A17,"Fund Contact")</f>
        <v/>
      </c>
      <c r="FZ17" s="14" t="str" cm="1">
        <f t="array" ref="FZ17">_xll.ASAssetInfo($A17,"Fund Contact Email")</f>
        <v/>
      </c>
      <c r="GA17" s="14" t="str" cm="1">
        <f t="array" ref="GA17">_xll.ASAssetInfo($A17,"Fund Contact Number")</f>
        <v/>
      </c>
      <c r="GB17" s="14" t="str" cm="1">
        <f t="array" ref="GB17">_xll.ASAssetInfo($A17,"City")</f>
        <v>Luxembourg</v>
      </c>
      <c r="GC17" s="14" t="str" cm="1">
        <f t="array" ref="GC17">_xll.ASAssetInfo($A17,"Leverage")</f>
        <v>N</v>
      </c>
      <c r="GD17" s="14" t="str" cm="1">
        <f t="array" ref="GD17">_xll.ASAssetInfo($A17,"Lockup 1 Duration")</f>
        <v>0 Months</v>
      </c>
      <c r="GE17" s="14" t="str" cm="1">
        <f t="array" ref="GE17">_xll.ASAssetInfo($A17,"Lockup 2 Duration")</f>
        <v>0 Months</v>
      </c>
      <c r="GF17" s="14" t="str" cm="1">
        <f t="array" ref="GF17">_xll.ASAssetInfo($A17,"Lockup 3 Duration")</f>
        <v>0 Months</v>
      </c>
      <c r="GG17" s="31" t="str" cm="1">
        <f t="array" ref="GG17">_xll.ASAssetInfo($A17,"Fund Level Gate")</f>
        <v/>
      </c>
      <c r="GH17" s="31" t="str" cm="1">
        <f t="array" ref="GH17">_xll.ASAssetInfo($A17,"Fund Level Gate Frequency")</f>
        <v>Unknown</v>
      </c>
      <c r="GI17" s="35" cm="1">
        <f t="array" ref="GI17">_xll.ASAssetInfo($A17,"Payment 2 (%)")</f>
        <v>0</v>
      </c>
      <c r="GJ17" s="35" t="str" cm="1">
        <f t="array" ref="GJ17">_xll.ASAssetInfo($A17,"Payment 2 (days)")</f>
        <v/>
      </c>
      <c r="GK17" s="35" t="str" cm="1">
        <f t="array" ref="GK17">_xll.ASAssetInfo($A17,"Payment 2 (Paid After)")</f>
        <v>NAV Date</v>
      </c>
      <c r="GL17" s="35" cm="1">
        <f t="array" ref="GL17">_xll.ASAssetInfo($A17,"Payment 3 (%)")</f>
        <v>0</v>
      </c>
      <c r="GM17" s="36" t="str" cm="1">
        <f t="array" ref="GM17">_xll.ASAssetInfo($A17,"Payment 3 (Days)")</f>
        <v/>
      </c>
      <c r="GN17" s="35" t="str" cm="1">
        <f t="array" ref="GN17">_xll.ASAssetInfo($A17,"Payment 3 (Paid After)")</f>
        <v>NAV Date</v>
      </c>
      <c r="GO17" s="35" cm="1">
        <f t="array" ref="GO17">_xll.ASAssetInfo($A17,"Payment 4 (%)")</f>
        <v>0</v>
      </c>
      <c r="GP17" s="36" t="str" cm="1">
        <f t="array" ref="GP17">_xll.ASAssetInfo($A17,"Payment 4 (days)")</f>
        <v/>
      </c>
      <c r="GQ17" s="35" t="str" cm="1">
        <f t="array" ref="GQ17">_xll.ASAssetInfo($A17,"Payment 4 (Paid After)")</f>
        <v>NAV Date</v>
      </c>
      <c r="GR17" s="11" cm="1">
        <f t="array" ref="GR17">_xll.ASAssetInfo($A17,"Payment 1 (%)")</f>
        <v>1</v>
      </c>
      <c r="GS17" s="35" cm="1">
        <f t="array" ref="GS17">_xll.ASAssetInfo($A17,"Lockup 1 Fee")</f>
        <v>0</v>
      </c>
      <c r="GT17" s="35" cm="1">
        <f t="array" ref="GT17">_xll.ASAssetInfo($A17,"Lockup 2 Fee")</f>
        <v>0</v>
      </c>
      <c r="GU17" s="35" cm="1">
        <f t="array" ref="GU17">_xll.ASAssetInfo($A17,"Lockup 3 Fee")</f>
        <v>0</v>
      </c>
      <c r="GV17" s="35" t="str" cm="1">
        <f t="array" ref="GV17">_xll.ASAssetInfo($A17,"Lockup 1 type")</f>
        <v>None</v>
      </c>
      <c r="GW17" s="35" t="str" cm="1">
        <f t="array" ref="GW17">_xll.ASAssetInfo($A17,"Lockup 2 type")</f>
        <v>None</v>
      </c>
      <c r="GX17" s="35" t="str" cm="1">
        <f t="array" ref="GX17">_xll.ASAssetInfo($A17,"Lockup 3 type")</f>
        <v>None</v>
      </c>
      <c r="GY17" s="35" t="str" cm="1">
        <f t="array" ref="GY17">_xll.ASAssetInfo($A17,"Redemption 1 type")</f>
        <v>Calendar</v>
      </c>
      <c r="GZ17" s="35" t="str" cm="1">
        <f t="array" ref="GZ17">_xll.ASAssetInfo($A17,"Redemption 2 type")</f>
        <v>Calendar</v>
      </c>
      <c r="HA17" s="35" t="str" cm="1">
        <f t="array" ref="HA17">_xll.ASAssetInfo($A17,"Redemption 3 type")</f>
        <v>Calendar</v>
      </c>
      <c r="HB17" s="35" t="str" cm="1">
        <f t="array" ref="HB17">_xll.ASAssetInfo($A17,"Redemption 1 Fee")</f>
        <v/>
      </c>
      <c r="HC17" s="35" t="str" cm="1">
        <f t="array" ref="HC17">_xll.ASAssetInfo($A17,"Redemption 2 Fee")</f>
        <v/>
      </c>
      <c r="HD17" s="35" t="str" cm="1">
        <f t="array" ref="HD17">_xll.ASAssetInfo($A17,"Redemption 3 Fee")</f>
        <v/>
      </c>
      <c r="HE17" s="35" t="str" cm="1">
        <f t="array" ref="HE17">_xll.ASAssetInfo($A17,"Redemption 1 Frequency")</f>
        <v>Daily</v>
      </c>
      <c r="HF17" s="35" t="str" cm="1">
        <f t="array" ref="HF17">_xll.ASAssetInfo($A17,"Redemption 2 Frequency")</f>
        <v>Unknown</v>
      </c>
      <c r="HG17" s="35" t="str" cm="1">
        <f t="array" ref="HG17">_xll.ASAssetInfo($A17,"Redemption 3 Frequency")</f>
        <v>Unknown</v>
      </c>
      <c r="HH17" s="35" t="str" cm="1">
        <f t="array" ref="HH17">_xll.ASAssetInfo($A17,"Asset Calendar")</f>
        <v>[Default]</v>
      </c>
      <c r="HI17" s="16" cm="1">
        <f t="array" ref="HI17">_xll.ASAssetStatistic($A17,"Max Second Drawdown",,,,"m",'PBA Summary'!$F$2,'PBA Summary'!$G$2)</f>
        <v>-8.4444444444444211E-2</v>
      </c>
      <c r="HJ17" s="37" cm="1">
        <f t="array" ref="HJ17">_xll.ASAssetStatistic($A17,"Date Max Second Drawdown",,,,"m",'PBA Summary'!$F$2,'PBA Summary'!$G$2)</f>
        <v>43708</v>
      </c>
      <c r="HK17" s="37" t="str" cm="1">
        <f t="array" ref="HK17">_xll.ASAssetInfo($A17,HK$1)</f>
        <v>CSGREBU LX</v>
      </c>
      <c r="HL17" s="37" t="str" cm="1">
        <f t="array" ref="HL17">_xll.ASAssetInfo($A17,HL$1)</f>
        <v/>
      </c>
      <c r="HM17" s="34" t="str" cm="1">
        <f t="array" ref="HM17">_xll.ASAssetInfo($A17,HM$1)</f>
        <v/>
      </c>
      <c r="HN17" s="37" t="str" cm="1">
        <f t="array" ref="HN17">_xll.ASAssetInfo($A17,HN$1)</f>
        <v/>
      </c>
      <c r="HO17" s="15" cm="1">
        <f t="array" ref="HO17">_xll.ASAssetInfo($A17,HO$1)</f>
        <v>0</v>
      </c>
      <c r="HP17" s="15" t="str" cm="1">
        <f t="array" ref="HP17">_xll.ASAssetInfo($A17,HP$1)</f>
        <v/>
      </c>
      <c r="HQ17" s="34" t="str" cm="1">
        <f t="array" ref="HQ17">_xll.ASAssetInfo($A17,HQ$1)</f>
        <v/>
      </c>
      <c r="HR17" s="37" t="str" cm="1">
        <f t="array" ref="HR17">_xll.ASAssetInfo($A17,HR$1)</f>
        <v/>
      </c>
      <c r="HS17" s="37" t="str" cm="1">
        <f t="array" ref="HS17">_xll.ASAssetInfo($A17,HS$1)</f>
        <v/>
      </c>
      <c r="HT17" s="37" t="str" cm="1">
        <f t="array" ref="HT17">_xll.ASAssetInfo($A17,HT$1)</f>
        <v/>
      </c>
      <c r="HU17" s="37" t="str" cm="1">
        <f t="array" ref="HU17">_xll.ASAssetInfo($A17,HU$1)</f>
        <v>Global</v>
      </c>
      <c r="HV17" s="37" t="str" cm="1">
        <f t="array" ref="HV17">_xll.ASAssetInfo($A17,HV$1)</f>
        <v>Thematic</v>
      </c>
      <c r="HW17" s="37" t="str" cm="1">
        <f t="array" ref="HW17">_xll.ASAssetInfo($A17,HW$1)</f>
        <v/>
      </c>
    </row>
    <row r="18" spans="1:231" s="11" customFormat="1" x14ac:dyDescent="0.25">
      <c r="A18" t="s">
        <v>321</v>
      </c>
      <c r="B18" cm="1">
        <f t="array" ref="B18">_xll.ASPortfolioWeights('PBA Summary'!$C$2,"OR",$A18)</f>
        <v>2.8632320025594734E-2</v>
      </c>
      <c r="C18" cm="1">
        <f t="array" ref="C18">_xll.ASAssetStatistic($A18,"Annualized Return since inception",,,,"m",_xll.ASAssetInfo($A18,"Start Date"),_xll.ASAssetInfo($A18,"Last Return Date"))</f>
        <v>6.2424387298472439E-2</v>
      </c>
      <c r="D18" cm="1">
        <f t="array" ref="D18">_xll.ASAssetStatistic($A18,"Annualized Return",,,,"m",'PBA Summary'!$F$2,'PBA Summary'!$G$2)</f>
        <v>0.34976222702215276</v>
      </c>
      <c r="E18" s="19" cm="1">
        <f t="array" ref="E18">_xll.ASAssetStatistic($A18,"Equilibrium Annual Return",,,,"m",'PBA Summary'!$F$2,'PBA Summary'!$G$2)</f>
        <v>7.6478468163051927E-2</v>
      </c>
      <c r="F18" cm="1">
        <f t="array" ref="F18">_xll.ASAssetStatistic($A18,"Annualized Volatility (Inception)",,,,"m",_xll.ASAssetInfo($A18,"Start Date"),_xll.ASAssetInfo($A18,"Last Return Date"))</f>
        <v>0.30591605058660559</v>
      </c>
      <c r="G18" cm="1">
        <f t="array" ref="G18">_xll.ASAssetStatistic($A18,"Annualized Volatility",,,,"m",'PBA Summary'!$F$2,'PBA Summary'!$G$2)</f>
        <v>0.26105431280376229</v>
      </c>
      <c r="H18" s="20" cm="1">
        <f t="array" ref="H18">_xll.ASAssetStatistic($A18,"Skewness",,,,"m",'PBA Summary'!$F$2,'PBA Summary'!$G$2)</f>
        <v>4.3238886403346645E-2</v>
      </c>
      <c r="I18" s="20" cm="1">
        <f t="array" ref="I18">_xll.ASAssetStatistic($A18,"Excess kurtosis",,,,"m",'PBA Summary'!$F$2,'PBA Summary'!$G$2)</f>
        <v>-0.82950309682389023</v>
      </c>
      <c r="J18" s="19" cm="1">
        <f t="array" ref="J18">_xll.ASAssetStatistic($A18,"Return Last 1 month",,,,"m",'PBA Summary'!$F$2,'PBA Summary'!$G$2)</f>
        <v>-3.7852908080146519E-2</v>
      </c>
      <c r="K18" s="19" cm="1">
        <f t="array" ref="K18">_xll.ASAssetStatistic($A18,"Return Last 3 months",,,,"m",'PBA Summary'!$F$2,'PBA Summary'!$G$2)</f>
        <v>-0.13226849642908511</v>
      </c>
      <c r="L18" s="19" cm="1">
        <f t="array" ref="L18">_xll.ASAssetStatistic($A18,"Return Last 1 year",,,,"m",'PBA Summary'!$F$2,'PBA Summary'!$G$2)</f>
        <v>0.40226958965271042</v>
      </c>
      <c r="M18" s="19" cm="1">
        <f t="array" ref="M18">_xll.ASAssetStatistic($A18,"Year-to-date Return",,,,"m",'PBA Summary'!$F$2,'PBA Summary'!$G$2)</f>
        <v>-3.7852908080146519E-2</v>
      </c>
      <c r="N18" s="19" cm="1">
        <f t="array" ref="N18">_xll.ASAssetStatistic($A18,"Annualized Return",,,,"m",EOMONTH('PBA Summary'!$G$2,-2),'PBA Summary'!$G$2)</f>
        <v>-0.43305430702493319</v>
      </c>
      <c r="O18" s="19" t="str" cm="1">
        <f t="array" ref="O18">_xll.ASAssetStatistic($A18,"Annualized Return Last 3 years",,,,"m",'PBA Summary'!$F$2,'PBA Summary'!$G$2)</f>
        <v/>
      </c>
      <c r="P18" s="19" t="str" cm="1">
        <f t="array" ref="P18">_xll.ASAssetStatistic($A18,"Annualized Return Last 5 years",,,,"m",'PBA Summary'!$F$2,'PBA Summary'!$G$2)</f>
        <v/>
      </c>
      <c r="Q18" s="19" cm="1">
        <f t="array" ref="Q18">_xll.ASAssetStatistic($A18,"Annualized Volatility Last 1 year",,,,"m",'PBA Summary'!$F$2,'PBA Summary'!$G$2)</f>
        <v>0.23973340265619977</v>
      </c>
      <c r="R18" s="19" t="str" cm="1">
        <f t="array" ref="R18">_xll.ASAssetStatistic($A18,"Annualized Volatility Last 3 years",,,,"m",'PBA Summary'!$F$2,'PBA Summary'!$G$2)</f>
        <v/>
      </c>
      <c r="S18" s="19" t="str" cm="1">
        <f t="array" ref="S18">_xll.ASAssetStatistic($A18,"Annualized Volatility Last 5 years",,,,"m",'PBA Summary'!$F$2,'PBA Summary'!$G$2)</f>
        <v/>
      </c>
      <c r="T18" s="19" cm="1">
        <f t="array" ref="T18">_xll.ASAssetStatistic($A18,"Normal monthly VaR 99%",,,,"m",'PBA Summary'!$F$2,'PBA Summary'!$G$2)</f>
        <v>-0.14742061406619572</v>
      </c>
      <c r="U18" s="19" cm="1">
        <f t="array" ref="U18">_xll.ASAssetStatistic($A18,"Modified monthly VaR 99%",,,,"m",'PBA Summary'!$F$2,'PBA Summary'!$G$2)</f>
        <v>-0.13035721505642356</v>
      </c>
      <c r="V18" s="19" cm="1">
        <f t="array" ref="V18">_xll.ASAssetStatistic($A18,"Conditional monthly VaR 99%",,,,"m",'PBA Summary'!$F$2,'PBA Summary'!$G$2)</f>
        <v>-9.1033996345266655E-2</v>
      </c>
      <c r="W18" s="19" cm="1">
        <f t="array" ref="W18">_xll.ASAssetStatistic($A18,"Normal monthly VaR 97%",,,,"m",'PBA Summary'!$F$2,'PBA Summary'!$G$2)</f>
        <v>-0.11384369409643715</v>
      </c>
      <c r="X18" s="19" cm="1">
        <f t="array" ref="X18">_xll.ASAssetStatistic($A18,"Modified monthly VaR 97%",,,,"m",'PBA Summary'!$F$2,'PBA Summary'!$G$2)</f>
        <v>-0.10981788992256621</v>
      </c>
      <c r="Y18" s="19" cm="1">
        <f t="array" ref="Y18">_xll.ASAssetStatistic($A18,"Conditional monthly VaR 97%",,,,"m",'PBA Summary'!$F$2,'PBA Summary'!$G$2)</f>
        <v>-9.1033996345266655E-2</v>
      </c>
      <c r="Z18" s="19" cm="1">
        <f t="array" ref="Z18">_xll.ASAssetStatistic($A18,"Normal monthly VaR 95%",,,,"m",'PBA Summary'!$F$2,'PBA Summary'!$G$2)</f>
        <v>-9.6063283329649793E-2</v>
      </c>
      <c r="AA18" s="19" cm="1">
        <f t="array" ref="AA18">_xll.ASAssetStatistic($A18,"Modified monthly VaR 95%",,,,"m",'PBA Summary'!$F$2,'PBA Summary'!$G$2)</f>
        <v>-9.6395915019019063E-2</v>
      </c>
      <c r="AB18" s="19" cm="1">
        <f t="array" ref="AB18">_xll.ASAssetStatistic($A18,"Conditional monthly VaR 95%",,,,"m",'PBA Summary'!$F$2,'PBA Summary'!$G$2)</f>
        <v>-9.1033996345266655E-2</v>
      </c>
      <c r="AC18" s="66" cm="1">
        <f t="array" ref="AC18">_xll.ASAssetStatistic($A18,"Correlation to Benchmark 1","MSCI ACWI Index",,,"m",'PBA Summary'!$F$2,'PBA Summary'!$G$2)</f>
        <v>0.53020208769014865</v>
      </c>
      <c r="AD18" s="38" cm="1">
        <f t="array" ref="AD18">IF('PBA Summary'!$D$3="","",_xll.ASAssetStatistic($A18,"Correlation to Benchmark 1",'PBA Summary'!$D$3,,,"m",'PBA Summary'!$F$2,'PBA Summary'!$G$2))</f>
        <v>0.54880371808230155</v>
      </c>
      <c r="AE18" s="21" cm="1">
        <f t="array" ref="AE18">IF('PBA Summary'!$D$2="","",_xll.ASAssetStatistic($A18,"Bull correlation to Benchmark 1",'PBA Summary'!$D$2,,,"m",'PBA Summary'!$F$2,'PBA Summary'!$G$2))</f>
        <v>0.46653707854626436</v>
      </c>
      <c r="AF18" s="21" cm="1">
        <f t="array" ref="AF18">IF('PBA Summary'!$D$2="","",_xll.ASAssetStatistic($A18,"Bear correlation to Benchmark 1",'PBA Summary'!$D$2,,,"m",'PBA Summary'!$F$2,'PBA Summary'!$G$2))</f>
        <v>0.52437192425219403</v>
      </c>
      <c r="AG18" s="21" cm="1">
        <f t="array" ref="AG18">IF('PBA Summary'!$D$3="","",_xll.ASAssetStatistic($A18,"Bull correlation to Benchmark 1",'PBA Summary'!$D$3,,,"m",'PBA Summary'!$F$2,'PBA Summary'!$G$2))</f>
        <v>0.46653707854626436</v>
      </c>
      <c r="AH18" s="21" cm="1">
        <f t="array" ref="AH18">IF('PBA Summary'!$D$3="","",_xll.ASAssetStatistic($A18,"Bear correlation to Benchmark 1",'PBA Summary'!$D$3,,,"m",'PBA Summary'!$F$2,'PBA Summary'!$G$2))</f>
        <v>0.52437192425219403</v>
      </c>
      <c r="AI18" s="24" cm="1">
        <f t="array" ref="AI18">IF('PBA Summary'!$D$2="","",_xll.ASAssetStatistic($A18,"Beta to Benchmark 1",'PBA Summary'!$D$2,,,"m",'PBA Summary'!$F$2,'PBA Summary'!$G$2))</f>
        <v>0.93319338132480056</v>
      </c>
      <c r="AJ18" s="24" t="str" cm="1">
        <f t="array" ref="AJ18">IF('PBA Summary'!$D$2="","",_xll.ASAssetStatistic($A18,"Beta to Benchmark 1 Last 3 years",'PBA Summary'!$D$2,,,"m",'PBA Summary'!$F$2,'PBA Summary'!$G$2))</f>
        <v/>
      </c>
      <c r="AK18" s="24" t="str" cm="1">
        <f t="array" ref="AK18">IF('PBA Summary'!$D$2="","",_xll.ASAssetStatistic($A18,"Beta to Benchmark 1 Last 5 years",'PBA Summary'!$D$2,,,"m",'PBA Summary'!$F$2,'PBA Summary'!$G$2))</f>
        <v/>
      </c>
      <c r="AL18" s="25" cm="1">
        <f t="array" ref="AL18">IF('PBA Summary'!$D$3="","",_xll.ASAssetStatistic($A18,"Beta to Benchmark 1",'PBA Summary'!$D$3,,,"m",'PBA Summary'!$F$2,'PBA Summary'!$G$2))</f>
        <v>0.93319338132480056</v>
      </c>
      <c r="AM18" s="25" t="str" cm="1">
        <f t="array" ref="AM18">IF('PBA Summary'!$D$3="","",_xll.ASAssetStatistic($A18,"Beta to Benchmark 1 Last 3 years",'PBA Summary'!$D$3,,,"m",'PBA Summary'!$F$2,'PBA Summary'!$G$2))</f>
        <v/>
      </c>
      <c r="AN18" s="25" t="str" cm="1">
        <f t="array" ref="AN18">IF('PBA Summary'!$D$3="","",_xll.ASAssetStatistic($A18,"Beta to Benchmark 1 Last 5 years",'PBA Summary'!$D$3,,,"m",'PBA Summary'!$F$2,'PBA Summary'!$G$2))</f>
        <v/>
      </c>
      <c r="AO18" s="25" cm="1">
        <f t="array" ref="AO18">IF('PBA Summary'!$D$2="","",_xll.ASAssetStatistic($A18,"Bull Beta to Benchmark 1",'PBA Summary'!$D$2,,,"m",'PBA Summary'!$F$2,'PBA Summary'!$G$2))</f>
        <v>1.6350518595100474</v>
      </c>
      <c r="AP18" s="25" cm="1">
        <f t="array" ref="AP18">IF('PBA Summary'!$D$2="","",_xll.ASAssetStatistic($A18,"Bear Beta to Benchmark 1",'PBA Summary'!$D$2,,,"m",'PBA Summary'!$F$2,'PBA Summary'!$G$2))</f>
        <v>0.75114607745725781</v>
      </c>
      <c r="AQ18" s="25" cm="1">
        <f t="array" ref="AQ18">IF('PBA Summary'!$D$3="","",_xll.ASAssetStatistic($A18,"Bull Beta to Benchmark 1",'PBA Summary'!$D$3,,,"m",'PBA Summary'!$F$2,'PBA Summary'!$G$2))</f>
        <v>1.6350518595100474</v>
      </c>
      <c r="AR18" s="25" cm="1">
        <f t="array" ref="AR18">IF('PBA Summary'!$D$3="","",_xll.ASAssetStatistic($A18,"Bear Beta to Benchmark 1",'PBA Summary'!$D$3,,,"m",'PBA Summary'!$F$2,'PBA Summary'!$G$2))</f>
        <v>0.75114607745725781</v>
      </c>
      <c r="AS18" s="25" cm="1">
        <f t="array" ref="AS18">_xll.ASAssetStatistic($A18,"Annual Sharpe Ratio (Rf)",,,'PBA Summary'!$H$2,"m",'PBA Summary'!$F$2,'PBA Summary'!$G$2)</f>
        <v>1.3302298027276569</v>
      </c>
      <c r="AT18" s="25" t="str" cm="1">
        <f t="array" ref="AT18">_xll.ASAssetStatistic($A18,"Annual Sharpe Ratio (Rf) Last 3 years",,,'PBA Summary'!$H$2,"m",'PBA Summary'!$F$2,'PBA Summary'!$G$2)</f>
        <v/>
      </c>
      <c r="AU18" s="25" t="str" cm="1">
        <f t="array" ref="AU18">_xll.ASAssetStatistic($A18,"Annual Sharpe Ratio (Rf) Last 5 years",,,'PBA Summary'!$H$2,"m",'PBA Summary'!$F$2,'PBA Summary'!$G$2)</f>
        <v/>
      </c>
      <c r="AV18" s="18" cm="1">
        <f t="array" ref="AV18">_xll.ASAssetStatistic($A18,"Ann. Downside Deviation (vs 0%)",,,'PBA Summary'!$H$2,"m",'PBA Summary'!$F$2,'PBA Summary'!$G$2)</f>
        <v>0.12315225276801327</v>
      </c>
      <c r="AW18" s="18" cm="1">
        <f t="array" ref="AW18">_xll.ASAssetStatistic($A18,"Ann. Downside Deviation (vs Rf)",,,'PBA Summary'!$H$2,"m",'PBA Summary'!$F$2,'PBA Summary'!$G$2)</f>
        <v>0.12350785156322606</v>
      </c>
      <c r="AX18" s="39" cm="1">
        <f t="array" ref="AX18">_xll.ASAssetStatistic($A18,"Annual Treynor ratio",,,'PBA Summary'!$H$2,"m",'PBA Summary'!$F$2,'PBA Summary'!$G$2)</f>
        <v>0.11187898071085185</v>
      </c>
      <c r="AY18" s="26" cm="1">
        <f t="array" ref="AY18">_xll.ASAssetStatistic($A18,"Annual Sortino Ratio (vs 0%)",,,'PBA Summary'!$H$2,"m",'PBA Summary'!$F$2,'PBA Summary'!$G$2)</f>
        <v>2.840079813083189</v>
      </c>
      <c r="AZ18" s="26" cm="1">
        <f t="array" ref="AZ18">_xll.ASAssetStatistic($A18,"Annual Sortino Ratio (vs Rf)",,,'PBA Summary'!$H$2,"m",'PBA Summary'!$F$2,'PBA Summary'!$G$2)</f>
        <v>2.8116611424042341</v>
      </c>
      <c r="BA18" s="26" cm="1">
        <f t="array" ref="BA18">_xll.ASAssetStatistic($A18,"Sterling ratio",,,'PBA Summary'!$H$2,"m",'PBA Summary'!$F$2,'PBA Summary'!$G$2)</f>
        <v>1.5058530640161101</v>
      </c>
      <c r="BB18" s="26" cm="1">
        <f t="array" ref="BB18">_xll.ASAssetStatistic($A18,"Calmar ratio",,,'PBA Summary'!$H$2,"m",'PBA Summary'!$F$2,'PBA Summary'!$G$2)</f>
        <v>2.6443350946358959</v>
      </c>
      <c r="BC18" s="26" cm="1">
        <f t="array" ref="BC18">_xll.ASAssetStatistic($A18,"Hurst index",,,'PBA Summary'!$H$2,"m",'PBA Summary'!$F$2,'PBA Summary'!$G$2)</f>
        <v>0.58301359261106589</v>
      </c>
      <c r="BD18" s="26" cm="1">
        <f t="array" ref="BD18">_xll.ASAssetStatistic($A18,"Omega (Threshold 1)",,,'PBA Summary'!$H$2,"m",'PBA Summary'!$F$2,'PBA Summary'!$G$2)</f>
        <v>2.5919693274664617</v>
      </c>
      <c r="BE18" s="26" cm="1">
        <f t="array" ref="BE18">_xll.ASAssetStatistic($A18,"Omega (Threshold 2)",,,'PBA Summary'!$H$2,"m",'PBA Summary'!$F$2,'PBA Summary'!$G$2)</f>
        <v>2.1706487802345715</v>
      </c>
      <c r="BF18" s="26" cm="1">
        <f t="array" ref="BF18">_xll.ASAssetStatistic($A18,"Omega (Threshold 3)",,,'PBA Summary'!$H$2,"m",'PBA Summary'!$F$2,'PBA Summary'!$G$2)</f>
        <v>1.8174326329624</v>
      </c>
      <c r="BG18" s="26" cm="1">
        <f t="array" ref="BG18">_xll.ASAssetStatistic($A18,"Omega (Threshold 4)",,,'PBA Summary'!$H$2,"m",'PBA Summary'!$F$2,'PBA Summary'!$G$2)</f>
        <v>1.5322672647237288</v>
      </c>
      <c r="BH18" s="26" cm="1">
        <f t="array" ref="BH18">_xll.ASAssetStatistic($A18,"Omega (Threshold 5)",,,'PBA Summary'!$H$2,"m",'PBA Summary'!$F$2,'PBA Summary'!$G$2)</f>
        <v>1.2972146132739961</v>
      </c>
      <c r="BI18" s="26" t="str" cm="1">
        <f t="array" ref="BI18">_xll.ASAssetStatistic($A18,"Autocorrelated (illiquid)",,,'PBA Summary'!$H$2,"m",'PBA Summary'!$F$2,'PBA Summary'!$G$2)</f>
        <v>No</v>
      </c>
      <c r="BJ18" s="27" cm="1">
        <f t="array" ref="BJ18">_xll.ASAssetStatistic($A18,"% months in Run Up",,,'PBA Summary'!$H$2,"m",'PBA Summary'!$F$2,'PBA Summary'!$G$2)</f>
        <v>0.6</v>
      </c>
      <c r="BK18" s="27" cm="1">
        <f t="array" ref="BK18">_xll.ASAssetStatistic($A18,"% months in Drawdown",,,'PBA Summary'!$H$2,"m",'PBA Summary'!$F$2,'PBA Summary'!$G$2)</f>
        <v>0.4</v>
      </c>
      <c r="BL18" s="18" cm="1">
        <f t="array" ref="BL18">IF('PBA Summary'!$D$2="","",_xll.ASAssetStatistic($A18,"Bull Beta to Benchmark 1",'PBA Summary'!$D$2,,,"m",'PBA Summary'!$F$2,'PBA Summary'!$G$2))</f>
        <v>1.6350518595100474</v>
      </c>
      <c r="BM18" s="18" cm="1">
        <f t="array" ref="BM18">IF('PBA Summary'!$D$2="","",_xll.ASAssetStatistic($A18,"Average return during bear Benchmark 1",'PBA Summary'!$D$2,,,"m",'PBA Summary'!$F$2,'PBA Summary'!$G$2))</f>
        <v>-1.756955449346928E-2</v>
      </c>
      <c r="BN18" s="18" cm="1">
        <f t="array" ref="BN18">IF('PBA Summary'!$D$3="","",_xll.ASAssetStatistic($A18,"Average return during bull Benchmark 1",'PBA Summary'!$D$3,,,"m",'PBA Summary'!$F$2,'PBA Summary'!$G$2))</f>
        <v>4.4424433310992259E-2</v>
      </c>
      <c r="BO18" s="18" cm="1">
        <f t="array" ref="BO18">IF('PBA Summary'!$D$3="","",_xll.ASAssetStatistic($A18,"Average return during bear Benchmark 1",'PBA Summary'!$D$3,,,"m",'PBA Summary'!$F$2,'PBA Summary'!$G$2))</f>
        <v>-1.756955449346928E-2</v>
      </c>
      <c r="BP18" s="27" cm="1">
        <f t="array" ref="BP18">_xll.ASAssetStatistic($A18,"Maximum consecutive gain",,,'PBA Summary'!$H$2,"m",'PBA Summary'!$F$2,'PBA Summary'!$G$2)</f>
        <v>0.71362408228933694</v>
      </c>
      <c r="BQ18" s="27" cm="1">
        <f t="array" ref="BQ18">_xll.ASAssetStatistic($A18,"Maximum consecutive loss",,,'PBA Summary'!$H$2,"m",'PBA Summary'!$F$2,'PBA Summary'!$G$2)</f>
        <v>-0.13226849642908511</v>
      </c>
      <c r="BR18" s="27" cm="1">
        <f t="array" ref="BR18">_xll.ASAssetStatistic($A18,"Max monthly gain",,,'PBA Summary'!$H$2,"m",'PBA Summary'!$F$2,'PBA Summary'!$G$2)</f>
        <v>0.14810834891758895</v>
      </c>
      <c r="BS18" s="27" cm="1">
        <f t="array" ref="BS18">_xll.ASAssetStatistic($A18,"Max monthly loss",,,'PBA Summary'!$H$2,"m",'PBA Summary'!$F$2,'PBA Summary'!$G$2)</f>
        <v>-9.1033996345266655E-2</v>
      </c>
      <c r="BT18" s="27" cm="1">
        <f t="array" ref="BT18">_xll.ASAssetStatistic($A18,"Max drawdown",,,'PBA Summary'!$H$2,"m",'PBA Summary'!$F$2,'PBA Summary'!$G$2)</f>
        <v>-0.13226849642908522</v>
      </c>
      <c r="BU18" s="28" cm="1">
        <f t="array" ref="BU18">_xll.ASAssetStatistic($A18,"Date Max drawdown",,,'PBA Summary'!$H$2,"m",'PBA Summary'!$F$2,'PBA Summary'!$G$2)</f>
        <v>43861</v>
      </c>
      <c r="BV18" s="28" cm="1">
        <f t="array" ref="BV18">_xll.ASAssetStatistic($A18,"Start Date Max Drawdown",,,'PBA Summary'!$H$2,"m",'PBA Summary'!$F$2,'PBA Summary'!$G$2)</f>
        <v>43799</v>
      </c>
      <c r="BW18" s="28" t="str" cm="1">
        <f t="array" ref="BW18">_xll.ASAssetStatistic($A18,"End Date Max Drawdown",,,'PBA Summary'!$H$2,"m",'PBA Summary'!$F$2,'PBA Summary'!$G$2)</f>
        <v/>
      </c>
      <c r="BX18" s="29" cm="1">
        <f t="array" ref="BX18">_xll.ASAssetStatistic($A18,"Max Time-under-water (months)",,,'PBA Summary'!$H$2,"m",'PBA Summary'!$F$2,'PBA Summary'!$G$2)</f>
        <v>3</v>
      </c>
      <c r="BY18" s="27" cm="1">
        <f t="array" ref="BY18">_xll.ASAssetStatistic($A18,"Max possible drawdown 99%",,,'PBA Summary'!$H$2,"m",'PBA Summary'!$F$2,'PBA Summary'!$G$2)</f>
        <v>-0.27547311359632026</v>
      </c>
      <c r="BZ18" s="27" cm="1">
        <f t="array" ref="BZ18">_xll.ASAssetStatistic($A18,"Max possible drawdown 99.9%",,,'PBA Summary'!$H$2,"m",'PBA Summary'!$F$2,'PBA Summary'!$G$2)</f>
        <v>-0.48608493160157346</v>
      </c>
      <c r="CA18" s="30" cm="1">
        <f t="array" ref="CA18">_xll.ASAssetStatistic($A18,"Max Possible Time-under-water 99% (months)",,,'PBA Summary'!$H$2,"m",'PBA Summary'!$F$2,'PBA Summary'!$G$2)</f>
        <v>39.504684981839333</v>
      </c>
      <c r="CB18" s="30" cm="1">
        <f t="array" ref="CB18">_xll.ASAssetStatistic($A18,"Max Possible Time-under-water 99.9% (months)",,,'PBA Summary'!$H$2,"m",'PBA Summary'!$F$2,'PBA Summary'!$G$2)</f>
        <v>69.707826824358321</v>
      </c>
      <c r="CC18" s="17" cm="1">
        <f t="array" ref="CC18">_xll.ASPortfolioReturnAttribution('PBA Summary'!$C$2,"OR",A18,"Last 1m",'PBA Summary'!$F$2,'PBA Summary'!$G$2)</f>
        <v>-1.0838164392415128E-3</v>
      </c>
      <c r="CD18" s="11" t="str" cm="1">
        <f t="array" ref="CD18">_xll.ASAssetInfo($A18,"Strategy")</f>
        <v>Direct Holdings - Stocks</v>
      </c>
      <c r="CE18" s="14" cm="1">
        <f t="array" ref="CE18">_xll.ASAssetInfo($A18,"Start Date")</f>
        <v>38355</v>
      </c>
      <c r="CF18" s="14" t="str" cm="1">
        <f t="array" ref="CF18">_xll.ASAssetRatings($A18,"Quantitative",0,0,0,0,0,'PBA Summary'!$F$2,'PBA Summary'!$G$2)</f>
        <v/>
      </c>
      <c r="CG18" s="14" t="str" cm="1">
        <f t="array" ref="CG18">_xll.ASAssetRatings($A18,"Qualitative",0,0,0,0,0,'PBA Summary'!$F$2,'PBA Summary'!$G$2)</f>
        <v/>
      </c>
      <c r="CH18" s="14" t="str" cm="1">
        <f t="array" ref="CH18">_xll.ASAssetRatings($A18,"Final",0,0,0,0,0,'PBA Summary'!$F$2,'PBA Summary'!$G$2)</f>
        <v/>
      </c>
      <c r="CI18" s="14" cm="1">
        <f t="array" ref="CI18">_xll.ASAssetInfo($A18,"Last Return Date")</f>
        <v>44125</v>
      </c>
      <c r="CJ18" s="14" t="str" cm="1">
        <f t="array" ref="CJ18">_xll.ASAssetInfo($A18,"Company Name")</f>
        <v/>
      </c>
      <c r="CK18" s="14" t="str" cm="1">
        <f t="array" ref="CK18">_xll.ASAssetInfo($A18,"Manager Name")</f>
        <v/>
      </c>
      <c r="CL18" s="14" t="str" cm="1">
        <f t="array" ref="CL18">_xll.ASAssetInfo($A18,"Address")</f>
        <v/>
      </c>
      <c r="CM18" s="14" t="str" cm="1">
        <f t="array" ref="CM18">_xll.ASAssetInfo($A18,"Phone Number")</f>
        <v/>
      </c>
      <c r="CN18" s="14" t="str" cm="1">
        <f t="array" ref="CN18">_xll.ASAssetInfo($A18,"Email")</f>
        <v/>
      </c>
      <c r="CO18" s="14" t="str" cm="1">
        <f t="array" ref="CO18">_xll.ASAssetInfo($A18,"Asset Type")</f>
        <v>Equities</v>
      </c>
      <c r="CP18" s="14" t="str" cm="1">
        <f t="array" ref="CP18">_xll.ASAssetInfo($A18,"Proprietary ID")</f>
        <v/>
      </c>
      <c r="CQ18" s="14" t="str" cm="1">
        <f t="array" ref="CQ18">_xll.ASAssetInfo($A18,"Country")</f>
        <v>[Not Classified]</v>
      </c>
      <c r="CR18" s="14" t="str" cm="1">
        <f t="array" ref="CR18">_xll.ASAssetInfo($A18,"Currency")</f>
        <v>USD</v>
      </c>
      <c r="CS18" s="14" t="str" cm="1">
        <f t="array" ref="CS18">_xll.ASAssetInfo($A18,"Sub-Strategy")</f>
        <v/>
      </c>
      <c r="CT18" s="31" t="str" cm="1">
        <f t="array" ref="CT18">_xll.ASAssetInfo($A18,"Fund AUM (m)")</f>
        <v/>
      </c>
      <c r="CU18" s="31" t="str" cm="1">
        <f t="array" ref="CU18">_xll.ASAssetInfo($A18,"Status")</f>
        <v>Unknown</v>
      </c>
      <c r="CV18" s="31" t="str" cm="1">
        <f t="array" ref="CV18">_xll.ASAssetInfo($A18,"Redemption 1 Frequency")</f>
        <v>Unknown</v>
      </c>
      <c r="CW18" s="31" t="str" cm="1">
        <f t="array" ref="CW18">_xll.ASAssetInfo($A18,"Redemption 2 Frequency")</f>
        <v>Unknown</v>
      </c>
      <c r="CX18" s="31" t="str" cm="1">
        <f t="array" ref="CX18">_xll.ASAssetInfo($A18,"Redemption 3 Frequency")</f>
        <v>Unknown</v>
      </c>
      <c r="CY18" s="31" t="str" cm="1">
        <f t="array" ref="CY18">_xll.ASAssetInfo($A18,"Notice Period")</f>
        <v/>
      </c>
      <c r="CZ18" s="15" t="str" cm="1">
        <f t="array" ref="CZ18">_xll.ASAssetInfo($A18,"Performance Fee")</f>
        <v/>
      </c>
      <c r="DA18" s="15" t="str" cm="1">
        <f t="array" ref="DA18">_xll.ASAssetInfo($A18,"Management Fee")</f>
        <v/>
      </c>
      <c r="DB18" s="15" t="str" cm="1">
        <f t="array" ref="DB18">_xll.ASAssetInfo($A18,"ISIN")</f>
        <v>US1263491094</v>
      </c>
      <c r="DC18" s="16" cm="1">
        <f t="array" ref="DC18">_xll.ASAssetStatistic($A18,"Return during " &amp;YEAR(EOMONTH('PBA Summary'!$G$2,-60)),,,,"M",DATE(YEAR(EOMONTH('PBA Summary'!$G$2,-60)),1,31),DATE(YEAR(EOMONTH('PBA Summary'!$G$2,-60)),12,31))</f>
        <v>0.46720037367147005</v>
      </c>
      <c r="DD18" s="16" cm="1">
        <f t="array" ref="DD18">_xll.ASAssetStatistic($A18,"Return during " &amp;YEAR(EOMONTH('PBA Summary'!$G$2,-48)),,,,"M",DATE(YEAR(EOMONTH('PBA Summary'!$G$2,-48)),1,31),DATE(YEAR(EOMONTH('PBA Summary'!$G$2,-48)),12,31))</f>
        <v>0.36894376873918566</v>
      </c>
      <c r="DE18" s="16" cm="1">
        <f t="array" ref="DE18">_xll.ASAssetStatistic($A18,"Return during " &amp;YEAR(EOMONTH('PBA Summary'!$G$2,-36)),,,,"M",DATE(YEAR(EOMONTH('PBA Summary'!$G$2,-36)),1,31),DATE(YEAR(EOMONTH('PBA Summary'!$G$2,-36)),12,31))</f>
        <v>-7.6840231182138785E-2</v>
      </c>
      <c r="DF18" s="16" cm="1">
        <f t="array" ref="DF18">_xll.ASAssetStatistic($A18,"Return during " &amp;YEAR(EOMONTH('PBA Summary'!$G$2,-24)),,,,"M",DATE(YEAR(EOMONTH('PBA Summary'!$G$2,-24)),1,31),DATE(YEAR(EOMONTH('PBA Summary'!$G$2,-24)),12,31))</f>
        <v>-0.2594688796337784</v>
      </c>
      <c r="DG18" s="16" cm="1">
        <f t="array" ref="DG18">_xll.ASAssetStatistic($A18,"Return during " &amp;YEAR(EOMONTH('PBA Summary'!$G$2,-12)),,,,"M",DATE(YEAR(EOMONTH('PBA Summary'!$G$2,-12)),1,31),DATE(YEAR(EOMONTH('PBA Summary'!$G$2,-12)),12,31))</f>
        <v>0.66020237733418807</v>
      </c>
      <c r="DH18" s="11" t="str" cm="1">
        <f t="array" ref="DH18">_xll.ASAssetInfo($A18,"Prime Broker")</f>
        <v/>
      </c>
      <c r="DI18" s="16" cm="1">
        <f t="array" ref="DI18">_xll.ASAssetStatistic($A18,"Return",,,,"m",'PBA Summary'!$F$2,'PBA Summary'!$G$2)</f>
        <v>0.45486128747168642</v>
      </c>
      <c r="DJ18" s="33" cm="1">
        <f t="array" ref="DJ18">IF('PBA Summary'!$D$2="","",_xll.ASAssetStatistic($A18,"Ann. Information Ratio vs Benchmark 1",'PBA Summary'!$D$2,,,"m",'PBA Summary'!$F$2,'PBA Summary'!$G$2))</f>
        <v>0.81224080375531582</v>
      </c>
      <c r="DK18" s="33" cm="1">
        <f t="array" ref="DK18">IF('PBA Summary'!$D$3="","",_xll.ASAssetStatistic($A18,"Ann. Information Ratio vs Benchmark 1",'PBA Summary'!$D$3,,,"m",'PBA Summary'!$F$2,'PBA Summary'!$G$2))</f>
        <v>0.81224080375531582</v>
      </c>
      <c r="DL18" s="33" cm="1">
        <f t="array" ref="DL18">IF('PBA Summary'!$D$2="","",_xll.ASAssetStatistic($A18,"Ann. Tracking Error vs Benchmark 1",'PBA Summary'!$D$2,,,"m",'PBA Summary'!$F$2,'PBA Summary'!$G$2))</f>
        <v>0.21846956219764299</v>
      </c>
      <c r="DM18" s="33" cm="1">
        <f t="array" ref="DM18">IF('PBA Summary'!$D$3="","",_xll.ASAssetStatistic($A18,"Ann. Tracking Error vs Benchmark 1",'PBA Summary'!$D$3,,,"m",'PBA Summary'!$F$2,'PBA Summary'!$G$2))</f>
        <v>0.21846956219764299</v>
      </c>
      <c r="DN18" s="33" cm="1">
        <f t="array" ref="DN18">IF('PBA Summary'!$D$2="","",_xll.ASAssetStatistic($A18,"R² vs Benchmark 1",'PBA Summary'!$D$2,,,"m",'PBA Summary'!$F$2,'PBA Summary'!$G$2))</f>
        <v>0.3011855209809583</v>
      </c>
      <c r="DO18" s="33" cm="1">
        <f t="array" ref="DO18">IF('PBA Summary'!$D$3="","",_xll.ASAssetStatistic($A18,"R² vs Benchmark 1",'PBA Summary'!$D$3,,,"m",'PBA Summary'!$F$2,'PBA Summary'!$G$2))</f>
        <v>0.3011855209809583</v>
      </c>
      <c r="DP18" s="11" t="str" cm="1">
        <f t="array" ref="DP18">_xll.ASAssetInfo($A18,"On-/Offshore")</f>
        <v>Unknown</v>
      </c>
      <c r="DQ18" s="16" cm="1">
        <f t="array" ref="DQ18">_xll.ASAssetStatistic($A18,"Quarter-to-date",,,,"m",'PBA Summary'!$F$2,'PBA Summary'!$G$2)</f>
        <v>-3.7852908080146519E-2</v>
      </c>
      <c r="DR18" s="16" cm="1">
        <f t="array" ref="DR18">_xll.ASAssetStatistic($A18,"Annualized Return Since inception",,,,"m",'PBA Summary'!$F$2,'PBA Summary'!$G$2)</f>
        <v>6.2424387298472439E-2</v>
      </c>
      <c r="DS18" s="16" cm="1">
        <f t="array" ref="DS18">IF('PBA Summary'!$D$2="","",_xll.ASAssetStatistic($A18,"Ann. Bear Market Return vs Benchmark 1",'PBA Summary'!$D$2,,,"m",'PBA Summary'!$F$2,'PBA Summary'!$G$2))</f>
        <v>-0.20498168285943152</v>
      </c>
      <c r="DT18" s="16" cm="1">
        <f t="array" ref="DT18">IF('PBA Summary'!$D$2="","",_xll.ASAssetStatistic($A18,"Ann. Bull Market Return vs Benchmark 1",'PBA Summary'!$D$2,,,"m",'PBA Summary'!$F$2,'PBA Summary'!$G$2))</f>
        <v>0.63625145895418012</v>
      </c>
      <c r="DU18" s="16" cm="1">
        <f t="array" ref="DU18">IF('PBA Summary'!$D$3="","",_xll.ASAssetStatistic($A18,"Ann. Bear Market Return vs Benchmark 1",'PBA Summary'!$D$3,,,"m",'PBA Summary'!$F$2,'PBA Summary'!$G$2))</f>
        <v>-0.20498168285943152</v>
      </c>
      <c r="DV18" s="16" cm="1">
        <f t="array" ref="DV18">IF('PBA Summary'!$D$3="","",_xll.ASAssetStatistic($A18,"Ann. Bull Market Return vs Benchmark 1",'PBA Summary'!$D$3,,,"m",'PBA Summary'!$F$2,'PBA Summary'!$G$2))</f>
        <v>0.63625145895418012</v>
      </c>
      <c r="DW18" s="17" cm="1">
        <f t="array" ref="DW18">_xll.ASAssetStatistic($A18,"Average Positive Return",,,,"m",'PBA Summary'!$F$2,'PBA Summary'!$G$2)</f>
        <v>7.5689305047551683E-2</v>
      </c>
      <c r="DX18" s="17" cm="1">
        <f t="array" ref="DX18">_xll.ASAssetStatistic($A18,"Average Negative Return",,,,"m",'PBA Summary'!$F$2,'PBA Summary'!$G$2)</f>
        <v>-4.3802199496821237E-2</v>
      </c>
      <c r="DY18" s="16" cm="1">
        <f t="array" ref="DY18">IF('PBA Summary'!$D$2="","",_xll.ASAssetStatistic($A18,"Outperformance vs Benchmark 1",'PBA Summary'!$D$2,,,"m",'PBA Summary'!$F$2,'PBA Summary'!$G$2))</f>
        <v>0.23501764266296776</v>
      </c>
      <c r="DZ18" s="16" cm="1">
        <f t="array" ref="DZ18">IF('PBA Summary'!$D$3="","",_xll.ASAssetStatistic($A18,"Outperformance vs Benchmark 1",'PBA Summary'!$D$3,,,"m",'PBA Summary'!$F$2,'PBA Summary'!$G$2))</f>
        <v>0.23501764266296776</v>
      </c>
      <c r="EA18" s="16" cm="1">
        <f t="array" ref="EA18">IF('PBA Summary'!$D$2="","",_xll.ASAssetStatistic($A18,"Annual Outperformance vs Benchmark 1",'PBA Summary'!$D$2,,,"m",'PBA Summary'!$F$2,'PBA Summary'!$G$2))</f>
        <v>0.17744989279548551</v>
      </c>
      <c r="EB18" s="16" cm="1">
        <f t="array" ref="EB18">IF('PBA Summary'!$D$3="","",_xll.ASAssetStatistic($A18,"Annual Outperformance vs Benchmark 1",'PBA Summary'!$D$3,,,"m",'PBA Summary'!$F$2,'PBA Summary'!$G$2))</f>
        <v>0.17744989279548551</v>
      </c>
      <c r="EC18" s="32" cm="1">
        <f t="array" ref="EC18">_xll.ASAssetStatistic($A18,"Rachev Ratio 99%",,,,"m",'PBA Summary'!$F$2,'PBA Summary'!$G$2)</f>
        <v>-1.6269564653171451</v>
      </c>
      <c r="ED18" s="32" cm="1">
        <f t="array" ref="ED18">_xll.ASAssetStatistic($A18,"Rachev Ratio 97%",,,,"m",'PBA Summary'!$F$2,'PBA Summary'!$G$2)</f>
        <v>-1.6269564653171451</v>
      </c>
      <c r="EE18" s="32" cm="1">
        <f t="array" ref="EE18">_xll.ASAssetStatistic($A18,"Rachev Ratio 95%",,,,"m",'PBA Summary'!$F$2,'PBA Summary'!$G$2)</f>
        <v>-1.6269564653171451</v>
      </c>
      <c r="EF18" s="32" cm="1">
        <f t="array" ref="EF18">_xll.ASAssetStatistic($A18,"Rachev Ratio 90%",,,,"m",'PBA Summary'!$F$2,'PBA Summary'!$G$2)</f>
        <v>-1.600518016347994</v>
      </c>
      <c r="EG18" s="34" cm="1">
        <f t="array" ref="EG18">IF('PBA Summary'!$D$2="","",_xll.ASAssetStatistic($A18,"Annual Up Capture vs Benchmark 1",'PBA Summary'!$D$2,,,"m",'PBA Summary'!$F$2,'PBA Summary'!$G$2))</f>
        <v>1.2568976124574807</v>
      </c>
      <c r="EH18" s="34" cm="1">
        <f t="array" ref="EH18">IF('PBA Summary'!$D$3="","",_xll.ASAssetStatistic($A18,"Annual Up Capture vs Benchmark 1",'PBA Summary'!$D$3,,,"m",'PBA Summary'!$F$2,'PBA Summary'!$G$2))</f>
        <v>1.2568976124574807</v>
      </c>
      <c r="EI18" s="34" cm="1">
        <f t="array" ref="EI18">IF('PBA Summary'!$D$2="","",_xll.ASAssetStatistic($A18,"Annual Down Capture vs Benchmark 1",'PBA Summary'!$D$2,,,"m",'PBA Summary'!$F$2,'PBA Summary'!$G$2))</f>
        <v>0.49810423186878383</v>
      </c>
      <c r="EJ18" s="34" cm="1">
        <f t="array" ref="EJ18">IF('PBA Summary'!$D$3="","",_xll.ASAssetStatistic($A18,"Annual Down Capture vs Benchmark 1",'PBA Summary'!$D$3,,,"m",'PBA Summary'!$F$2,'PBA Summary'!$G$2))</f>
        <v>0.49810423186878383</v>
      </c>
      <c r="EK18" s="16" cm="1">
        <f t="array" ref="EK18">IF('PBA Summary'!$D$2="","",_xll.ASAssetStatistic($A18,"Ann. Tracking Error vs Benchmark 1",'PBA Summary'!$D$2,,,"m",'PBA Summary'!$F$2,'PBA Summary'!$G$2))</f>
        <v>0.21846956219764299</v>
      </c>
      <c r="EL18" s="16" cm="1">
        <f t="array" ref="EL18">IF('PBA Summary'!$D$3="","",_xll.ASAssetStatistic($A18,"Ann. Tracking Error vs Benchmark 1",'PBA Summary'!$D$3,,,"m",'PBA Summary'!$F$2,'PBA Summary'!$G$2))</f>
        <v>0.21846956219764299</v>
      </c>
      <c r="EM18" s="16" cm="1">
        <f t="array" ref="EM18">IF('PBA Summary'!$D$2="","",_xll.ASAssetStatistic($A18,"Annual Jensen Alpha vs Benchmark 1 (Rf)",'PBA Summary'!$D$2,,,"m",'PBA Summary'!$F$2,'PBA Summary'!$G$2))</f>
        <v>0.18879448065451199</v>
      </c>
      <c r="EN18" s="16" cm="1">
        <f t="array" ref="EN18">IF('PBA Summary'!$D$3="","",_xll.ASAssetStatistic($A18,"Annual Jensen Alpha vs Benchmark 1 (Rf)",'PBA Summary'!$D$3,,,"m",'PBA Summary'!$F$2,'PBA Summary'!$G$2))</f>
        <v>0.18879448065451199</v>
      </c>
      <c r="EO18" s="33" cm="1">
        <f t="array" ref="EO18">IF('PBA Summary'!$D$2="","",_xll.ASAssetStatistic($A18,"Ann. Information Ratio vs Benchmark 1",'PBA Summary'!$D$2,,,"m",'PBA Summary'!$F$2,'PBA Summary'!$G$2))</f>
        <v>0.81224080375531582</v>
      </c>
      <c r="EP18" s="33" cm="1">
        <f t="array" ref="EP18">IF('PBA Summary'!$D$3="","",_xll.ASAssetStatistic($A18,"Ann. Information Ratio vs Benchmark 1",'PBA Summary'!$D$3,,,"m",'PBA Summary'!$F$2,'PBA Summary'!$G$2))</f>
        <v>0.81224080375531582</v>
      </c>
      <c r="EQ18" s="17" cm="1">
        <f t="array" ref="EQ18">IF('PBA Summary'!$D$2="","",_xll.ASAssetStatistic($A18,"Alpha Monthly vs Benchmark 1",'PBA Summary'!$D$2,,,"m",'PBA Summary'!$F$2,'PBA Summary'!$G$2))</f>
        <v>1.4578388209625846E-2</v>
      </c>
      <c r="ER18" s="17" cm="1">
        <f t="array" ref="ER18">IF('PBA Summary'!$D$3="","",_xll.ASAssetStatistic($A18,"Alpha Monthly vs Benchmark 1",'PBA Summary'!$D$3,,,"m",'PBA Summary'!$F$2,'PBA Summary'!$G$2))</f>
        <v>1.4578388209625846E-2</v>
      </c>
      <c r="ES18" s="11" t="str" cm="1">
        <f t="array" ref="ES18">_xll.ASAssetInfo($A18,"Company AUM (m)")</f>
        <v/>
      </c>
      <c r="ET18" s="16" cm="1">
        <f t="array" ref="ET18">_xll.ASAssetStatistic($A18,"Exponential Annualized Volatility",,,,"m",'PBA Summary'!$F$2,'PBA Summary'!$G$2)</f>
        <v>0.25705870068571035</v>
      </c>
      <c r="EU18" s="16" cm="1">
        <f t="array" ref="EU18">_xll.ASAssetStatistic($A18,"Exponential Annualized Volatility Last 1 year",,,,"m",'PBA Summary'!$F$2,'PBA Summary'!$G$2)</f>
        <v>0.24724574240390454</v>
      </c>
      <c r="EV18" s="16" t="str" cm="1">
        <f t="array" ref="EV18">_xll.ASAssetStatistic($A18,"Exponential Annualized Volatility Last 3 years",,,,"m",'PBA Summary'!$F$2,'PBA Summary'!$G$2)</f>
        <v/>
      </c>
      <c r="EW18" s="34" cm="1">
        <f t="array" ref="EW18">IF('PBA Summary'!$D$2="","",_xll.ASAssetStatistic($A18,"Exponential Correlation to Benchmark 1",'PBA Summary'!$D$2,,,"m",'PBA Summary'!$F$2,'PBA Summary'!$G$2))</f>
        <v>0.33514108043858609</v>
      </c>
      <c r="EX18" s="34" cm="1">
        <f t="array" ref="EX18">IF('PBA Summary'!$D$3="","",_xll.ASAssetStatistic($A18,"Exponential Correlation to Benchmark 1",'PBA Summary'!$D$3,,,"m",'PBA Summary'!$F$2,'PBA Summary'!$G$2))</f>
        <v>0.33514108043858609</v>
      </c>
      <c r="EY18" s="34" cm="1">
        <f t="array" ref="EY18">_xll.ASAssetStatistic($A18,"Exponential Annual Sharpe Ratio (Rf)",,,,"m",'PBA Summary'!$F$2,'PBA Summary'!$G$2)</f>
        <v>0.82904303955133685</v>
      </c>
      <c r="EZ18" s="34" cm="1">
        <f t="array" ref="EZ18">_xll.ASAssetStatistic($A18,"Exponential Normal Monthly VaR 99%",,,,"m",'PBA Summary'!$F$2,'PBA Summary'!$G$2)</f>
        <v>-0.15622625278825991</v>
      </c>
      <c r="FA18" s="34" cm="1">
        <f t="array" ref="FA18">_xll.ASAssetStatistic($A18,"Exponential Normal Monthly VaR 97%",,,,"m",'PBA Summary'!$F$2,'PBA Summary'!$G$2)</f>
        <v>-0.12316325019790463</v>
      </c>
      <c r="FB18" s="34" cm="1">
        <f t="array" ref="FB18">_xll.ASAssetStatistic($A18,"Exponential Normal Monthly VaR 95%",,,,"m",'PBA Summary'!$F$2,'PBA Summary'!$G$2)</f>
        <v>-0.10565498059576879</v>
      </c>
      <c r="FC18" s="34" cm="1">
        <f t="array" ref="FC18">_xll.ASAssetStatistic($A18,"Exponential Normal Monthly VaR 90%",,,,"m",'PBA Summary'!$F$2,'PBA Summary'!$G$2)</f>
        <v>-7.8695622517591629E-2</v>
      </c>
      <c r="FD18" s="34" t="str" cm="1">
        <f t="array" ref="FD18">_xll.ASAssetStatistic($A18,"Exponential Normal weekly VaR 99%",,,,"m",'PBA Summary'!$F$2,'PBA Summary'!$G$2)</f>
        <v/>
      </c>
      <c r="FE18" s="34" t="str" cm="1">
        <f t="array" ref="FE18">_xll.ASAssetStatistic($A18,"Exponential Normal weekly VaR 97%",,,,"m",'PBA Summary'!$F$2,'PBA Summary'!$G$2)</f>
        <v/>
      </c>
      <c r="FF18" s="34" t="str" cm="1">
        <f t="array" ref="FF18">_xll.ASAssetStatistic($A18,"Exponential Normal weekly VaR 95%",,,,"m",'PBA Summary'!$F$2,'PBA Summary'!$G$2)</f>
        <v/>
      </c>
      <c r="FG18" s="34" t="str" cm="1">
        <f t="array" ref="FG18">_xll.ASAssetStatistic($A18,"Exponential Normal weekly VaR 90%",,,,"m",'PBA Summary'!$F$2,'PBA Summary'!$G$2)</f>
        <v/>
      </c>
      <c r="FH18" s="34" t="str" cm="1">
        <f t="array" ref="FH18">_xll.ASAssetStatistic($A18,"Exponential Normal daily VaR 99%",,,,"m",'PBA Summary'!$F$2,'PBA Summary'!$G$2)</f>
        <v/>
      </c>
      <c r="FI18" s="34" t="str" cm="1">
        <f t="array" ref="FI18">_xll.ASAssetStatistic($A18,"Exponential Normal daily VaR 97%",,,,"m",'PBA Summary'!$F$2,'PBA Summary'!$G$2)</f>
        <v/>
      </c>
      <c r="FJ18" s="34" t="str" cm="1">
        <f t="array" ref="FJ18">_xll.ASAssetStatistic($A18,"Exponential Normal daily VaR 95%",,,,"m",'PBA Summary'!$F$2,'PBA Summary'!$G$2)</f>
        <v/>
      </c>
      <c r="FK18" s="34" t="str" cm="1">
        <f t="array" ref="FK18">_xll.ASAssetStatistic($A18,"Exponential Normal daily VaR 90%",,,,"m",'PBA Summary'!$F$2,'PBA Summary'!$G$2)</f>
        <v/>
      </c>
      <c r="FL18" s="34" cm="1">
        <f t="array" ref="FL18">_xll.ASAssetStatistic($A18,"Bias Ratio",,,,"m",'PBA Summary'!$F$2,'PBA Summary'!$G$2)</f>
        <v>1</v>
      </c>
      <c r="FM18" s="11" t="str" cm="1">
        <f t="array" ref="FM18">_xll.ASAssetInfo($A18,"Manager's Biography")</f>
        <v/>
      </c>
      <c r="FN18" s="11" cm="1">
        <f t="array" ref="FN18">_xll.ASAssetInfo($A18,"Investment Min")</f>
        <v>0</v>
      </c>
      <c r="FO18" s="11" t="str" cm="1">
        <f t="array" ref="FO18">_xll.ASAssetInfo($A18,"Auditor")</f>
        <v/>
      </c>
      <c r="FP18" s="11" t="str" cm="1">
        <f t="array" ref="FP18">_xll.ASAssetInfo($A18,"Custodian")</f>
        <v/>
      </c>
      <c r="FQ18" s="11" t="str" cm="1">
        <f t="array" ref="FQ18">_xll.ASAssetInfo($A18,"Administrator")</f>
        <v/>
      </c>
      <c r="FR18" s="14" t="str" cm="1">
        <f t="array" ref="FR18">_xll.ASAssetInfo($A18,"Proxy 1 Start Date")</f>
        <v/>
      </c>
      <c r="FS18" s="14" t="str" cm="1">
        <f t="array" ref="FS18">_xll.ASAssetInfo($A18,"Proxy 1 End Date")</f>
        <v/>
      </c>
      <c r="FT18" s="14" t="str" cm="1">
        <f t="array" ref="FT18">_xll.ASAssetInfo($A18,"Proxy 2 Start Date")</f>
        <v/>
      </c>
      <c r="FU18" s="14" t="str" cm="1">
        <f t="array" ref="FU18">_xll.ASAssetInfo($A18,"Proxy 2 End Date")</f>
        <v/>
      </c>
      <c r="FV18" s="14" t="str" cm="1">
        <f t="array" ref="FV18">_xll.ASAssetInfo($A18,"Proxy 3 Start Date")</f>
        <v/>
      </c>
      <c r="FW18" s="14" t="str" cm="1">
        <f t="array" ref="FW18">_xll.ASAssetInfo($A18,"Proxy 3 End Date")</f>
        <v/>
      </c>
      <c r="FX18" s="14" t="str" cm="1">
        <f t="array" ref="FX18">_xll.ASAssetInfo($A18,"Fund Domicile")</f>
        <v/>
      </c>
      <c r="FY18" s="14" t="str" cm="1">
        <f t="array" ref="FY18">_xll.ASAssetInfo($A18,"Fund Contact")</f>
        <v/>
      </c>
      <c r="FZ18" s="14" t="str" cm="1">
        <f t="array" ref="FZ18">_xll.ASAssetInfo($A18,"Fund Contact Email")</f>
        <v/>
      </c>
      <c r="GA18" s="14" t="str" cm="1">
        <f t="array" ref="GA18">_xll.ASAssetInfo($A18,"Fund Contact Number")</f>
        <v/>
      </c>
      <c r="GB18" s="14" t="str" cm="1">
        <f t="array" ref="GB18">_xll.ASAssetInfo($A18,"City")</f>
        <v/>
      </c>
      <c r="GC18" s="14" t="str" cm="1">
        <f t="array" ref="GC18">_xll.ASAssetInfo($A18,"Leverage")</f>
        <v/>
      </c>
      <c r="GD18" s="14" t="str" cm="1">
        <f t="array" ref="GD18">_xll.ASAssetInfo($A18,"Lockup 1 Duration")</f>
        <v>0 Months</v>
      </c>
      <c r="GE18" s="14" t="str" cm="1">
        <f t="array" ref="GE18">_xll.ASAssetInfo($A18,"Lockup 2 Duration")</f>
        <v>0 Months</v>
      </c>
      <c r="GF18" s="14" t="str" cm="1">
        <f t="array" ref="GF18">_xll.ASAssetInfo($A18,"Lockup 3 Duration")</f>
        <v>0 Months</v>
      </c>
      <c r="GG18" s="31" t="str" cm="1">
        <f t="array" ref="GG18">_xll.ASAssetInfo($A18,"Fund Level Gate")</f>
        <v/>
      </c>
      <c r="GH18" s="31" t="str" cm="1">
        <f t="array" ref="GH18">_xll.ASAssetInfo($A18,"Fund Level Gate Frequency")</f>
        <v>Unknown</v>
      </c>
      <c r="GI18" s="35" cm="1">
        <f t="array" ref="GI18">_xll.ASAssetInfo($A18,"Payment 2 (%)")</f>
        <v>0</v>
      </c>
      <c r="GJ18" s="35" t="str" cm="1">
        <f t="array" ref="GJ18">_xll.ASAssetInfo($A18,"Payment 2 (days)")</f>
        <v/>
      </c>
      <c r="GK18" s="35" t="str" cm="1">
        <f t="array" ref="GK18">_xll.ASAssetInfo($A18,"Payment 2 (Paid After)")</f>
        <v>NAV Date</v>
      </c>
      <c r="GL18" s="35" cm="1">
        <f t="array" ref="GL18">_xll.ASAssetInfo($A18,"Payment 3 (%)")</f>
        <v>0</v>
      </c>
      <c r="GM18" s="36" t="str" cm="1">
        <f t="array" ref="GM18">_xll.ASAssetInfo($A18,"Payment 3 (Days)")</f>
        <v/>
      </c>
      <c r="GN18" s="35" t="str" cm="1">
        <f t="array" ref="GN18">_xll.ASAssetInfo($A18,"Payment 3 (Paid After)")</f>
        <v>NAV Date</v>
      </c>
      <c r="GO18" s="35" cm="1">
        <f t="array" ref="GO18">_xll.ASAssetInfo($A18,"Payment 4 (%)")</f>
        <v>0</v>
      </c>
      <c r="GP18" s="36" t="str" cm="1">
        <f t="array" ref="GP18">_xll.ASAssetInfo($A18,"Payment 4 (days)")</f>
        <v/>
      </c>
      <c r="GQ18" s="35" t="str" cm="1">
        <f t="array" ref="GQ18">_xll.ASAssetInfo($A18,"Payment 4 (Paid After)")</f>
        <v>NAV Date</v>
      </c>
      <c r="GR18" s="11" cm="1">
        <f t="array" ref="GR18">_xll.ASAssetInfo($A18,"Payment 1 (%)")</f>
        <v>1</v>
      </c>
      <c r="GS18" s="35" cm="1">
        <f t="array" ref="GS18">_xll.ASAssetInfo($A18,"Lockup 1 Fee")</f>
        <v>0</v>
      </c>
      <c r="GT18" s="35" cm="1">
        <f t="array" ref="GT18">_xll.ASAssetInfo($A18,"Lockup 2 Fee")</f>
        <v>0</v>
      </c>
      <c r="GU18" s="35" cm="1">
        <f t="array" ref="GU18">_xll.ASAssetInfo($A18,"Lockup 3 Fee")</f>
        <v>0</v>
      </c>
      <c r="GV18" s="35" t="str" cm="1">
        <f t="array" ref="GV18">_xll.ASAssetInfo($A18,"Lockup 1 type")</f>
        <v>None</v>
      </c>
      <c r="GW18" s="35" t="str" cm="1">
        <f t="array" ref="GW18">_xll.ASAssetInfo($A18,"Lockup 2 type")</f>
        <v>None</v>
      </c>
      <c r="GX18" s="35" t="str" cm="1">
        <f t="array" ref="GX18">_xll.ASAssetInfo($A18,"Lockup 3 type")</f>
        <v>None</v>
      </c>
      <c r="GY18" s="35" t="str" cm="1">
        <f t="array" ref="GY18">_xll.ASAssetInfo($A18,"Redemption 1 type")</f>
        <v>Calendar</v>
      </c>
      <c r="GZ18" s="35" t="str" cm="1">
        <f t="array" ref="GZ18">_xll.ASAssetInfo($A18,"Redemption 2 type")</f>
        <v>Calendar</v>
      </c>
      <c r="HA18" s="35" t="str" cm="1">
        <f t="array" ref="HA18">_xll.ASAssetInfo($A18,"Redemption 3 type")</f>
        <v>Calendar</v>
      </c>
      <c r="HB18" s="35" t="str" cm="1">
        <f t="array" ref="HB18">_xll.ASAssetInfo($A18,"Redemption 1 Fee")</f>
        <v/>
      </c>
      <c r="HC18" s="35" t="str" cm="1">
        <f t="array" ref="HC18">_xll.ASAssetInfo($A18,"Redemption 2 Fee")</f>
        <v/>
      </c>
      <c r="HD18" s="35" t="str" cm="1">
        <f t="array" ref="HD18">_xll.ASAssetInfo($A18,"Redemption 3 Fee")</f>
        <v/>
      </c>
      <c r="HE18" s="35" t="str" cm="1">
        <f t="array" ref="HE18">_xll.ASAssetInfo($A18,"Redemption 1 Frequency")</f>
        <v>Unknown</v>
      </c>
      <c r="HF18" s="35" t="str" cm="1">
        <f t="array" ref="HF18">_xll.ASAssetInfo($A18,"Redemption 2 Frequency")</f>
        <v>Unknown</v>
      </c>
      <c r="HG18" s="35" t="str" cm="1">
        <f t="array" ref="HG18">_xll.ASAssetInfo($A18,"Redemption 3 Frequency")</f>
        <v>Unknown</v>
      </c>
      <c r="HH18" s="35" t="str" cm="1">
        <f t="array" ref="HH18">_xll.ASAssetInfo($A18,"Asset Calendar")</f>
        <v>[Default]</v>
      </c>
      <c r="HI18" s="16" cm="1">
        <f t="array" ref="HI18">_xll.ASAssetStatistic($A18,"Max Second Drawdown",,,,"m",'PBA Summary'!$F$2,'PBA Summary'!$G$2)</f>
        <v>-8.9208256722300594E-2</v>
      </c>
      <c r="HJ18" s="37" cm="1">
        <f t="array" ref="HJ18">_xll.ASAssetStatistic($A18,"Date Max Second Drawdown",,,,"m",'PBA Summary'!$F$2,'PBA Summary'!$G$2)</f>
        <v>43465</v>
      </c>
      <c r="HK18" s="37"/>
      <c r="HL18" s="37" t="str" cm="1">
        <f t="array" ref="HL18">_xll.ASAssetInfo($A18,HL$1)</f>
        <v/>
      </c>
      <c r="HM18" s="34" cm="1">
        <f t="array" ref="HM18">_xll.ASAssetInfo($A18,HM$1)</f>
        <v>40.619999999999997</v>
      </c>
      <c r="HN18" s="37" t="str" cm="1">
        <f t="array" ref="HN18">_xll.ASAssetInfo($A18,HN$1)</f>
        <v/>
      </c>
      <c r="HO18" s="15" cm="1">
        <f t="array" ref="HO18">_xll.ASAssetInfo($A18,HO$1)</f>
        <v>0</v>
      </c>
      <c r="HP18" s="15" t="str" cm="1">
        <f t="array" ref="HP18">_xll.ASAssetInfo($A18,HP$1)</f>
        <v/>
      </c>
      <c r="HQ18" s="34" t="str" cm="1">
        <f t="array" ref="HQ18">_xll.ASAssetInfo($A18,HQ$1)</f>
        <v/>
      </c>
      <c r="HR18" s="37" t="str" cm="1">
        <f t="array" ref="HR18">_xll.ASAssetInfo($A18,HR$1)</f>
        <v/>
      </c>
      <c r="HS18" s="37" t="str" cm="1">
        <f t="array" ref="HS18">_xll.ASAssetInfo($A18,HS$1)</f>
        <v/>
      </c>
      <c r="HT18" s="37" t="str" cm="1">
        <f t="array" ref="HT18">_xll.ASAssetInfo($A18,HT$1)</f>
        <v/>
      </c>
      <c r="HU18" s="37" t="str" cm="1">
        <f t="array" ref="HU18">_xll.ASAssetInfo($A18,HU$1)</f>
        <v>U.S.</v>
      </c>
      <c r="HV18" s="37" t="str" cm="1">
        <f t="array" ref="HV18">_xll.ASAssetInfo($A18,HV$1)</f>
        <v/>
      </c>
      <c r="HW18" s="37" t="str" cm="1">
        <f t="array" ref="HW18">_xll.ASAssetInfo($A18,HW$1)</f>
        <v/>
      </c>
    </row>
    <row r="19" spans="1:231" s="11" customFormat="1" x14ac:dyDescent="0.25">
      <c r="A19" t="s">
        <v>322</v>
      </c>
      <c r="B19" cm="1">
        <f t="array" ref="B19">_xll.ASPortfolioWeights('PBA Summary'!$C$2,"OR",$A19)</f>
        <v>0</v>
      </c>
      <c r="C19" cm="1">
        <f t="array" ref="C19">_xll.ASAssetStatistic($A19,"Annualized Return since inception",,,,"m",_xll.ASAssetInfo($A19,"Start Date"),_xll.ASAssetInfo($A19,"Last Return Date"))</f>
        <v>6.8744427198464741E-2</v>
      </c>
      <c r="D19" cm="1">
        <f t="array" ref="D19">_xll.ASAssetStatistic($A19,"Annualized Return",,,,"m",'PBA Summary'!$F$2,'PBA Summary'!$G$2)</f>
        <v>7.0092316740155702E-3</v>
      </c>
      <c r="E19" s="19" cm="1">
        <f t="array" ref="E19">_xll.ASAssetStatistic($A19,"Equilibrium Annual Return",,,,"m",'PBA Summary'!$F$2,'PBA Summary'!$G$2)</f>
        <v>-0.2034229991611296</v>
      </c>
      <c r="F19" cm="1">
        <f t="array" ref="F19">_xll.ASAssetStatistic($A19,"Annualized Volatility (Inception)",,,,"m",_xll.ASAssetInfo($A19,"Start Date"),_xll.ASAssetInfo($A19,"Last Return Date"))</f>
        <v>9.0682429375153348E-2</v>
      </c>
      <c r="G19" cm="1">
        <f t="array" ref="G19">_xll.ASAssetStatistic($A19,"Annualized Volatility",,,,"m",'PBA Summary'!$F$2,'PBA Summary'!$G$2)</f>
        <v>7.4591971566962609E-2</v>
      </c>
      <c r="H19" s="20" cm="1">
        <f t="array" ref="H19">_xll.ASAssetStatistic($A19,"Skewness",,,,"m",'PBA Summary'!$F$2,'PBA Summary'!$G$2)</f>
        <v>-3.4375440635146264</v>
      </c>
      <c r="I19" s="20" cm="1">
        <f t="array" ref="I19">_xll.ASAssetStatistic($A19,"Excess kurtosis",,,,"m",'PBA Summary'!$F$2,'PBA Summary'!$G$2)</f>
        <v>12.737269875533485</v>
      </c>
      <c r="J19" s="19" cm="1">
        <f t="array" ref="J19">_xll.ASAssetStatistic($A19,"Return Last 1 month",,,,"m",'PBA Summary'!$F$2,'PBA Summary'!$G$2)</f>
        <v>-7.4487312175329223E-2</v>
      </c>
      <c r="K19" s="19" cm="1">
        <f t="array" ref="K19">_xll.ASAssetStatistic($A19,"Return Last 3 months",,,,"m",'PBA Summary'!$F$2,'PBA Summary'!$G$2)</f>
        <v>-6.9438720063156767E-2</v>
      </c>
      <c r="L19" s="19" cm="1">
        <f t="array" ref="L19">_xll.ASAssetStatistic($A19,"Return Last 1 year",,,,"m",'PBA Summary'!$F$2,'PBA Summary'!$G$2)</f>
        <v>-1.0457125907344489E-2</v>
      </c>
      <c r="M19" s="19" cm="1">
        <f t="array" ref="M19">_xll.ASAssetStatistic($A19,"Year-to-date Return",,,,"m",'PBA Summary'!$F$2,'PBA Summary'!$G$2)</f>
        <v>-7.4487312175329223E-2</v>
      </c>
      <c r="N19" s="19" cm="1">
        <f t="array" ref="N19">_xll.ASAssetStatistic($A19,"Annualized Return",,,,"m",EOMONTH('PBA Summary'!$G$2,-2),'PBA Summary'!$G$2)</f>
        <v>-0.25014047671398365</v>
      </c>
      <c r="O19" s="19" t="str" cm="1">
        <f t="array" ref="O19">_xll.ASAssetStatistic($A19,"Annualized Return Last 3 years",,,,"m",'PBA Summary'!$F$2,'PBA Summary'!$G$2)</f>
        <v/>
      </c>
      <c r="P19" s="19" t="str" cm="1">
        <f t="array" ref="P19">_xll.ASAssetStatistic($A19,"Annualized Return Last 5 years",,,,"m",'PBA Summary'!$F$2,'PBA Summary'!$G$2)</f>
        <v/>
      </c>
      <c r="Q19" s="19" cm="1">
        <f t="array" ref="Q19">_xll.ASAssetStatistic($A19,"Annualized Volatility Last 1 year",,,,"m",'PBA Summary'!$F$2,'PBA Summary'!$G$2)</f>
        <v>8.2071619699499929E-2</v>
      </c>
      <c r="R19" s="19" t="str" cm="1">
        <f t="array" ref="R19">_xll.ASAssetStatistic($A19,"Annualized Volatility Last 3 years",,,,"m",'PBA Summary'!$F$2,'PBA Summary'!$G$2)</f>
        <v/>
      </c>
      <c r="S19" s="19" t="str" cm="1">
        <f t="array" ref="S19">_xll.ASAssetStatistic($A19,"Annualized Volatility Last 5 years",,,,"m",'PBA Summary'!$F$2,'PBA Summary'!$G$2)</f>
        <v/>
      </c>
      <c r="T19" s="19" cm="1">
        <f t="array" ref="T19">_xll.ASAssetStatistic($A19,"Normal monthly VaR 99%",,,,"m",'PBA Summary'!$F$2,'PBA Summary'!$G$2)</f>
        <v>-4.9284673200009031E-2</v>
      </c>
      <c r="U19" s="19" cm="1">
        <f t="array" ref="U19">_xll.ASAssetStatistic($A19,"Modified monthly VaR 99%",,,,"m",'PBA Summary'!$F$2,'PBA Summary'!$G$2)</f>
        <v>-7.2075554565846842E-2</v>
      </c>
      <c r="V19" s="19" cm="1">
        <f t="array" ref="V19">_xll.ASAssetStatistic($A19,"Conditional monthly VaR 99%",,,,"m",'PBA Summary'!$F$2,'PBA Summary'!$G$2)</f>
        <v>-7.4487312175329223E-2</v>
      </c>
      <c r="W19" s="19" cm="1">
        <f t="array" ref="W19">_xll.ASAssetStatistic($A19,"Normal monthly VaR 97%",,,,"m",'PBA Summary'!$F$2,'PBA Summary'!$G$2)</f>
        <v>-3.9690621170027342E-2</v>
      </c>
      <c r="X19" s="19" cm="1">
        <f t="array" ref="X19">_xll.ASAssetStatistic($A19,"Modified monthly VaR 97%",,,,"m",'PBA Summary'!$F$2,'PBA Summary'!$G$2)</f>
        <v>-5.496305399340079E-2</v>
      </c>
      <c r="Y19" s="19" cm="1">
        <f t="array" ref="Y19">_xll.ASAssetStatistic($A19,"Conditional monthly VaR 97%",,,,"m",'PBA Summary'!$F$2,'PBA Summary'!$G$2)</f>
        <v>-7.4487312175329223E-2</v>
      </c>
      <c r="Z19" s="19" cm="1">
        <f t="array" ref="Z19">_xll.ASAssetStatistic($A19,"Normal monthly VaR 95%",,,,"m",'PBA Summary'!$F$2,'PBA Summary'!$G$2)</f>
        <v>-3.4610161551794201E-2</v>
      </c>
      <c r="AA19" s="19" cm="1">
        <f t="array" ref="AA19">_xll.ASAssetStatistic($A19,"Modified monthly VaR 95%",,,,"m",'PBA Summary'!$F$2,'PBA Summary'!$G$2)</f>
        <v>-4.5336734054719594E-2</v>
      </c>
      <c r="AB19" s="19" cm="1">
        <f t="array" ref="AB19">_xll.ASAssetStatistic($A19,"Conditional monthly VaR 95%",,,,"m",'PBA Summary'!$F$2,'PBA Summary'!$G$2)</f>
        <v>-7.4487312175329223E-2</v>
      </c>
      <c r="AC19" s="66" cm="1">
        <f t="array" ref="AC19">_xll.ASAssetStatistic($A19,"Correlation to Benchmark 1","MSCI ACWI Index",,,"m",'PBA Summary'!$F$2,'PBA Summary'!$G$2)</f>
        <v>0.22619076028826604</v>
      </c>
      <c r="AD19" s="38" cm="1">
        <f t="array" ref="AD19">IF('PBA Summary'!$D$3="","",_xll.ASAssetStatistic($A19,"Correlation to Benchmark 1",'PBA Summary'!$D$3,,,"m",'PBA Summary'!$F$2,'PBA Summary'!$G$2))</f>
        <v>0.17115716510229848</v>
      </c>
      <c r="AE19" s="21" cm="1">
        <f t="array" ref="AE19">IF('PBA Summary'!$D$2="","",_xll.ASAssetStatistic($A19,"Bull correlation to Benchmark 1",'PBA Summary'!$D$2,,,"m",'PBA Summary'!$F$2,'PBA Summary'!$G$2))</f>
        <v>0.52784006620287061</v>
      </c>
      <c r="AF19" s="21" cm="1">
        <f t="array" ref="AF19">IF('PBA Summary'!$D$2="","",_xll.ASAssetStatistic($A19,"Bear correlation to Benchmark 1",'PBA Summary'!$D$2,,,"m",'PBA Summary'!$F$2,'PBA Summary'!$G$2))</f>
        <v>-0.56258972949074082</v>
      </c>
      <c r="AG19" s="21" cm="1">
        <f t="array" ref="AG19">IF('PBA Summary'!$D$3="","",_xll.ASAssetStatistic($A19,"Bull correlation to Benchmark 1",'PBA Summary'!$D$3,,,"m",'PBA Summary'!$F$2,'PBA Summary'!$G$2))</f>
        <v>0.52784006620287061</v>
      </c>
      <c r="AH19" s="21" cm="1">
        <f t="array" ref="AH19">IF('PBA Summary'!$D$3="","",_xll.ASAssetStatistic($A19,"Bear correlation to Benchmark 1",'PBA Summary'!$D$3,,,"m",'PBA Summary'!$F$2,'PBA Summary'!$G$2))</f>
        <v>-0.56258972949074082</v>
      </c>
      <c r="AI19" s="24" cm="1">
        <f t="array" ref="AI19">IF('PBA Summary'!$D$2="","",_xll.ASAssetStatistic($A19,"Beta to Benchmark 1",'PBA Summary'!$D$2,,,"m",'PBA Summary'!$F$2,'PBA Summary'!$G$2))</f>
        <v>8.3159315004426707E-2</v>
      </c>
      <c r="AJ19" s="24" t="str" cm="1">
        <f t="array" ref="AJ19">IF('PBA Summary'!$D$2="","",_xll.ASAssetStatistic($A19,"Beta to Benchmark 1 Last 3 years",'PBA Summary'!$D$2,,,"m",'PBA Summary'!$F$2,'PBA Summary'!$G$2))</f>
        <v/>
      </c>
      <c r="AK19" s="24" t="str" cm="1">
        <f t="array" ref="AK19">IF('PBA Summary'!$D$2="","",_xll.ASAssetStatistic($A19,"Beta to Benchmark 1 Last 5 years",'PBA Summary'!$D$2,,,"m",'PBA Summary'!$F$2,'PBA Summary'!$G$2))</f>
        <v/>
      </c>
      <c r="AL19" s="25" cm="1">
        <f t="array" ref="AL19">IF('PBA Summary'!$D$3="","",_xll.ASAssetStatistic($A19,"Beta to Benchmark 1",'PBA Summary'!$D$3,,,"m",'PBA Summary'!$F$2,'PBA Summary'!$G$2))</f>
        <v>8.3159315004426707E-2</v>
      </c>
      <c r="AM19" s="25" t="str" cm="1">
        <f t="array" ref="AM19">IF('PBA Summary'!$D$3="","",_xll.ASAssetStatistic($A19,"Beta to Benchmark 1 Last 3 years",'PBA Summary'!$D$3,,,"m",'PBA Summary'!$F$2,'PBA Summary'!$G$2))</f>
        <v/>
      </c>
      <c r="AN19" s="25" t="str" cm="1">
        <f t="array" ref="AN19">IF('PBA Summary'!$D$3="","",_xll.ASAssetStatistic($A19,"Beta to Benchmark 1 Last 5 years",'PBA Summary'!$D$3,,,"m",'PBA Summary'!$F$2,'PBA Summary'!$G$2))</f>
        <v/>
      </c>
      <c r="AO19" s="25" cm="1">
        <f t="array" ref="AO19">IF('PBA Summary'!$D$2="","",_xll.ASAssetStatistic($A19,"Bull Beta to Benchmark 1",'PBA Summary'!$D$2,,,"m",'PBA Summary'!$F$2,'PBA Summary'!$G$2))</f>
        <v>0.13714205940960195</v>
      </c>
      <c r="AP19" s="25" cm="1">
        <f t="array" ref="AP19">IF('PBA Summary'!$D$2="","",_xll.ASAssetStatistic($A19,"Bear Beta to Benchmark 1",'PBA Summary'!$D$2,,,"m",'PBA Summary'!$F$2,'PBA Summary'!$G$2))</f>
        <v>-0.5518866573438046</v>
      </c>
      <c r="AQ19" s="25" cm="1">
        <f t="array" ref="AQ19">IF('PBA Summary'!$D$3="","",_xll.ASAssetStatistic($A19,"Bull Beta to Benchmark 1",'PBA Summary'!$D$3,,,"m",'PBA Summary'!$F$2,'PBA Summary'!$G$2))</f>
        <v>0.13714205940960195</v>
      </c>
      <c r="AR19" s="25" cm="1">
        <f t="array" ref="AR19">IF('PBA Summary'!$D$3="","",_xll.ASAssetStatistic($A19,"Bear Beta to Benchmark 1",'PBA Summary'!$D$3,,,"m",'PBA Summary'!$F$2,'PBA Summary'!$G$2))</f>
        <v>-0.5518866573438046</v>
      </c>
      <c r="AS19" s="25" cm="1">
        <f t="array" ref="AS19">_xll.ASAssetStatistic($A19,"Annual Sharpe Ratio (Rf)",,,'PBA Summary'!$H$2,"m",'PBA Summary'!$F$2,'PBA Summary'!$G$2)</f>
        <v>6.0451970624848653E-2</v>
      </c>
      <c r="AT19" s="25" t="str" cm="1">
        <f t="array" ref="AT19">_xll.ASAssetStatistic($A19,"Annual Sharpe Ratio (Rf) Last 3 years",,,'PBA Summary'!$H$2,"m",'PBA Summary'!$F$2,'PBA Summary'!$G$2)</f>
        <v/>
      </c>
      <c r="AU19" s="25" t="str" cm="1">
        <f t="array" ref="AU19">_xll.ASAssetStatistic($A19,"Annual Sharpe Ratio (Rf) Last 5 years",,,'PBA Summary'!$H$2,"m",'PBA Summary'!$F$2,'PBA Summary'!$G$2)</f>
        <v/>
      </c>
      <c r="AV19" s="18" cm="1">
        <f t="array" ref="AV19">_xll.ASAssetStatistic($A19,"Ann. Downside Deviation (vs 0%)",,,'PBA Summary'!$H$2,"m",'PBA Summary'!$F$2,'PBA Summary'!$G$2)</f>
        <v>6.6638638398769323E-2</v>
      </c>
      <c r="AW19" s="18" cm="1">
        <f t="array" ref="AW19">_xll.ASAssetStatistic($A19,"Ann. Downside Deviation (vs Rf)",,,'PBA Summary'!$H$2,"m",'PBA Summary'!$F$2,'PBA Summary'!$G$2)</f>
        <v>6.6829990696672628E-2</v>
      </c>
      <c r="AX19" s="39" cm="1">
        <f t="array" ref="AX19">_xll.ASAssetStatistic($A19,"Annual Treynor ratio",,,'PBA Summary'!$H$2,"m",'PBA Summary'!$F$2,'PBA Summary'!$G$2)</f>
        <v>1.5347635006575558E-2</v>
      </c>
      <c r="AY19" s="26" cm="1">
        <f t="array" ref="AY19">_xll.ASAssetStatistic($A19,"Annual Sortino Ratio (vs 0%)",,,'PBA Summary'!$H$2,"m",'PBA Summary'!$F$2,'PBA Summary'!$G$2)</f>
        <v>0.10518269644214423</v>
      </c>
      <c r="AZ19" s="26" cm="1">
        <f t="array" ref="AZ19">_xll.ASAssetStatistic($A19,"Annual Sortino Ratio (vs Rf)",,,'PBA Summary'!$H$2,"m",'PBA Summary'!$F$2,'PBA Summary'!$G$2)</f>
        <v>6.7473175246754571E-2</v>
      </c>
      <c r="BA19" s="26" cm="1">
        <f t="array" ref="BA19">_xll.ASAssetStatistic($A19,"Sterling ratio",,,'PBA Summary'!$H$2,"m",'PBA Summary'!$F$2,'PBA Summary'!$G$2)</f>
        <v>4.0170437532859225E-2</v>
      </c>
      <c r="BB19" s="26" cm="1">
        <f t="array" ref="BB19">_xll.ASAssetStatistic($A19,"Calmar ratio",,,'PBA Summary'!$H$2,"m",'PBA Summary'!$F$2,'PBA Summary'!$G$2)</f>
        <v>9.4099672404840407E-2</v>
      </c>
      <c r="BC19" s="26" cm="1">
        <f t="array" ref="BC19">_xll.ASAssetStatistic($A19,"Hurst index",,,'PBA Summary'!$H$2,"m",'PBA Summary'!$F$2,'PBA Summary'!$G$2)</f>
        <v>0.46255444643336296</v>
      </c>
      <c r="BD19" s="26" cm="1">
        <f t="array" ref="BD19">_xll.ASAssetStatistic($A19,"Omega (Threshold 1)",,,'PBA Summary'!$H$2,"m",'PBA Summary'!$F$2,'PBA Summary'!$G$2)</f>
        <v>1.1586941181587487</v>
      </c>
      <c r="BE19" s="26" cm="1">
        <f t="array" ref="BE19">_xll.ASAssetStatistic($A19,"Omega (Threshold 2)",,,'PBA Summary'!$H$2,"m",'PBA Summary'!$F$2,'PBA Summary'!$G$2)</f>
        <v>0.36878069537098829</v>
      </c>
      <c r="BF19" s="26" cm="1">
        <f t="array" ref="BF19">_xll.ASAssetStatistic($A19,"Omega (Threshold 3)",,,'PBA Summary'!$H$2,"m",'PBA Summary'!$F$2,'PBA Summary'!$G$2)</f>
        <v>0.10333487918294303</v>
      </c>
      <c r="BG19" s="26" cm="1">
        <f t="array" ref="BG19">_xll.ASAssetStatistic($A19,"Omega (Threshold 4)",,,'PBA Summary'!$H$2,"m",'PBA Summary'!$F$2,'PBA Summary'!$G$2)</f>
        <v>1.3186804904013839E-2</v>
      </c>
      <c r="BH19" s="26" cm="1">
        <f t="array" ref="BH19">_xll.ASAssetStatistic($A19,"Omega (Threshold 5)",,,'PBA Summary'!$H$2,"m",'PBA Summary'!$F$2,'PBA Summary'!$G$2)</f>
        <v>0</v>
      </c>
      <c r="BI19" s="26" t="str" cm="1">
        <f t="array" ref="BI19">_xll.ASAssetStatistic($A19,"Autocorrelated (illiquid)",,,'PBA Summary'!$H$2,"m",'PBA Summary'!$F$2,'PBA Summary'!$G$2)</f>
        <v>No</v>
      </c>
      <c r="BJ19" s="27" cm="1">
        <f t="array" ref="BJ19">_xll.ASAssetStatistic($A19,"% months in Run Up",,,'PBA Summary'!$H$2,"m",'PBA Summary'!$F$2,'PBA Summary'!$G$2)</f>
        <v>0.8</v>
      </c>
      <c r="BK19" s="27" cm="1">
        <f t="array" ref="BK19">_xll.ASAssetStatistic($A19,"% months in Drawdown",,,'PBA Summary'!$H$2,"m",'PBA Summary'!$F$2,'PBA Summary'!$G$2)</f>
        <v>0.2</v>
      </c>
      <c r="BL19" s="18" cm="1">
        <f t="array" ref="BL19">IF('PBA Summary'!$D$2="","",_xll.ASAssetStatistic($A19,"Bull Beta to Benchmark 1",'PBA Summary'!$D$2,,,"m",'PBA Summary'!$F$2,'PBA Summary'!$G$2))</f>
        <v>0.13714205940960195</v>
      </c>
      <c r="BM19" s="18" cm="1">
        <f t="array" ref="BM19">IF('PBA Summary'!$D$2="","",_xll.ASAssetStatistic($A19,"Average return during bear Benchmark 1",'PBA Summary'!$D$2,,,"m",'PBA Summary'!$F$2,'PBA Summary'!$G$2))</f>
        <v>-1.3778976694549416E-2</v>
      </c>
      <c r="BN19" s="18" cm="1">
        <f t="array" ref="BN19">IF('PBA Summary'!$D$3="","",_xll.ASAssetStatistic($A19,"Average return during bull Benchmark 1",'PBA Summary'!$D$3,,,"m",'PBA Summary'!$F$2,'PBA Summary'!$G$2))</f>
        <v>6.1126560411598066E-3</v>
      </c>
      <c r="BO19" s="18" cm="1">
        <f t="array" ref="BO19">IF('PBA Summary'!$D$3="","",_xll.ASAssetStatistic($A19,"Average return during bear Benchmark 1",'PBA Summary'!$D$3,,,"m",'PBA Summary'!$F$2,'PBA Summary'!$G$2))</f>
        <v>-1.3778976694549416E-2</v>
      </c>
      <c r="BP19" s="27" cm="1">
        <f t="array" ref="BP19">_xll.ASAssetStatistic($A19,"Maximum consecutive gain",,,'PBA Summary'!$H$2,"m",'PBA Summary'!$F$2,'PBA Summary'!$G$2)</f>
        <v>8.4036800334404749E-2</v>
      </c>
      <c r="BQ19" s="27" cm="1">
        <f t="array" ref="BQ19">_xll.ASAssetStatistic($A19,"Maximum consecutive loss",,,'PBA Summary'!$H$2,"m",'PBA Summary'!$F$2,'PBA Summary'!$G$2)</f>
        <v>-7.4487312175329223E-2</v>
      </c>
      <c r="BR19" s="27" cm="1">
        <f t="array" ref="BR19">_xll.ASAssetStatistic($A19,"Max monthly gain",,,'PBA Summary'!$H$2,"m",'PBA Summary'!$F$2,'PBA Summary'!$G$2)</f>
        <v>1.7844675565632961E-2</v>
      </c>
      <c r="BS19" s="27" cm="1">
        <f t="array" ref="BS19">_xll.ASAssetStatistic($A19,"Max monthly loss",,,'PBA Summary'!$H$2,"m",'PBA Summary'!$F$2,'PBA Summary'!$G$2)</f>
        <v>-7.4487312175329223E-2</v>
      </c>
      <c r="BT19" s="27" cm="1">
        <f t="array" ref="BT19">_xll.ASAssetStatistic($A19,"Max drawdown",,,'PBA Summary'!$H$2,"m",'PBA Summary'!$F$2,'PBA Summary'!$G$2)</f>
        <v>-7.4487312175329334E-2</v>
      </c>
      <c r="BU19" s="28" cm="1">
        <f t="array" ref="BU19">_xll.ASAssetStatistic($A19,"Date Max drawdown",,,'PBA Summary'!$H$2,"m",'PBA Summary'!$F$2,'PBA Summary'!$G$2)</f>
        <v>43861</v>
      </c>
      <c r="BV19" s="28" cm="1">
        <f t="array" ref="BV19">_xll.ASAssetStatistic($A19,"Start Date Max Drawdown",,,'PBA Summary'!$H$2,"m",'PBA Summary'!$F$2,'PBA Summary'!$G$2)</f>
        <v>43861</v>
      </c>
      <c r="BW19" s="28" t="str" cm="1">
        <f t="array" ref="BW19">_xll.ASAssetStatistic($A19,"End Date Max Drawdown",,,'PBA Summary'!$H$2,"m",'PBA Summary'!$F$2,'PBA Summary'!$G$2)</f>
        <v/>
      </c>
      <c r="BX19" s="29" cm="1">
        <f t="array" ref="BX19">_xll.ASAssetStatistic($A19,"Max Time-under-water (months)",,,'PBA Summary'!$H$2,"m",'PBA Summary'!$F$2,'PBA Summary'!$G$2)</f>
        <v>2</v>
      </c>
      <c r="BY19" s="27" cm="1">
        <f t="array" ref="BY19">_xll.ASAssetStatistic($A19,"Max possible drawdown 99%",,,'PBA Summary'!$H$2,"m",'PBA Summary'!$F$2,'PBA Summary'!$G$2)</f>
        <v>-0.77617975653648208</v>
      </c>
      <c r="BZ19" s="27" cm="1">
        <f t="array" ref="BZ19">_xll.ASAssetStatistic($A19,"Max possible drawdown 99.9%",,,'PBA Summary'!$H$2,"m",'PBA Summary'!$F$2,'PBA Summary'!$G$2)</f>
        <v>-1</v>
      </c>
      <c r="CA19" s="30" cm="1">
        <f t="array" ref="CA19">_xll.ASAssetStatistic($A19,"Max Possible Time-under-water 99% (months)",,,'PBA Summary'!$H$2,"m",'PBA Summary'!$F$2,'PBA Summary'!$G$2)</f>
        <v>3841.4250433537932</v>
      </c>
      <c r="CB19" s="30" cm="1">
        <f t="array" ref="CB19">_xll.ASAssetStatistic($A19,"Max Possible Time-under-water 99.9% (months)",,,'PBA Summary'!$H$2,"m",'PBA Summary'!$F$2,'PBA Summary'!$G$2)</f>
        <v>6778.3705098258361</v>
      </c>
      <c r="CC19" s="17" cm="1">
        <f t="array" ref="CC19">_xll.ASPortfolioReturnAttribution('PBA Summary'!$C$2,"OR",A19,"Last 1m",'PBA Summary'!$F$2,'PBA Summary'!$G$2)</f>
        <v>0</v>
      </c>
      <c r="CD19" s="11" t="str" cm="1">
        <f t="array" ref="CD19">_xll.ASAssetInfo($A19,"Strategy")</f>
        <v>DIrect Holdings - Bonds</v>
      </c>
      <c r="CE19" s="14" cm="1">
        <f t="array" ref="CE19">_xll.ASAssetInfo($A19,"Start Date")</f>
        <v>36217</v>
      </c>
      <c r="CF19" s="14" t="str" cm="1">
        <f t="array" ref="CF19">_xll.ASAssetRatings($A19,"Quantitative",0,0,0,0,0,'PBA Summary'!$F$2,'PBA Summary'!$G$2)</f>
        <v/>
      </c>
      <c r="CG19" s="14" t="str" cm="1">
        <f t="array" ref="CG19">_xll.ASAssetRatings($A19,"Qualitative",0,0,0,0,0,'PBA Summary'!$F$2,'PBA Summary'!$G$2)</f>
        <v/>
      </c>
      <c r="CH19" s="14" t="str" cm="1">
        <f t="array" ref="CH19">_xll.ASAssetRatings($A19,"Final",0,0,0,0,0,'PBA Summary'!$F$2,'PBA Summary'!$G$2)</f>
        <v/>
      </c>
      <c r="CI19" s="14" cm="1">
        <f t="array" ref="CI19">_xll.ASAssetInfo($A19,"Last Return Date")</f>
        <v>44134</v>
      </c>
      <c r="CJ19" s="14" t="str" cm="1">
        <f t="array" ref="CJ19">_xll.ASAssetInfo($A19,"Company Name")</f>
        <v/>
      </c>
      <c r="CK19" s="14" t="str" cm="1">
        <f t="array" ref="CK19">_xll.ASAssetInfo($A19,"Manager Name")</f>
        <v/>
      </c>
      <c r="CL19" s="14" t="str" cm="1">
        <f t="array" ref="CL19">_xll.ASAssetInfo($A19,"Address")</f>
        <v/>
      </c>
      <c r="CM19" s="14" t="str" cm="1">
        <f t="array" ref="CM19">_xll.ASAssetInfo($A19,"Phone Number")</f>
        <v/>
      </c>
      <c r="CN19" s="14" t="str" cm="1">
        <f t="array" ref="CN19">_xll.ASAssetInfo($A19,"Email")</f>
        <v/>
      </c>
      <c r="CO19" s="14" t="str" cm="1">
        <f t="array" ref="CO19">_xll.ASAssetInfo($A19,"Asset Type")</f>
        <v>Fixed Income</v>
      </c>
      <c r="CP19" s="14" t="str" cm="1">
        <f t="array" ref="CP19">_xll.ASAssetInfo($A19,"Proprietary ID")</f>
        <v/>
      </c>
      <c r="CQ19" s="14" t="str" cm="1">
        <f t="array" ref="CQ19">_xll.ASAssetInfo($A19,"Country")</f>
        <v>[Not Classified]</v>
      </c>
      <c r="CR19" s="14" t="str" cm="1">
        <f t="array" ref="CR19">_xll.ASAssetInfo($A19,"Currency")</f>
        <v>USD</v>
      </c>
      <c r="CS19" s="14" t="str" cm="1">
        <f t="array" ref="CS19">_xll.ASAssetInfo($A19,"Sub-Strategy")</f>
        <v/>
      </c>
      <c r="CT19" s="31" t="str" cm="1">
        <f t="array" ref="CT19">_xll.ASAssetInfo($A19,"Fund AUM (m)")</f>
        <v/>
      </c>
      <c r="CU19" s="31" t="str" cm="1">
        <f t="array" ref="CU19">_xll.ASAssetInfo($A19,"Status")</f>
        <v>Unknown</v>
      </c>
      <c r="CV19" s="31" t="str" cm="1">
        <f t="array" ref="CV19">_xll.ASAssetInfo($A19,"Redemption 1 Frequency")</f>
        <v>Unknown</v>
      </c>
      <c r="CW19" s="31" t="str" cm="1">
        <f t="array" ref="CW19">_xll.ASAssetInfo($A19,"Redemption 2 Frequency")</f>
        <v>Unknown</v>
      </c>
      <c r="CX19" s="31" t="str" cm="1">
        <f t="array" ref="CX19">_xll.ASAssetInfo($A19,"Redemption 3 Frequency")</f>
        <v>Unknown</v>
      </c>
      <c r="CY19" s="31" t="str" cm="1">
        <f t="array" ref="CY19">_xll.ASAssetInfo($A19,"Notice Period")</f>
        <v/>
      </c>
      <c r="CZ19" s="15" t="str" cm="1">
        <f t="array" ref="CZ19">_xll.ASAssetInfo($A19,"Performance Fee")</f>
        <v/>
      </c>
      <c r="DA19" s="15" t="str" cm="1">
        <f t="array" ref="DA19">_xll.ASAssetInfo($A19,"Management Fee")</f>
        <v/>
      </c>
      <c r="DB19" s="15" t="str" cm="1">
        <f t="array" ref="DB19">_xll.ASAssetInfo($A19,"ISIN")</f>
        <v>US247361ZJ00</v>
      </c>
      <c r="DC19" s="16" cm="1">
        <f t="array" ref="DC19">_xll.ASAssetStatistic($A19,"Return during " &amp;YEAR(EOMONTH('PBA Summary'!$G$2,-60)),,,,"M",DATE(YEAR(EOMONTH('PBA Summary'!$G$2,-60)),1,31),DATE(YEAR(EOMONTH('PBA Summary'!$G$2,-60)),12,31))</f>
        <v>-6.8790977521887564E-3</v>
      </c>
      <c r="DD19" s="16" cm="1">
        <f t="array" ref="DD19">_xll.ASAssetStatistic($A19,"Return during " &amp;YEAR(EOMONTH('PBA Summary'!$G$2,-48)),,,,"M",DATE(YEAR(EOMONTH('PBA Summary'!$G$2,-48)),1,31),DATE(YEAR(EOMONTH('PBA Summary'!$G$2,-48)),12,31))</f>
        <v>0.15600706340510584</v>
      </c>
      <c r="DE19" s="16" cm="1">
        <f t="array" ref="DE19">_xll.ASAssetStatistic($A19,"Return during " &amp;YEAR(EOMONTH('PBA Summary'!$G$2,-36)),,,,"M",DATE(YEAR(EOMONTH('PBA Summary'!$G$2,-36)),1,31),DATE(YEAR(EOMONTH('PBA Summary'!$G$2,-36)),12,31))</f>
        <v>6.1397830134515274E-2</v>
      </c>
      <c r="DF19" s="16" cm="1">
        <f t="array" ref="DF19">_xll.ASAssetStatistic($A19,"Return during " &amp;YEAR(EOMONTH('PBA Summary'!$G$2,-24)),,,,"M",DATE(YEAR(EOMONTH('PBA Summary'!$G$2,-24)),1,31),DATE(YEAR(EOMONTH('PBA Summary'!$G$2,-24)),12,31))</f>
        <v>-4.552647496540696E-2</v>
      </c>
      <c r="DG19" s="16" cm="1">
        <f t="array" ref="DG19">_xll.ASAssetStatistic($A19,"Return during " &amp;YEAR(EOMONTH('PBA Summary'!$G$2,-12)),,,,"M",DATE(YEAR(EOMONTH('PBA Summary'!$G$2,-12)),1,31),DATE(YEAR(EOMONTH('PBA Summary'!$G$2,-12)),12,31))</f>
        <v>8.8262709835402076E-2</v>
      </c>
      <c r="DH19" s="11" t="str" cm="1">
        <f t="array" ref="DH19">_xll.ASAssetInfo($A19,"Prime Broker")</f>
        <v/>
      </c>
      <c r="DI19" s="16" cm="1">
        <f t="array" ref="DI19">_xll.ASAssetStatistic($A19,"Return",,,,"m",'PBA Summary'!$F$2,'PBA Summary'!$G$2)</f>
        <v>8.7692026396963829E-3</v>
      </c>
      <c r="DJ19" s="33" cm="1">
        <f t="array" ref="DJ19">IF('PBA Summary'!$D$2="","",_xll.ASAssetStatistic($A19,"Ann. Information Ratio vs Benchmark 1",'PBA Summary'!$D$2,,,"m",'PBA Summary'!$F$2,'PBA Summary'!$G$2))</f>
        <v>-1.0410325830385416</v>
      </c>
      <c r="DK19" s="33" cm="1">
        <f t="array" ref="DK19">IF('PBA Summary'!$D$3="","",_xll.ASAssetStatistic($A19,"Ann. Information Ratio vs Benchmark 1",'PBA Summary'!$D$3,,,"m",'PBA Summary'!$F$2,'PBA Summary'!$G$2))</f>
        <v>-1.0410325830385416</v>
      </c>
      <c r="DL19" s="33" cm="1">
        <f t="array" ref="DL19">IF('PBA Summary'!$D$2="","",_xll.ASAssetStatistic($A19,"Ann. Tracking Error vs Benchmark 1",'PBA Summary'!$D$2,,,"m",'PBA Summary'!$F$2,'PBA Summary'!$G$2))</f>
        <v>0.15878763570508891</v>
      </c>
      <c r="DM19" s="33" cm="1">
        <f t="array" ref="DM19">IF('PBA Summary'!$D$3="","",_xll.ASAssetStatistic($A19,"Ann. Tracking Error vs Benchmark 1",'PBA Summary'!$D$3,,,"m",'PBA Summary'!$F$2,'PBA Summary'!$G$2))</f>
        <v>0.15878763570508891</v>
      </c>
      <c r="DN19" s="33" cm="1">
        <f t="array" ref="DN19">IF('PBA Summary'!$D$2="","",_xll.ASAssetStatistic($A19,"R² vs Benchmark 1",'PBA Summary'!$D$2,,,"m",'PBA Summary'!$F$2,'PBA Summary'!$G$2))</f>
        <v>2.929477516585546E-2</v>
      </c>
      <c r="DO19" s="33" cm="1">
        <f t="array" ref="DO19">IF('PBA Summary'!$D$3="","",_xll.ASAssetStatistic($A19,"R² vs Benchmark 1",'PBA Summary'!$D$3,,,"m",'PBA Summary'!$F$2,'PBA Summary'!$G$2))</f>
        <v>2.929477516585546E-2</v>
      </c>
      <c r="DP19" s="11" t="str" cm="1">
        <f t="array" ref="DP19">_xll.ASAssetInfo($A19,"On-/Offshore")</f>
        <v>Unknown</v>
      </c>
      <c r="DQ19" s="16" cm="1">
        <f t="array" ref="DQ19">_xll.ASAssetStatistic($A19,"Quarter-to-date",,,,"m",'PBA Summary'!$F$2,'PBA Summary'!$G$2)</f>
        <v>-7.4487312175329223E-2</v>
      </c>
      <c r="DR19" s="16" cm="1">
        <f t="array" ref="DR19">_xll.ASAssetStatistic($A19,"Annualized Return Since inception",,,,"m",'PBA Summary'!$F$2,'PBA Summary'!$G$2)</f>
        <v>6.8744427198464741E-2</v>
      </c>
      <c r="DS19" s="16" cm="1">
        <f t="array" ref="DS19">IF('PBA Summary'!$D$2="","",_xll.ASAssetStatistic($A19,"Ann. Bear Market Return vs Benchmark 1",'PBA Summary'!$D$2,,,"m",'PBA Summary'!$F$2,'PBA Summary'!$G$2))</f>
        <v>-0.1600756914233018</v>
      </c>
      <c r="DT19" s="16" cm="1">
        <f t="array" ref="DT19">IF('PBA Summary'!$D$2="","",_xll.ASAssetStatistic($A19,"Ann. Bull Market Return vs Benchmark 1",'PBA Summary'!$D$2,,,"m",'PBA Summary'!$F$2,'PBA Summary'!$G$2))</f>
        <v>7.5686111931622779E-2</v>
      </c>
      <c r="DU19" s="16" cm="1">
        <f t="array" ref="DU19">IF('PBA Summary'!$D$3="","",_xll.ASAssetStatistic($A19,"Ann. Bear Market Return vs Benchmark 1",'PBA Summary'!$D$3,,,"m",'PBA Summary'!$F$2,'PBA Summary'!$G$2))</f>
        <v>-0.1600756914233018</v>
      </c>
      <c r="DV19" s="16" cm="1">
        <f t="array" ref="DV19">IF('PBA Summary'!$D$3="","",_xll.ASAssetStatistic($A19,"Ann. Bull Market Return vs Benchmark 1",'PBA Summary'!$D$3,,,"m",'PBA Summary'!$F$2,'PBA Summary'!$G$2))</f>
        <v>7.5686111931622779E-2</v>
      </c>
      <c r="DW19" s="17" cm="1">
        <f t="array" ref="DW19">_xll.ASAssetStatistic($A19,"Average Positive Return",,,,"m",'PBA Summary'!$F$2,'PBA Summary'!$G$2)</f>
        <v>7.3764588628703609E-3</v>
      </c>
      <c r="DX19" s="17" cm="1">
        <f t="array" ref="DX19">_xll.ASAssetStatistic($A19,"Average Negative Return",,,,"m",'PBA Summary'!$F$2,'PBA Summary'!$G$2)</f>
        <v>-2.546473222662804E-2</v>
      </c>
      <c r="DY19" s="16" cm="1">
        <f t="array" ref="DY19">IF('PBA Summary'!$D$2="","",_xll.ASAssetStatistic($A19,"Outperformance vs Benchmark 1",'PBA Summary'!$D$2,,,"m",'PBA Summary'!$F$2,'PBA Summary'!$G$2))</f>
        <v>-0.21107444216902227</v>
      </c>
      <c r="DZ19" s="16" cm="1">
        <f t="array" ref="DZ19">IF('PBA Summary'!$D$3="","",_xll.ASAssetStatistic($A19,"Outperformance vs Benchmark 1",'PBA Summary'!$D$3,,,"m",'PBA Summary'!$F$2,'PBA Summary'!$G$2))</f>
        <v>-0.21107444216902227</v>
      </c>
      <c r="EA19" s="16" cm="1">
        <f t="array" ref="EA19">IF('PBA Summary'!$D$2="","",_xll.ASAssetStatistic($A19,"Annual Outperformance vs Benchmark 1",'PBA Summary'!$D$2,,,"m",'PBA Summary'!$F$2,'PBA Summary'!$G$2))</f>
        <v>-0.16530310255265168</v>
      </c>
      <c r="EB19" s="16" cm="1">
        <f t="array" ref="EB19">IF('PBA Summary'!$D$3="","",_xll.ASAssetStatistic($A19,"Annual Outperformance vs Benchmark 1",'PBA Summary'!$D$3,,,"m",'PBA Summary'!$F$2,'PBA Summary'!$G$2))</f>
        <v>-0.16530310255265168</v>
      </c>
      <c r="EC19" s="32" cm="1">
        <f t="array" ref="EC19">_xll.ASAssetStatistic($A19,"Rachev Ratio 99%",,,,"m",'PBA Summary'!$F$2,'PBA Summary'!$G$2)</f>
        <v>-0.2395666462447984</v>
      </c>
      <c r="ED19" s="32" cm="1">
        <f t="array" ref="ED19">_xll.ASAssetStatistic($A19,"Rachev Ratio 97%",,,,"m",'PBA Summary'!$F$2,'PBA Summary'!$G$2)</f>
        <v>-0.2395666462447984</v>
      </c>
      <c r="EE19" s="32" cm="1">
        <f t="array" ref="EE19">_xll.ASAssetStatistic($A19,"Rachev Ratio 95%",,,,"m",'PBA Summary'!$F$2,'PBA Summary'!$G$2)</f>
        <v>-0.2395666462447984</v>
      </c>
      <c r="EF19" s="32" cm="1">
        <f t="array" ref="EF19">_xll.ASAssetStatistic($A19,"Rachev Ratio 90%",,,,"m",'PBA Summary'!$F$2,'PBA Summary'!$G$2)</f>
        <v>-0.42225480720763814</v>
      </c>
      <c r="EG19" s="34" cm="1">
        <f t="array" ref="EG19">IF('PBA Summary'!$D$2="","",_xll.ASAssetStatistic($A19,"Annual Up Capture vs Benchmark 1",'PBA Summary'!$D$2,,,"m",'PBA Summary'!$F$2,'PBA Summary'!$G$2))</f>
        <v>0.14951587465027269</v>
      </c>
      <c r="EH19" s="34" cm="1">
        <f t="array" ref="EH19">IF('PBA Summary'!$D$3="","",_xll.ASAssetStatistic($A19,"Annual Up Capture vs Benchmark 1",'PBA Summary'!$D$3,,,"m",'PBA Summary'!$F$2,'PBA Summary'!$G$2))</f>
        <v>0.14951587465027269</v>
      </c>
      <c r="EI19" s="34" cm="1">
        <f t="array" ref="EI19">IF('PBA Summary'!$D$2="","",_xll.ASAssetStatistic($A19,"Annual Down Capture vs Benchmark 1",'PBA Summary'!$D$2,,,"m",'PBA Summary'!$F$2,'PBA Summary'!$G$2))</f>
        <v>0.38898294815906531</v>
      </c>
      <c r="EJ19" s="34" cm="1">
        <f t="array" ref="EJ19">IF('PBA Summary'!$D$3="","",_xll.ASAssetStatistic($A19,"Annual Down Capture vs Benchmark 1",'PBA Summary'!$D$3,,,"m",'PBA Summary'!$F$2,'PBA Summary'!$G$2))</f>
        <v>0.38898294815906531</v>
      </c>
      <c r="EK19" s="16" cm="1">
        <f t="array" ref="EK19">IF('PBA Summary'!$D$2="","",_xll.ASAssetStatistic($A19,"Ann. Tracking Error vs Benchmark 1",'PBA Summary'!$D$2,,,"m",'PBA Summary'!$F$2,'PBA Summary'!$G$2))</f>
        <v>0.15878763570508891</v>
      </c>
      <c r="EL19" s="16" cm="1">
        <f t="array" ref="EL19">IF('PBA Summary'!$D$3="","",_xll.ASAssetStatistic($A19,"Ann. Tracking Error vs Benchmark 1",'PBA Summary'!$D$3,,,"m",'PBA Summary'!$F$2,'PBA Summary'!$G$2))</f>
        <v>0.15878763570508891</v>
      </c>
      <c r="EM19" s="16" cm="1">
        <f t="array" ref="EM19">IF('PBA Summary'!$D$2="","",_xll.ASAssetStatistic($A19,"Annual Jensen Alpha vs Benchmark 1 (Rf)",'PBA Summary'!$D$2,,,"m",'PBA Summary'!$F$2,'PBA Summary'!$G$2))</f>
        <v>-9.6122457195768427E-3</v>
      </c>
      <c r="EN19" s="16" cm="1">
        <f t="array" ref="EN19">IF('PBA Summary'!$D$3="","",_xll.ASAssetStatistic($A19,"Annual Jensen Alpha vs Benchmark 1 (Rf)",'PBA Summary'!$D$3,,,"m",'PBA Summary'!$F$2,'PBA Summary'!$G$2))</f>
        <v>-9.6122457195768427E-3</v>
      </c>
      <c r="EO19" s="33" cm="1">
        <f t="array" ref="EO19">IF('PBA Summary'!$D$2="","",_xll.ASAssetStatistic($A19,"Ann. Information Ratio vs Benchmark 1",'PBA Summary'!$D$2,,,"m",'PBA Summary'!$F$2,'PBA Summary'!$G$2))</f>
        <v>-1.0410325830385416</v>
      </c>
      <c r="EP19" s="33" cm="1">
        <f t="array" ref="EP19">IF('PBA Summary'!$D$3="","",_xll.ASAssetStatistic($A19,"Ann. Information Ratio vs Benchmark 1",'PBA Summary'!$D$3,,,"m",'PBA Summary'!$F$2,'PBA Summary'!$G$2))</f>
        <v>-1.0410325830385416</v>
      </c>
      <c r="EQ19" s="17" cm="1">
        <f t="array" ref="EQ19">IF('PBA Summary'!$D$2="","",_xll.ASAssetStatistic($A19,"Alpha Monthly vs Benchmark 1",'PBA Summary'!$D$2,,,"m",'PBA Summary'!$F$2,'PBA Summary'!$G$2))</f>
        <v>-3.7825296166720706E-4</v>
      </c>
      <c r="ER19" s="17" cm="1">
        <f t="array" ref="ER19">IF('PBA Summary'!$D$3="","",_xll.ASAssetStatistic($A19,"Alpha Monthly vs Benchmark 1",'PBA Summary'!$D$3,,,"m",'PBA Summary'!$F$2,'PBA Summary'!$G$2))</f>
        <v>-3.7825296166720706E-4</v>
      </c>
      <c r="ES19" s="11" t="str" cm="1">
        <f t="array" ref="ES19">_xll.ASAssetInfo($A19,"Company AUM (m)")</f>
        <v/>
      </c>
      <c r="ET19" s="16" cm="1">
        <f t="array" ref="ET19">_xll.ASAssetStatistic($A19,"Exponential Annualized Volatility",,,,"m",'PBA Summary'!$F$2,'PBA Summary'!$G$2)</f>
        <v>9.7370565761989561E-2</v>
      </c>
      <c r="EU19" s="16" cm="1">
        <f t="array" ref="EU19">_xll.ASAssetStatistic($A19,"Exponential Annualized Volatility Last 1 year",,,,"m",'PBA Summary'!$F$2,'PBA Summary'!$G$2)</f>
        <v>0.10172405948852284</v>
      </c>
      <c r="EV19" s="16" t="str" cm="1">
        <f t="array" ref="EV19">_xll.ASAssetStatistic($A19,"Exponential Annualized Volatility Last 3 years",,,,"m",'PBA Summary'!$F$2,'PBA Summary'!$G$2)</f>
        <v/>
      </c>
      <c r="EW19" s="34" cm="1">
        <f t="array" ref="EW19">IF('PBA Summary'!$D$2="","",_xll.ASAssetStatistic($A19,"Exponential Correlation to Benchmark 1",'PBA Summary'!$D$2,,,"m",'PBA Summary'!$F$2,'PBA Summary'!$G$2))</f>
        <v>0.17623118015512043</v>
      </c>
      <c r="EX19" s="34" cm="1">
        <f t="array" ref="EX19">IF('PBA Summary'!$D$3="","",_xll.ASAssetStatistic($A19,"Exponential Correlation to Benchmark 1",'PBA Summary'!$D$3,,,"m",'PBA Summary'!$F$2,'PBA Summary'!$G$2))</f>
        <v>0.17623118015512043</v>
      </c>
      <c r="EY19" s="34" cm="1">
        <f t="array" ref="EY19">_xll.ASAssetStatistic($A19,"Exponential Annual Sharpe Ratio (Rf)",,,,"m",'PBA Summary'!$F$2,'PBA Summary'!$G$2)</f>
        <v>-0.57474579885972832</v>
      </c>
      <c r="EZ19" s="34" cm="1">
        <f t="array" ref="EZ19">_xll.ASAssetStatistic($A19,"Exponential Normal Monthly VaR 99%",,,,"m",'PBA Summary'!$F$2,'PBA Summary'!$G$2)</f>
        <v>-6.9958388825736614E-2</v>
      </c>
      <c r="FA19" s="34" cm="1">
        <f t="array" ref="FA19">_xll.ASAssetStatistic($A19,"Exponential Normal Monthly VaR 97%",,,,"m",'PBA Summary'!$F$2,'PBA Summary'!$G$2)</f>
        <v>-5.7434544040770016E-2</v>
      </c>
      <c r="FB19" s="34" cm="1">
        <f t="array" ref="FB19">_xll.ASAssetStatistic($A19,"Exponential Normal Monthly VaR 95%",,,,"m",'PBA Summary'!$F$2,'PBA Summary'!$G$2)</f>
        <v>-5.0802634239133893E-2</v>
      </c>
      <c r="FC19" s="34" cm="1">
        <f t="array" ref="FC19">_xll.ASAssetStatistic($A19,"Exponential Normal Monthly VaR 90%",,,,"m",'PBA Summary'!$F$2,'PBA Summary'!$G$2)</f>
        <v>-4.0590772350585502E-2</v>
      </c>
      <c r="FD19" s="34" t="str" cm="1">
        <f t="array" ref="FD19">_xll.ASAssetStatistic($A19,"Exponential Normal weekly VaR 99%",,,,"m",'PBA Summary'!$F$2,'PBA Summary'!$G$2)</f>
        <v/>
      </c>
      <c r="FE19" s="34" t="str" cm="1">
        <f t="array" ref="FE19">_xll.ASAssetStatistic($A19,"Exponential Normal weekly VaR 97%",,,,"m",'PBA Summary'!$F$2,'PBA Summary'!$G$2)</f>
        <v/>
      </c>
      <c r="FF19" s="34" t="str" cm="1">
        <f t="array" ref="FF19">_xll.ASAssetStatistic($A19,"Exponential Normal weekly VaR 95%",,,,"m",'PBA Summary'!$F$2,'PBA Summary'!$G$2)</f>
        <v/>
      </c>
      <c r="FG19" s="34" t="str" cm="1">
        <f t="array" ref="FG19">_xll.ASAssetStatistic($A19,"Exponential Normal weekly VaR 90%",,,,"m",'PBA Summary'!$F$2,'PBA Summary'!$G$2)</f>
        <v/>
      </c>
      <c r="FH19" s="34" t="str" cm="1">
        <f t="array" ref="FH19">_xll.ASAssetStatistic($A19,"Exponential Normal daily VaR 99%",,,,"m",'PBA Summary'!$F$2,'PBA Summary'!$G$2)</f>
        <v/>
      </c>
      <c r="FI19" s="34" t="str" cm="1">
        <f t="array" ref="FI19">_xll.ASAssetStatistic($A19,"Exponential Normal daily VaR 97%",,,,"m",'PBA Summary'!$F$2,'PBA Summary'!$G$2)</f>
        <v/>
      </c>
      <c r="FJ19" s="34" t="str" cm="1">
        <f t="array" ref="FJ19">_xll.ASAssetStatistic($A19,"Exponential Normal daily VaR 95%",,,,"m",'PBA Summary'!$F$2,'PBA Summary'!$G$2)</f>
        <v/>
      </c>
      <c r="FK19" s="34" t="str" cm="1">
        <f t="array" ref="FK19">_xll.ASAssetStatistic($A19,"Exponential Normal daily VaR 90%",,,,"m",'PBA Summary'!$F$2,'PBA Summary'!$G$2)</f>
        <v/>
      </c>
      <c r="FL19" s="34" cm="1">
        <f t="array" ref="FL19">_xll.ASAssetStatistic($A19,"Bias Ratio",,,,"m",'PBA Summary'!$F$2,'PBA Summary'!$G$2)</f>
        <v>4</v>
      </c>
      <c r="FM19" s="11" t="str" cm="1">
        <f t="array" ref="FM19">_xll.ASAssetInfo($A19,"Manager's Biography")</f>
        <v/>
      </c>
      <c r="FN19" s="11" cm="1">
        <f t="array" ref="FN19">_xll.ASAssetInfo($A19,"Investment Min")</f>
        <v>0</v>
      </c>
      <c r="FO19" s="11" t="str" cm="1">
        <f t="array" ref="FO19">_xll.ASAssetInfo($A19,"Auditor")</f>
        <v/>
      </c>
      <c r="FP19" s="11" t="str" cm="1">
        <f t="array" ref="FP19">_xll.ASAssetInfo($A19,"Custodian")</f>
        <v/>
      </c>
      <c r="FQ19" s="11" t="str" cm="1">
        <f t="array" ref="FQ19">_xll.ASAssetInfo($A19,"Administrator")</f>
        <v/>
      </c>
      <c r="FR19" s="14" cm="1">
        <f t="array" ref="FR19">_xll.ASAssetInfo($A19,"Proxy 1 Start Date")</f>
        <v>36217</v>
      </c>
      <c r="FS19" s="14" cm="1">
        <f t="array" ref="FS19">_xll.ASAssetInfo($A19,"Proxy 1 End Date")</f>
        <v>44134</v>
      </c>
      <c r="FT19" s="14" t="str" cm="1">
        <f t="array" ref="FT19">_xll.ASAssetInfo($A19,"Proxy 2 Start Date")</f>
        <v/>
      </c>
      <c r="FU19" s="14" t="str" cm="1">
        <f t="array" ref="FU19">_xll.ASAssetInfo($A19,"Proxy 2 End Date")</f>
        <v/>
      </c>
      <c r="FV19" s="14" t="str" cm="1">
        <f t="array" ref="FV19">_xll.ASAssetInfo($A19,"Proxy 3 Start Date")</f>
        <v/>
      </c>
      <c r="FW19" s="14" t="str" cm="1">
        <f t="array" ref="FW19">_xll.ASAssetInfo($A19,"Proxy 3 End Date")</f>
        <v/>
      </c>
      <c r="FX19" s="14" t="str" cm="1">
        <f t="array" ref="FX19">_xll.ASAssetInfo($A19,"Fund Domicile")</f>
        <v/>
      </c>
      <c r="FY19" s="14" t="str" cm="1">
        <f t="array" ref="FY19">_xll.ASAssetInfo($A19,"Fund Contact")</f>
        <v/>
      </c>
      <c r="FZ19" s="14" t="str" cm="1">
        <f t="array" ref="FZ19">_xll.ASAssetInfo($A19,"Fund Contact Email")</f>
        <v/>
      </c>
      <c r="GA19" s="14" t="str" cm="1">
        <f t="array" ref="GA19">_xll.ASAssetInfo($A19,"Fund Contact Number")</f>
        <v/>
      </c>
      <c r="GB19" s="14" t="str" cm="1">
        <f t="array" ref="GB19">_xll.ASAssetInfo($A19,"City")</f>
        <v/>
      </c>
      <c r="GC19" s="14" t="str" cm="1">
        <f t="array" ref="GC19">_xll.ASAssetInfo($A19,"Leverage")</f>
        <v/>
      </c>
      <c r="GD19" s="14" t="str" cm="1">
        <f t="array" ref="GD19">_xll.ASAssetInfo($A19,"Lockup 1 Duration")</f>
        <v>0 Months</v>
      </c>
      <c r="GE19" s="14" t="str" cm="1">
        <f t="array" ref="GE19">_xll.ASAssetInfo($A19,"Lockup 2 Duration")</f>
        <v>0 Months</v>
      </c>
      <c r="GF19" s="14" t="str" cm="1">
        <f t="array" ref="GF19">_xll.ASAssetInfo($A19,"Lockup 3 Duration")</f>
        <v>0 Months</v>
      </c>
      <c r="GG19" s="31" t="str" cm="1">
        <f t="array" ref="GG19">_xll.ASAssetInfo($A19,"Fund Level Gate")</f>
        <v/>
      </c>
      <c r="GH19" s="31" t="str" cm="1">
        <f t="array" ref="GH19">_xll.ASAssetInfo($A19,"Fund Level Gate Frequency")</f>
        <v>Unknown</v>
      </c>
      <c r="GI19" s="35" cm="1">
        <f t="array" ref="GI19">_xll.ASAssetInfo($A19,"Payment 2 (%)")</f>
        <v>0</v>
      </c>
      <c r="GJ19" s="35" t="str" cm="1">
        <f t="array" ref="GJ19">_xll.ASAssetInfo($A19,"Payment 2 (days)")</f>
        <v/>
      </c>
      <c r="GK19" s="35" t="str" cm="1">
        <f t="array" ref="GK19">_xll.ASAssetInfo($A19,"Payment 2 (Paid After)")</f>
        <v>NAV Date</v>
      </c>
      <c r="GL19" s="35" cm="1">
        <f t="array" ref="GL19">_xll.ASAssetInfo($A19,"Payment 3 (%)")</f>
        <v>0</v>
      </c>
      <c r="GM19" s="36" t="str" cm="1">
        <f t="array" ref="GM19">_xll.ASAssetInfo($A19,"Payment 3 (Days)")</f>
        <v/>
      </c>
      <c r="GN19" s="35" t="str" cm="1">
        <f t="array" ref="GN19">_xll.ASAssetInfo($A19,"Payment 3 (Paid After)")</f>
        <v>NAV Date</v>
      </c>
      <c r="GO19" s="35" cm="1">
        <f t="array" ref="GO19">_xll.ASAssetInfo($A19,"Payment 4 (%)")</f>
        <v>0</v>
      </c>
      <c r="GP19" s="36" t="str" cm="1">
        <f t="array" ref="GP19">_xll.ASAssetInfo($A19,"Payment 4 (days)")</f>
        <v/>
      </c>
      <c r="GQ19" s="35" t="str" cm="1">
        <f t="array" ref="GQ19">_xll.ASAssetInfo($A19,"Payment 4 (Paid After)")</f>
        <v>NAV Date</v>
      </c>
      <c r="GR19" s="11" cm="1">
        <f t="array" ref="GR19">_xll.ASAssetInfo($A19,"Payment 1 (%)")</f>
        <v>1</v>
      </c>
      <c r="GS19" s="35" cm="1">
        <f t="array" ref="GS19">_xll.ASAssetInfo($A19,"Lockup 1 Fee")</f>
        <v>0</v>
      </c>
      <c r="GT19" s="35" cm="1">
        <f t="array" ref="GT19">_xll.ASAssetInfo($A19,"Lockup 2 Fee")</f>
        <v>0</v>
      </c>
      <c r="GU19" s="35" cm="1">
        <f t="array" ref="GU19">_xll.ASAssetInfo($A19,"Lockup 3 Fee")</f>
        <v>0</v>
      </c>
      <c r="GV19" s="35" t="str" cm="1">
        <f t="array" ref="GV19">_xll.ASAssetInfo($A19,"Lockup 1 type")</f>
        <v>None</v>
      </c>
      <c r="GW19" s="35" t="str" cm="1">
        <f t="array" ref="GW19">_xll.ASAssetInfo($A19,"Lockup 2 type")</f>
        <v>None</v>
      </c>
      <c r="GX19" s="35" t="str" cm="1">
        <f t="array" ref="GX19">_xll.ASAssetInfo($A19,"Lockup 3 type")</f>
        <v>None</v>
      </c>
      <c r="GY19" s="35" t="str" cm="1">
        <f t="array" ref="GY19">_xll.ASAssetInfo($A19,"Redemption 1 type")</f>
        <v>Calendar</v>
      </c>
      <c r="GZ19" s="35" t="str" cm="1">
        <f t="array" ref="GZ19">_xll.ASAssetInfo($A19,"Redemption 2 type")</f>
        <v>Calendar</v>
      </c>
      <c r="HA19" s="35" t="str" cm="1">
        <f t="array" ref="HA19">_xll.ASAssetInfo($A19,"Redemption 3 type")</f>
        <v>Calendar</v>
      </c>
      <c r="HB19" s="35" t="str" cm="1">
        <f t="array" ref="HB19">_xll.ASAssetInfo($A19,"Redemption 1 Fee")</f>
        <v/>
      </c>
      <c r="HC19" s="35" t="str" cm="1">
        <f t="array" ref="HC19">_xll.ASAssetInfo($A19,"Redemption 2 Fee")</f>
        <v/>
      </c>
      <c r="HD19" s="35" t="str" cm="1">
        <f t="array" ref="HD19">_xll.ASAssetInfo($A19,"Redemption 3 Fee")</f>
        <v/>
      </c>
      <c r="HE19" s="35" t="str" cm="1">
        <f t="array" ref="HE19">_xll.ASAssetInfo($A19,"Redemption 1 Frequency")</f>
        <v>Unknown</v>
      </c>
      <c r="HF19" s="35" t="str" cm="1">
        <f t="array" ref="HF19">_xll.ASAssetInfo($A19,"Redemption 2 Frequency")</f>
        <v>Unknown</v>
      </c>
      <c r="HG19" s="35" t="str" cm="1">
        <f t="array" ref="HG19">_xll.ASAssetInfo($A19,"Redemption 3 Frequency")</f>
        <v>Unknown</v>
      </c>
      <c r="HH19" s="35" t="str" cm="1">
        <f t="array" ref="HH19">_xll.ASAssetInfo($A19,"Asset Calendar")</f>
        <v>[Default]</v>
      </c>
      <c r="HI19" s="16" cm="1">
        <f t="array" ref="HI19">_xll.ASAssetStatistic($A19,"Max Second Drawdown",,,,"m",'PBA Summary'!$F$2,'PBA Summary'!$G$2)</f>
        <v>-1.5481607531708796E-3</v>
      </c>
      <c r="HJ19" s="37" cm="1">
        <f t="array" ref="HJ19">_xll.ASAssetStatistic($A19,"Date Max Second Drawdown",,,,"m",'PBA Summary'!$F$2,'PBA Summary'!$G$2)</f>
        <v>43769</v>
      </c>
      <c r="HK19" s="37"/>
      <c r="HL19" s="37" t="str" cm="1">
        <f t="array" ref="HL19">_xll.ASAssetInfo($A19,HL$1)</f>
        <v/>
      </c>
      <c r="HM19" s="34" cm="1">
        <f t="array" ref="HM19">_xll.ASAssetInfo($A19,HM$1)</f>
        <v>99.46</v>
      </c>
      <c r="HN19" s="37" t="str" cm="1">
        <f t="array" ref="HN19">_xll.ASAssetInfo($A19,HN$1)</f>
        <v/>
      </c>
      <c r="HO19" s="15" cm="1">
        <f t="array" ref="HO19">_xll.ASAssetInfo($A19,HO$1)</f>
        <v>3.6249999999999998E-2</v>
      </c>
      <c r="HP19" s="15" cm="1">
        <f t="array" ref="HP19">_xll.ASAssetInfo($A19,HP$1)</f>
        <v>4.0270857145877914E-2</v>
      </c>
      <c r="HQ19" s="34" t="str" cm="1">
        <f t="array" ref="HQ19">_xll.ASAssetInfo($A19,HQ$1)</f>
        <v/>
      </c>
      <c r="HR19" s="37" t="str" cm="1">
        <f t="array" ref="HR19">_xll.ASAssetInfo($A19,HR$1)</f>
        <v/>
      </c>
      <c r="HS19" s="37" t="str" cm="1">
        <f t="array" ref="HS19">_xll.ASAssetInfo($A19,HS$1)</f>
        <v/>
      </c>
      <c r="HT19" s="37" t="str" cm="1">
        <f t="array" ref="HT19">_xll.ASAssetInfo($A19,HT$1)</f>
        <v>BB</v>
      </c>
      <c r="HU19" s="37" t="str" cm="1">
        <f t="array" ref="HU19">_xll.ASAssetInfo($A19,HU$1)</f>
        <v>U.S.</v>
      </c>
      <c r="HV19" s="37" t="str" cm="1">
        <f t="array" ref="HV19">_xll.ASAssetInfo($A19,HV$1)</f>
        <v/>
      </c>
      <c r="HW19" s="37" t="str" cm="1">
        <f t="array" ref="HW19">_xll.ASAssetInfo($A19,HW$1)</f>
        <v/>
      </c>
    </row>
    <row r="20" spans="1:231" s="11" customFormat="1" x14ac:dyDescent="0.25">
      <c r="A20" t="s">
        <v>323</v>
      </c>
      <c r="B20" cm="1">
        <f t="array" ref="B20">_xll.ASPortfolioWeights('PBA Summary'!$C$2,"OR",$A20)</f>
        <v>0</v>
      </c>
      <c r="C20" cm="1">
        <f t="array" ref="C20">_xll.ASAssetStatistic($A20,"Annualized Return since inception",,,,"m",_xll.ASAssetInfo($A20,"Start Date"),_xll.ASAssetInfo($A20,"Last Return Date"))</f>
        <v>6.9776916145150025E-2</v>
      </c>
      <c r="D20" cm="1">
        <f t="array" ref="D20">_xll.ASAssetStatistic($A20,"Annualized Return",,,,"m",'PBA Summary'!$F$2,'PBA Summary'!$G$2)</f>
        <v>-2.3669436873354766E-3</v>
      </c>
      <c r="E20" s="19" cm="1">
        <f t="array" ref="E20">_xll.ASAssetStatistic($A20,"Equilibrium Annual Return",,,,"m",'PBA Summary'!$F$2,'PBA Summary'!$G$2)</f>
        <v>-0.11120284336881248</v>
      </c>
      <c r="F20" cm="1">
        <f t="array" ref="F20">_xll.ASAssetStatistic($A20,"Annualized Volatility (Inception)",,,,"m",_xll.ASAssetInfo($A20,"Start Date"),_xll.ASAssetInfo($A20,"Last Return Date"))</f>
        <v>9.3146547738303415E-2</v>
      </c>
      <c r="G20" cm="1">
        <f t="array" ref="G20">_xll.ASAssetStatistic($A20,"Annualized Volatility",,,,"m",'PBA Summary'!$F$2,'PBA Summary'!$G$2)</f>
        <v>9.7109260381317661E-2</v>
      </c>
      <c r="H20" s="20" cm="1">
        <f t="array" ref="H20">_xll.ASAssetStatistic($A20,"Skewness",,,,"m",'PBA Summary'!$F$2,'PBA Summary'!$G$2)</f>
        <v>-3.4926087624482682</v>
      </c>
      <c r="I20" s="20" cm="1">
        <f t="array" ref="I20">_xll.ASAssetStatistic($A20,"Excess kurtosis",,,,"m",'PBA Summary'!$F$2,'PBA Summary'!$G$2)</f>
        <v>13.018284830439784</v>
      </c>
      <c r="J20" s="19" cm="1">
        <f t="array" ref="J20">_xll.ASAssetStatistic($A20,"Return Last 1 month",,,,"m",'PBA Summary'!$F$2,'PBA Summary'!$G$2)</f>
        <v>-9.8262080738721447E-2</v>
      </c>
      <c r="K20" s="19" cm="1">
        <f t="array" ref="K20">_xll.ASAssetStatistic($A20,"Return Last 3 months",,,,"m",'PBA Summary'!$F$2,'PBA Summary'!$G$2)</f>
        <v>-8.8852841499254764E-2</v>
      </c>
      <c r="L20" s="19" cm="1">
        <f t="array" ref="L20">_xll.ASAssetStatistic($A20,"Return Last 1 year",,,,"m",'PBA Summary'!$F$2,'PBA Summary'!$G$2)</f>
        <v>-1.5808878288829042E-2</v>
      </c>
      <c r="M20" s="19" cm="1">
        <f t="array" ref="M20">_xll.ASAssetStatistic($A20,"Year-to-date Return",,,,"m",'PBA Summary'!$F$2,'PBA Summary'!$G$2)</f>
        <v>-9.8262080738721447E-2</v>
      </c>
      <c r="N20" s="19" cm="1">
        <f t="array" ref="N20">_xll.ASAssetStatistic($A20,"Annualized Return",,,,"m",EOMONTH('PBA Summary'!$G$2,-2),'PBA Summary'!$G$2)</f>
        <v>-0.31078598444736893</v>
      </c>
      <c r="O20" s="19" t="str" cm="1">
        <f t="array" ref="O20">_xll.ASAssetStatistic($A20,"Annualized Return Last 3 years",,,,"m",'PBA Summary'!$F$2,'PBA Summary'!$G$2)</f>
        <v/>
      </c>
      <c r="P20" s="19" t="str" cm="1">
        <f t="array" ref="P20">_xll.ASAssetStatistic($A20,"Annualized Return Last 5 years",,,,"m",'PBA Summary'!$F$2,'PBA Summary'!$G$2)</f>
        <v/>
      </c>
      <c r="Q20" s="19" cm="1">
        <f t="array" ref="Q20">_xll.ASAssetStatistic($A20,"Annualized Volatility Last 1 year",,,,"m",'PBA Summary'!$F$2,'PBA Summary'!$G$2)</f>
        <v>0.10901296809947331</v>
      </c>
      <c r="R20" s="19" t="str" cm="1">
        <f t="array" ref="R20">_xll.ASAssetStatistic($A20,"Annualized Volatility Last 3 years",,,,"m",'PBA Summary'!$F$2,'PBA Summary'!$G$2)</f>
        <v/>
      </c>
      <c r="S20" s="19" t="str" cm="1">
        <f t="array" ref="S20">_xll.ASAssetStatistic($A20,"Annualized Volatility Last 5 years",,,,"m",'PBA Summary'!$F$2,'PBA Summary'!$G$2)</f>
        <v/>
      </c>
      <c r="T20" s="19" cm="1">
        <f t="array" ref="T20">_xll.ASAssetStatistic($A20,"Normal monthly VaR 99%",,,,"m",'PBA Summary'!$F$2,'PBA Summary'!$G$2)</f>
        <v>-6.5023008789824074E-2</v>
      </c>
      <c r="U20" s="19" cm="1">
        <f t="array" ref="U20">_xll.ASAssetStatistic($A20,"Modified monthly VaR 99%",,,,"m",'PBA Summary'!$F$2,'PBA Summary'!$G$2)</f>
        <v>-9.3644694755296687E-2</v>
      </c>
      <c r="V20" s="19" cm="1">
        <f t="array" ref="V20">_xll.ASAssetStatistic($A20,"Conditional monthly VaR 99%",,,,"m",'PBA Summary'!$F$2,'PBA Summary'!$G$2)</f>
        <v>-9.8262080738721447E-2</v>
      </c>
      <c r="W20" s="19" cm="1">
        <f t="array" ref="W20">_xll.ASAssetStatistic($A20,"Normal monthly VaR 97%",,,,"m",'PBA Summary'!$F$2,'PBA Summary'!$G$2)</f>
        <v>-5.2532773217286319E-2</v>
      </c>
      <c r="X20" s="19" cm="1">
        <f t="array" ref="X20">_xll.ASAssetStatistic($A20,"Modified monthly VaR 97%",,,,"m",'PBA Summary'!$F$2,'PBA Summary'!$G$2)</f>
        <v>-7.224052497747406E-2</v>
      </c>
      <c r="Y20" s="19" cm="1">
        <f t="array" ref="Y20">_xll.ASAssetStatistic($A20,"Conditional monthly VaR 97%",,,,"m",'PBA Summary'!$F$2,'PBA Summary'!$G$2)</f>
        <v>-9.8262080738721447E-2</v>
      </c>
      <c r="Z20" s="19" cm="1">
        <f t="array" ref="Z20">_xll.ASAssetStatistic($A20,"Normal monthly VaR 95%",,,,"m",'PBA Summary'!$F$2,'PBA Summary'!$G$2)</f>
        <v>-4.5918660926650944E-2</v>
      </c>
      <c r="AA20" s="19" cm="1">
        <f t="array" ref="AA20">_xll.ASAssetStatistic($A20,"Modified monthly VaR 95%",,,,"m",'PBA Summary'!$F$2,'PBA Summary'!$G$2)</f>
        <v>-5.9962174465756225E-2</v>
      </c>
      <c r="AB20" s="19" cm="1">
        <f t="array" ref="AB20">_xll.ASAssetStatistic($A20,"Conditional monthly VaR 95%",,,,"m",'PBA Summary'!$F$2,'PBA Summary'!$G$2)</f>
        <v>-9.8262080738721447E-2</v>
      </c>
      <c r="AC20" s="66" cm="1">
        <f t="array" ref="AC20">_xll.ASAssetStatistic($A20,"Correlation to Benchmark 1","MSCI ACWI Index",,,"m",'PBA Summary'!$F$2,'PBA Summary'!$G$2)</f>
        <v>0.20227859218800756</v>
      </c>
      <c r="AD20" s="38" cm="1">
        <f t="array" ref="AD20">IF('PBA Summary'!$D$3="","",_xll.ASAssetStatistic($A20,"Correlation to Benchmark 1",'PBA Summary'!$D$3,,,"m",'PBA Summary'!$F$2,'PBA Summary'!$G$2))</f>
        <v>0.1497966876183798</v>
      </c>
      <c r="AE20" s="21" cm="1">
        <f t="array" ref="AE20">IF('PBA Summary'!$D$2="","",_xll.ASAssetStatistic($A20,"Bull correlation to Benchmark 1",'PBA Summary'!$D$2,,,"m",'PBA Summary'!$F$2,'PBA Summary'!$G$2))</f>
        <v>8.245273116550618E-2</v>
      </c>
      <c r="AF20" s="21" cm="1">
        <f t="array" ref="AF20">IF('PBA Summary'!$D$2="","",_xll.ASAssetStatistic($A20,"Bear correlation to Benchmark 1",'PBA Summary'!$D$2,,,"m",'PBA Summary'!$F$2,'PBA Summary'!$G$2))</f>
        <v>-0.57929622388285384</v>
      </c>
      <c r="AG20" s="21" cm="1">
        <f t="array" ref="AG20">IF('PBA Summary'!$D$3="","",_xll.ASAssetStatistic($A20,"Bull correlation to Benchmark 1",'PBA Summary'!$D$3,,,"m",'PBA Summary'!$F$2,'PBA Summary'!$G$2))</f>
        <v>8.245273116550618E-2</v>
      </c>
      <c r="AH20" s="21" cm="1">
        <f t="array" ref="AH20">IF('PBA Summary'!$D$3="","",_xll.ASAssetStatistic($A20,"Bear correlation to Benchmark 1",'PBA Summary'!$D$3,,,"m",'PBA Summary'!$F$2,'PBA Summary'!$G$2))</f>
        <v>-0.57929622388285384</v>
      </c>
      <c r="AI20" s="24" cm="1">
        <f t="array" ref="AI20">IF('PBA Summary'!$D$2="","",_xll.ASAssetStatistic($A20,"Beta to Benchmark 1",'PBA Summary'!$D$2,,,"m",'PBA Summary'!$F$2,'PBA Summary'!$G$2))</f>
        <v>9.4751607994326636E-2</v>
      </c>
      <c r="AJ20" s="24" t="str" cm="1">
        <f t="array" ref="AJ20">IF('PBA Summary'!$D$2="","",_xll.ASAssetStatistic($A20,"Beta to Benchmark 1 Last 3 years",'PBA Summary'!$D$2,,,"m",'PBA Summary'!$F$2,'PBA Summary'!$G$2))</f>
        <v/>
      </c>
      <c r="AK20" s="24" t="str" cm="1">
        <f t="array" ref="AK20">IF('PBA Summary'!$D$2="","",_xll.ASAssetStatistic($A20,"Beta to Benchmark 1 Last 5 years",'PBA Summary'!$D$2,,,"m",'PBA Summary'!$F$2,'PBA Summary'!$G$2))</f>
        <v/>
      </c>
      <c r="AL20" s="25" cm="1">
        <f t="array" ref="AL20">IF('PBA Summary'!$D$3="","",_xll.ASAssetStatistic($A20,"Beta to Benchmark 1",'PBA Summary'!$D$3,,,"m",'PBA Summary'!$F$2,'PBA Summary'!$G$2))</f>
        <v>9.4751607994326636E-2</v>
      </c>
      <c r="AM20" s="25" t="str" cm="1">
        <f t="array" ref="AM20">IF('PBA Summary'!$D$3="","",_xll.ASAssetStatistic($A20,"Beta to Benchmark 1 Last 3 years",'PBA Summary'!$D$3,,,"m",'PBA Summary'!$F$2,'PBA Summary'!$G$2))</f>
        <v/>
      </c>
      <c r="AN20" s="25" t="str" cm="1">
        <f t="array" ref="AN20">IF('PBA Summary'!$D$3="","",_xll.ASAssetStatistic($A20,"Beta to Benchmark 1 Last 5 years",'PBA Summary'!$D$3,,,"m",'PBA Summary'!$F$2,'PBA Summary'!$G$2))</f>
        <v/>
      </c>
      <c r="AO20" s="25" cm="1">
        <f t="array" ref="AO20">IF('PBA Summary'!$D$2="","",_xll.ASAssetStatistic($A20,"Bull Beta to Benchmark 1",'PBA Summary'!$D$2,,,"m",'PBA Summary'!$F$2,'PBA Summary'!$G$2))</f>
        <v>2.6664580348413337E-2</v>
      </c>
      <c r="AP20" s="25" cm="1">
        <f t="array" ref="AP20">IF('PBA Summary'!$D$2="","",_xll.ASAssetStatistic($A20,"Bear Beta to Benchmark 1",'PBA Summary'!$D$2,,,"m",'PBA Summary'!$F$2,'PBA Summary'!$G$2))</f>
        <v>-0.72976144029503054</v>
      </c>
      <c r="AQ20" s="25" cm="1">
        <f t="array" ref="AQ20">IF('PBA Summary'!$D$3="","",_xll.ASAssetStatistic($A20,"Bull Beta to Benchmark 1",'PBA Summary'!$D$3,,,"m",'PBA Summary'!$F$2,'PBA Summary'!$G$2))</f>
        <v>2.6664580348413337E-2</v>
      </c>
      <c r="AR20" s="25" cm="1">
        <f t="array" ref="AR20">IF('PBA Summary'!$D$3="","",_xll.ASAssetStatistic($A20,"Bear Beta to Benchmark 1",'PBA Summary'!$D$3,,,"m",'PBA Summary'!$F$2,'PBA Summary'!$G$2))</f>
        <v>-0.72976144029503054</v>
      </c>
      <c r="AS20" s="25" cm="1">
        <f t="array" ref="AS20">_xll.ASAssetStatistic($A20,"Annual Sharpe Ratio (Rf)",,,'PBA Summary'!$H$2,"m",'PBA Summary'!$F$2,'PBA Summary'!$G$2)</f>
        <v>-5.0118224237570272E-2</v>
      </c>
      <c r="AT20" s="25" t="str" cm="1">
        <f t="array" ref="AT20">_xll.ASAssetStatistic($A20,"Annual Sharpe Ratio (Rf) Last 3 years",,,'PBA Summary'!$H$2,"m",'PBA Summary'!$F$2,'PBA Summary'!$G$2)</f>
        <v/>
      </c>
      <c r="AU20" s="25" t="str" cm="1">
        <f t="array" ref="AU20">_xll.ASAssetStatistic($A20,"Annual Sharpe Ratio (Rf) Last 5 years",,,'PBA Summary'!$H$2,"m",'PBA Summary'!$F$2,'PBA Summary'!$G$2)</f>
        <v/>
      </c>
      <c r="AV20" s="18" cm="1">
        <f t="array" ref="AV20">_xll.ASAssetStatistic($A20,"Ann. Downside Deviation (vs 0%)",,,'PBA Summary'!$H$2,"m",'PBA Summary'!$F$2,'PBA Summary'!$G$2)</f>
        <v>8.7902381348774136E-2</v>
      </c>
      <c r="AW20" s="18" cm="1">
        <f t="array" ref="AW20">_xll.ASAssetStatistic($A20,"Ann. Downside Deviation (vs Rf)",,,'PBA Summary'!$H$2,"m",'PBA Summary'!$F$2,'PBA Summary'!$G$2)</f>
        <v>8.8094783995186984E-2</v>
      </c>
      <c r="AX20" s="39" cm="1">
        <f t="array" ref="AX20">_xll.ASAssetStatistic($A20,"Annual Treynor ratio",,,'PBA Summary'!$H$2,"m",'PBA Summary'!$F$2,'PBA Summary'!$G$2)</f>
        <v>-1.6829253054393027E-2</v>
      </c>
      <c r="AY20" s="26" cm="1">
        <f t="array" ref="AY20">_xll.ASAssetStatistic($A20,"Annual Sortino Ratio (vs 0%)",,,'PBA Summary'!$H$2,"m",'PBA Summary'!$F$2,'PBA Summary'!$G$2)</f>
        <v>-2.6926957506919525E-2</v>
      </c>
      <c r="AZ20" s="26" cm="1">
        <f t="array" ref="AZ20">_xll.ASAssetStatistic($A20,"Annual Sortino Ratio (vs Rf)",,,'PBA Summary'!$H$2,"m",'PBA Summary'!$F$2,'PBA Summary'!$G$2)</f>
        <v>-5.5246672579404701E-2</v>
      </c>
      <c r="BA20" s="26" cm="1">
        <f t="array" ref="BA20">_xll.ASAssetStatistic($A20,"Sterling ratio",,,'PBA Summary'!$H$2,"m",'PBA Summary'!$F$2,'PBA Summary'!$G$2)</f>
        <v>-1.1938458824381753E-2</v>
      </c>
      <c r="BB20" s="26" cm="1">
        <f t="array" ref="BB20">_xll.ASAssetStatistic($A20,"Calmar ratio",,,'PBA Summary'!$H$2,"m",'PBA Summary'!$F$2,'PBA Summary'!$G$2)</f>
        <v>-2.4088068047624315E-2</v>
      </c>
      <c r="BC20" s="26" cm="1">
        <f t="array" ref="BC20">_xll.ASAssetStatistic($A20,"Hurst index",,,'PBA Summary'!$H$2,"m",'PBA Summary'!$F$2,'PBA Summary'!$G$2)</f>
        <v>0.46387709217951767</v>
      </c>
      <c r="BD20" s="26" cm="1">
        <f t="array" ref="BD20">_xll.ASAssetStatistic($A20,"Omega (Threshold 1)",,,'PBA Summary'!$H$2,"m",'PBA Summary'!$F$2,'PBA Summary'!$G$2)</f>
        <v>1.028370071163059</v>
      </c>
      <c r="BE20" s="26" cm="1">
        <f t="array" ref="BE20">_xll.ASAssetStatistic($A20,"Omega (Threshold 2)",,,'PBA Summary'!$H$2,"m",'PBA Summary'!$F$2,'PBA Summary'!$G$2)</f>
        <v>0.4258900757049236</v>
      </c>
      <c r="BF20" s="26" cm="1">
        <f t="array" ref="BF20">_xll.ASAssetStatistic($A20,"Omega (Threshold 3)",,,'PBA Summary'!$H$2,"m",'PBA Summary'!$F$2,'PBA Summary'!$G$2)</f>
        <v>0.12971582404097223</v>
      </c>
      <c r="BG20" s="26" cm="1">
        <f t="array" ref="BG20">_xll.ASAssetStatistic($A20,"Omega (Threshold 4)",,,'PBA Summary'!$H$2,"m",'PBA Summary'!$F$2,'PBA Summary'!$G$2)</f>
        <v>3.6481030648620578E-2</v>
      </c>
      <c r="BH20" s="26" cm="1">
        <f t="array" ref="BH20">_xll.ASAssetStatistic($A20,"Omega (Threshold 5)",,,'PBA Summary'!$H$2,"m",'PBA Summary'!$F$2,'PBA Summary'!$G$2)</f>
        <v>1.1347087565435223E-2</v>
      </c>
      <c r="BI20" s="26" t="str" cm="1">
        <f t="array" ref="BI20">_xll.ASAssetStatistic($A20,"Autocorrelated (illiquid)",,,'PBA Summary'!$H$2,"m",'PBA Summary'!$F$2,'PBA Summary'!$G$2)</f>
        <v>No</v>
      </c>
      <c r="BJ20" s="27" cm="1">
        <f t="array" ref="BJ20">_xll.ASAssetStatistic($A20,"% months in Run Up",,,'PBA Summary'!$H$2,"m",'PBA Summary'!$F$2,'PBA Summary'!$G$2)</f>
        <v>0.73333333333333339</v>
      </c>
      <c r="BK20" s="27" cm="1">
        <f t="array" ref="BK20">_xll.ASAssetStatistic($A20,"% months in Drawdown",,,'PBA Summary'!$H$2,"m",'PBA Summary'!$F$2,'PBA Summary'!$G$2)</f>
        <v>0.26666666666666666</v>
      </c>
      <c r="BL20" s="18" cm="1">
        <f t="array" ref="BL20">IF('PBA Summary'!$D$2="","",_xll.ASAssetStatistic($A20,"Bull Beta to Benchmark 1",'PBA Summary'!$D$2,,,"m",'PBA Summary'!$F$2,'PBA Summary'!$G$2))</f>
        <v>2.6664580348413337E-2</v>
      </c>
      <c r="BM20" s="18" cm="1">
        <f t="array" ref="BM20">IF('PBA Summary'!$D$2="","",_xll.ASAssetStatistic($A20,"Average return during bear Benchmark 1",'PBA Summary'!$D$2,,,"m",'PBA Summary'!$F$2,'PBA Summary'!$G$2))</f>
        <v>-2.0085940040123568E-2</v>
      </c>
      <c r="BN20" s="18" cm="1">
        <f t="array" ref="BN20">IF('PBA Summary'!$D$3="","",_xll.ASAssetStatistic($A20,"Average return during bull Benchmark 1",'PBA Summary'!$D$3,,,"m",'PBA Summary'!$F$2,'PBA Summary'!$G$2))</f>
        <v>7.5652075430321679E-3</v>
      </c>
      <c r="BO20" s="18" cm="1">
        <f t="array" ref="BO20">IF('PBA Summary'!$D$3="","",_xll.ASAssetStatistic($A20,"Average return during bear Benchmark 1",'PBA Summary'!$D$3,,,"m",'PBA Summary'!$F$2,'PBA Summary'!$G$2))</f>
        <v>-2.0085940040123568E-2</v>
      </c>
      <c r="BP20" s="27" cm="1">
        <f t="array" ref="BP20">_xll.ASAssetStatistic($A20,"Maximum consecutive gain",,,'PBA Summary'!$H$2,"m",'PBA Summary'!$F$2,'PBA Summary'!$G$2)</f>
        <v>8.8194837784387081E-2</v>
      </c>
      <c r="BQ20" s="27" cm="1">
        <f t="array" ref="BQ20">_xll.ASAssetStatistic($A20,"Maximum consecutive loss",,,'PBA Summary'!$H$2,"m",'PBA Summary'!$F$2,'PBA Summary'!$G$2)</f>
        <v>-9.8262080738721447E-2</v>
      </c>
      <c r="BR20" s="27" cm="1">
        <f t="array" ref="BR20">_xll.ASAssetStatistic($A20,"Max monthly gain",,,'PBA Summary'!$H$2,"m",'PBA Summary'!$F$2,'PBA Summary'!$G$2)</f>
        <v>2.3410216176220411E-2</v>
      </c>
      <c r="BS20" s="27" cm="1">
        <f t="array" ref="BS20">_xll.ASAssetStatistic($A20,"Max monthly loss",,,'PBA Summary'!$H$2,"m",'PBA Summary'!$F$2,'PBA Summary'!$G$2)</f>
        <v>-9.8262080738721447E-2</v>
      </c>
      <c r="BT20" s="27" cm="1">
        <f t="array" ref="BT20">_xll.ASAssetStatistic($A20,"Max drawdown",,,'PBA Summary'!$H$2,"m",'PBA Summary'!$F$2,'PBA Summary'!$G$2)</f>
        <v>-9.8262080738721447E-2</v>
      </c>
      <c r="BU20" s="28" cm="1">
        <f t="array" ref="BU20">_xll.ASAssetStatistic($A20,"Date Max drawdown",,,'PBA Summary'!$H$2,"m",'PBA Summary'!$F$2,'PBA Summary'!$G$2)</f>
        <v>43861</v>
      </c>
      <c r="BV20" s="28" cm="1">
        <f t="array" ref="BV20">_xll.ASAssetStatistic($A20,"Start Date Max Drawdown",,,'PBA Summary'!$H$2,"m",'PBA Summary'!$F$2,'PBA Summary'!$G$2)</f>
        <v>43861</v>
      </c>
      <c r="BW20" s="28" t="str" cm="1">
        <f t="array" ref="BW20">_xll.ASAssetStatistic($A20,"End Date Max Drawdown",,,'PBA Summary'!$H$2,"m",'PBA Summary'!$F$2,'PBA Summary'!$G$2)</f>
        <v/>
      </c>
      <c r="BX20" s="29" cm="1">
        <f t="array" ref="BX20">_xll.ASAssetStatistic($A20,"Max Time-under-water (months)",,,'PBA Summary'!$H$2,"m",'PBA Summary'!$F$2,'PBA Summary'!$G$2)</f>
        <v>1</v>
      </c>
      <c r="BY20" s="27" cm="1">
        <f t="array" ref="BY20">_xll.ASAssetStatistic($A20,"Max possible drawdown 99%",,,'PBA Summary'!$H$2,"m",'PBA Summary'!$F$2,'PBA Summary'!$G$2)</f>
        <v>-1</v>
      </c>
      <c r="BZ20" s="27" cm="1">
        <f t="array" ref="BZ20">_xll.ASAssetStatistic($A20,"Max possible drawdown 99.9%",,,'PBA Summary'!$H$2,"m",'PBA Summary'!$F$2,'PBA Summary'!$G$2)</f>
        <v>-1</v>
      </c>
      <c r="CA20" s="30" cm="1">
        <f t="array" ref="CA20">_xll.ASAssetStatistic($A20,"Max Possible Time-under-water 99% (months)",,,'PBA Summary'!$H$2,"m",'PBA Summary'!$F$2,'PBA Summary'!$G$2)</f>
        <v>115889.09795517466</v>
      </c>
      <c r="CB20" s="30" cm="1">
        <f t="array" ref="CB20">_xll.ASAssetStatistic($A20,"Max Possible Time-under-water 99.9% (months)",,,'PBA Summary'!$H$2,"m",'PBA Summary'!$F$2,'PBA Summary'!$G$2)</f>
        <v>204491.62358348427</v>
      </c>
      <c r="CC20" s="17" cm="1">
        <f t="array" ref="CC20">_xll.ASPortfolioReturnAttribution('PBA Summary'!$C$2,"OR",A20,"Last 1m",'PBA Summary'!$F$2,'PBA Summary'!$G$2)</f>
        <v>0</v>
      </c>
      <c r="CD20" s="11" t="str" cm="1">
        <f t="array" ref="CD20">_xll.ASAssetInfo($A20,"Strategy")</f>
        <v>DIrect Holdings - Bonds</v>
      </c>
      <c r="CE20" s="14" cm="1">
        <f t="array" ref="CE20">_xll.ASAssetInfo($A20,"Start Date")</f>
        <v>36217</v>
      </c>
      <c r="CF20" s="14" t="str" cm="1">
        <f t="array" ref="CF20">_xll.ASAssetRatings($A20,"Quantitative",0,0,0,0,0,'PBA Summary'!$F$2,'PBA Summary'!$G$2)</f>
        <v/>
      </c>
      <c r="CG20" s="14" t="str" cm="1">
        <f t="array" ref="CG20">_xll.ASAssetRatings($A20,"Qualitative",0,0,0,0,0,'PBA Summary'!$F$2,'PBA Summary'!$G$2)</f>
        <v/>
      </c>
      <c r="CH20" s="14" t="str" cm="1">
        <f t="array" ref="CH20">_xll.ASAssetRatings($A20,"Final",0,0,0,0,0,'PBA Summary'!$F$2,'PBA Summary'!$G$2)</f>
        <v/>
      </c>
      <c r="CI20" s="14" cm="1">
        <f t="array" ref="CI20">_xll.ASAssetInfo($A20,"Last Return Date")</f>
        <v>44134</v>
      </c>
      <c r="CJ20" s="14" t="str" cm="1">
        <f t="array" ref="CJ20">_xll.ASAssetInfo($A20,"Company Name")</f>
        <v/>
      </c>
      <c r="CK20" s="14" t="str" cm="1">
        <f t="array" ref="CK20">_xll.ASAssetInfo($A20,"Manager Name")</f>
        <v/>
      </c>
      <c r="CL20" s="14" t="str" cm="1">
        <f t="array" ref="CL20">_xll.ASAssetInfo($A20,"Address")</f>
        <v/>
      </c>
      <c r="CM20" s="14" t="str" cm="1">
        <f t="array" ref="CM20">_xll.ASAssetInfo($A20,"Phone Number")</f>
        <v/>
      </c>
      <c r="CN20" s="14" t="str" cm="1">
        <f t="array" ref="CN20">_xll.ASAssetInfo($A20,"Email")</f>
        <v/>
      </c>
      <c r="CO20" s="14" t="str" cm="1">
        <f t="array" ref="CO20">_xll.ASAssetInfo($A20,"Asset Type")</f>
        <v>Fixed Income</v>
      </c>
      <c r="CP20" s="14" t="str" cm="1">
        <f t="array" ref="CP20">_xll.ASAssetInfo($A20,"Proprietary ID")</f>
        <v/>
      </c>
      <c r="CQ20" s="14" t="str" cm="1">
        <f t="array" ref="CQ20">_xll.ASAssetInfo($A20,"Country")</f>
        <v>[Not Classified]</v>
      </c>
      <c r="CR20" s="14" t="str" cm="1">
        <f t="array" ref="CR20">_xll.ASAssetInfo($A20,"Currency")</f>
        <v>USD</v>
      </c>
      <c r="CS20" s="14" t="str" cm="1">
        <f t="array" ref="CS20">_xll.ASAssetInfo($A20,"Sub-Strategy")</f>
        <v/>
      </c>
      <c r="CT20" s="31" t="str" cm="1">
        <f t="array" ref="CT20">_xll.ASAssetInfo($A20,"Fund AUM (m)")</f>
        <v/>
      </c>
      <c r="CU20" s="31" t="str" cm="1">
        <f t="array" ref="CU20">_xll.ASAssetInfo($A20,"Status")</f>
        <v>Unknown</v>
      </c>
      <c r="CV20" s="31" t="str" cm="1">
        <f t="array" ref="CV20">_xll.ASAssetInfo($A20,"Redemption 1 Frequency")</f>
        <v>Unknown</v>
      </c>
      <c r="CW20" s="31" t="str" cm="1">
        <f t="array" ref="CW20">_xll.ASAssetInfo($A20,"Redemption 2 Frequency")</f>
        <v>Unknown</v>
      </c>
      <c r="CX20" s="31" t="str" cm="1">
        <f t="array" ref="CX20">_xll.ASAssetInfo($A20,"Redemption 3 Frequency")</f>
        <v>Unknown</v>
      </c>
      <c r="CY20" s="31" t="str" cm="1">
        <f t="array" ref="CY20">_xll.ASAssetInfo($A20,"Notice Period")</f>
        <v/>
      </c>
      <c r="CZ20" s="15" t="str" cm="1">
        <f t="array" ref="CZ20">_xll.ASAssetInfo($A20,"Performance Fee")</f>
        <v/>
      </c>
      <c r="DA20" s="15" t="str" cm="1">
        <f t="array" ref="DA20">_xll.ASAssetInfo($A20,"Management Fee")</f>
        <v/>
      </c>
      <c r="DB20" s="15" t="str" cm="1">
        <f t="array" ref="DB20">_xll.ASAssetInfo($A20,"ISIN")</f>
        <v>US247361ZP69</v>
      </c>
      <c r="DC20" s="16" cm="1">
        <f t="array" ref="DC20">_xll.ASAssetStatistic($A20,"Return during " &amp;YEAR(EOMONTH('PBA Summary'!$G$2,-60)),,,,"M",DATE(YEAR(EOMONTH('PBA Summary'!$G$2,-60)),1,31),DATE(YEAR(EOMONTH('PBA Summary'!$G$2,-60)),12,31))</f>
        <v>-6.8790977521887564E-3</v>
      </c>
      <c r="DD20" s="16" cm="1">
        <f t="array" ref="DD20">_xll.ASAssetStatistic($A20,"Return during " &amp;YEAR(EOMONTH('PBA Summary'!$G$2,-48)),,,,"M",DATE(YEAR(EOMONTH('PBA Summary'!$G$2,-48)),1,31),DATE(YEAR(EOMONTH('PBA Summary'!$G$2,-48)),12,31))</f>
        <v>0.15600706340510584</v>
      </c>
      <c r="DE20" s="16" cm="1">
        <f t="array" ref="DE20">_xll.ASAssetStatistic($A20,"Return during " &amp;YEAR(EOMONTH('PBA Summary'!$G$2,-36)),,,,"M",DATE(YEAR(EOMONTH('PBA Summary'!$G$2,-36)),1,31),DATE(YEAR(EOMONTH('PBA Summary'!$G$2,-36)),12,31))</f>
        <v>8.41622661780137E-2</v>
      </c>
      <c r="DF20" s="16" cm="1">
        <f t="array" ref="DF20">_xll.ASAssetStatistic($A20,"Return during " &amp;YEAR(EOMONTH('PBA Summary'!$G$2,-24)),,,,"M",DATE(YEAR(EOMONTH('PBA Summary'!$G$2,-24)),1,31),DATE(YEAR(EOMONTH('PBA Summary'!$G$2,-24)),12,31))</f>
        <v>9.363355444696797E-3</v>
      </c>
      <c r="DG20" s="16" cm="1">
        <f t="array" ref="DG20">_xll.ASAssetStatistic($A20,"Return during " &amp;YEAR(EOMONTH('PBA Summary'!$G$2,-12)),,,,"M",DATE(YEAR(EOMONTH('PBA Summary'!$G$2,-12)),1,31),DATE(YEAR(EOMONTH('PBA Summary'!$G$2,-12)),12,31))</f>
        <v>9.9764231881766641E-2</v>
      </c>
      <c r="DH20" s="11" t="str" cm="1">
        <f t="array" ref="DH20">_xll.ASAssetInfo($A20,"Prime Broker")</f>
        <v/>
      </c>
      <c r="DI20" s="16" cm="1">
        <f t="array" ref="DI20">_xll.ASAssetStatistic($A20,"Return",,,,"m",'PBA Summary'!$F$2,'PBA Summary'!$G$2)</f>
        <v>-2.9578037121363865E-3</v>
      </c>
      <c r="DJ20" s="33" cm="1">
        <f t="array" ref="DJ20">IF('PBA Summary'!$D$2="","",_xll.ASAssetStatistic($A20,"Ann. Information Ratio vs Benchmark 1",'PBA Summary'!$D$2,,,"m",'PBA Summary'!$F$2,'PBA Summary'!$G$2))</f>
        <v>-1.0341066439255098</v>
      </c>
      <c r="DK20" s="33" cm="1">
        <f t="array" ref="DK20">IF('PBA Summary'!$D$3="","",_xll.ASAssetStatistic($A20,"Ann. Information Ratio vs Benchmark 1",'PBA Summary'!$D$3,,,"m",'PBA Summary'!$F$2,'PBA Summary'!$G$2))</f>
        <v>-1.0341066439255098</v>
      </c>
      <c r="DL20" s="33" cm="1">
        <f t="array" ref="DL20">IF('PBA Summary'!$D$2="","",_xll.ASAssetStatistic($A20,"Ann. Tracking Error vs Benchmark 1",'PBA Summary'!$D$2,,,"m",'PBA Summary'!$F$2,'PBA Summary'!$G$2))</f>
        <v>0.16891805012577163</v>
      </c>
      <c r="DM20" s="33" cm="1">
        <f t="array" ref="DM20">IF('PBA Summary'!$D$3="","",_xll.ASAssetStatistic($A20,"Ann. Tracking Error vs Benchmark 1",'PBA Summary'!$D$3,,,"m",'PBA Summary'!$F$2,'PBA Summary'!$G$2))</f>
        <v>0.16891805012577163</v>
      </c>
      <c r="DN20" s="33" cm="1">
        <f t="array" ref="DN20">IF('PBA Summary'!$D$2="","",_xll.ASAssetStatistic($A20,"R² vs Benchmark 1",'PBA Summary'!$D$2,,,"m",'PBA Summary'!$F$2,'PBA Summary'!$G$2))</f>
        <v>2.243904762143846E-2</v>
      </c>
      <c r="DO20" s="33" cm="1">
        <f t="array" ref="DO20">IF('PBA Summary'!$D$3="","",_xll.ASAssetStatistic($A20,"R² vs Benchmark 1",'PBA Summary'!$D$3,,,"m",'PBA Summary'!$F$2,'PBA Summary'!$G$2))</f>
        <v>2.243904762143846E-2</v>
      </c>
      <c r="DP20" s="11" t="str" cm="1">
        <f t="array" ref="DP20">_xll.ASAssetInfo($A20,"On-/Offshore")</f>
        <v>Unknown</v>
      </c>
      <c r="DQ20" s="16" cm="1">
        <f t="array" ref="DQ20">_xll.ASAssetStatistic($A20,"Quarter-to-date",,,,"m",'PBA Summary'!$F$2,'PBA Summary'!$G$2)</f>
        <v>-9.8262080738721447E-2</v>
      </c>
      <c r="DR20" s="16" cm="1">
        <f t="array" ref="DR20">_xll.ASAssetStatistic($A20,"Annualized Return Since inception",,,,"m",'PBA Summary'!$F$2,'PBA Summary'!$G$2)</f>
        <v>6.9776916145150025E-2</v>
      </c>
      <c r="DS20" s="16" cm="1">
        <f t="array" ref="DS20">IF('PBA Summary'!$D$2="","",_xll.ASAssetStatistic($A20,"Ann. Bear Market Return vs Benchmark 1",'PBA Summary'!$D$2,,,"m",'PBA Summary'!$F$2,'PBA Summary'!$G$2))</f>
        <v>-0.22653694938973512</v>
      </c>
      <c r="DT20" s="16" cm="1">
        <f t="array" ref="DT20">IF('PBA Summary'!$D$2="","",_xll.ASAssetStatistic($A20,"Ann. Bull Market Return vs Benchmark 1",'PBA Summary'!$D$2,,,"m",'PBA Summary'!$F$2,'PBA Summary'!$G$2))</f>
        <v>9.4369589050879554E-2</v>
      </c>
      <c r="DU20" s="16" cm="1">
        <f t="array" ref="DU20">IF('PBA Summary'!$D$3="","",_xll.ASAssetStatistic($A20,"Ann. Bear Market Return vs Benchmark 1",'PBA Summary'!$D$3,,,"m",'PBA Summary'!$F$2,'PBA Summary'!$G$2))</f>
        <v>-0.22653694938973512</v>
      </c>
      <c r="DV20" s="16" cm="1">
        <f t="array" ref="DV20">IF('PBA Summary'!$D$3="","",_xll.ASAssetStatistic($A20,"Ann. Bull Market Return vs Benchmark 1",'PBA Summary'!$D$3,,,"m",'PBA Summary'!$F$2,'PBA Summary'!$G$2))</f>
        <v>9.4369589050879554E-2</v>
      </c>
      <c r="DW20" s="17" cm="1">
        <f t="array" ref="DW20">_xll.ASAssetStatistic($A20,"Average Positive Return",,,,"m",'PBA Summary'!$F$2,'PBA Summary'!$G$2)</f>
        <v>9.4691493804565201E-3</v>
      </c>
      <c r="DX20" s="17" cm="1">
        <f t="array" ref="DX20">_xll.ASAssetStatistic($A20,"Average Negative Return",,,,"m",'PBA Summary'!$F$2,'PBA Summary'!$G$2)</f>
        <v>-2.5321780093040536E-2</v>
      </c>
      <c r="DY20" s="16" cm="1">
        <f t="array" ref="DY20">IF('PBA Summary'!$D$2="","",_xll.ASAssetStatistic($A20,"Outperformance vs Benchmark 1",'PBA Summary'!$D$2,,,"m",'PBA Summary'!$F$2,'PBA Summary'!$G$2))</f>
        <v>-0.22280144852085504</v>
      </c>
      <c r="DZ20" s="16" cm="1">
        <f t="array" ref="DZ20">IF('PBA Summary'!$D$3="","",_xll.ASAssetStatistic($A20,"Outperformance vs Benchmark 1",'PBA Summary'!$D$3,,,"m",'PBA Summary'!$F$2,'PBA Summary'!$G$2))</f>
        <v>-0.22280144852085504</v>
      </c>
      <c r="EA20" s="16" cm="1">
        <f t="array" ref="EA20">IF('PBA Summary'!$D$2="","",_xll.ASAssetStatistic($A20,"Annual Outperformance vs Benchmark 1",'PBA Summary'!$D$2,,,"m",'PBA Summary'!$F$2,'PBA Summary'!$G$2))</f>
        <v>-0.17467927791400273</v>
      </c>
      <c r="EB20" s="16" cm="1">
        <f t="array" ref="EB20">IF('PBA Summary'!$D$3="","",_xll.ASAssetStatistic($A20,"Annual Outperformance vs Benchmark 1",'PBA Summary'!$D$3,,,"m",'PBA Summary'!$F$2,'PBA Summary'!$G$2))</f>
        <v>-0.17467927791400273</v>
      </c>
      <c r="EC20" s="32" cm="1">
        <f t="array" ref="EC20">_xll.ASAssetStatistic($A20,"Rachev Ratio 99%",,,,"m",'PBA Summary'!$F$2,'PBA Summary'!$G$2)</f>
        <v>-0.23824262625242079</v>
      </c>
      <c r="ED20" s="32" cm="1">
        <f t="array" ref="ED20">_xll.ASAssetStatistic($A20,"Rachev Ratio 97%",,,,"m",'PBA Summary'!$F$2,'PBA Summary'!$G$2)</f>
        <v>-0.23824262625242079</v>
      </c>
      <c r="EE20" s="32" cm="1">
        <f t="array" ref="EE20">_xll.ASAssetStatistic($A20,"Rachev Ratio 95%",,,,"m",'PBA Summary'!$F$2,'PBA Summary'!$G$2)</f>
        <v>-0.23824262625242079</v>
      </c>
      <c r="EF20" s="32" cm="1">
        <f t="array" ref="EF20">_xll.ASAssetStatistic($A20,"Rachev Ratio 90%",,,,"m",'PBA Summary'!$F$2,'PBA Summary'!$G$2)</f>
        <v>-0.37954787698416176</v>
      </c>
      <c r="EG20" s="34" cm="1">
        <f t="array" ref="EG20">IF('PBA Summary'!$D$2="","",_xll.ASAssetStatistic($A20,"Annual Up Capture vs Benchmark 1",'PBA Summary'!$D$2,,,"m",'PBA Summary'!$F$2,'PBA Summary'!$G$2))</f>
        <v>0.18642458024632375</v>
      </c>
      <c r="EH20" s="34" cm="1">
        <f t="array" ref="EH20">IF('PBA Summary'!$D$3="","",_xll.ASAssetStatistic($A20,"Annual Up Capture vs Benchmark 1",'PBA Summary'!$D$3,,,"m",'PBA Summary'!$F$2,'PBA Summary'!$G$2))</f>
        <v>0.18642458024632375</v>
      </c>
      <c r="EI20" s="34" cm="1">
        <f t="array" ref="EI20">IF('PBA Summary'!$D$2="","",_xll.ASAssetStatistic($A20,"Annual Down Capture vs Benchmark 1",'PBA Summary'!$D$2,,,"m",'PBA Summary'!$F$2,'PBA Summary'!$G$2))</f>
        <v>0.5504833973045884</v>
      </c>
      <c r="EJ20" s="34" cm="1">
        <f t="array" ref="EJ20">IF('PBA Summary'!$D$3="","",_xll.ASAssetStatistic($A20,"Annual Down Capture vs Benchmark 1",'PBA Summary'!$D$3,,,"m",'PBA Summary'!$F$2,'PBA Summary'!$G$2))</f>
        <v>0.5504833973045884</v>
      </c>
      <c r="EK20" s="16" cm="1">
        <f t="array" ref="EK20">IF('PBA Summary'!$D$2="","",_xll.ASAssetStatistic($A20,"Ann. Tracking Error vs Benchmark 1",'PBA Summary'!$D$2,,,"m",'PBA Summary'!$F$2,'PBA Summary'!$G$2))</f>
        <v>0.16891805012577163</v>
      </c>
      <c r="EL20" s="16" cm="1">
        <f t="array" ref="EL20">IF('PBA Summary'!$D$3="","",_xll.ASAssetStatistic($A20,"Ann. Tracking Error vs Benchmark 1",'PBA Summary'!$D$3,,,"m",'PBA Summary'!$F$2,'PBA Summary'!$G$2))</f>
        <v>0.16891805012577163</v>
      </c>
      <c r="EM20" s="16" cm="1">
        <f t="array" ref="EM20">IF('PBA Summary'!$D$2="","",_xll.ASAssetStatistic($A20,"Annual Jensen Alpha vs Benchmark 1 (Rf)",'PBA Summary'!$D$2,,,"m",'PBA Summary'!$F$2,'PBA Summary'!$G$2))</f>
        <v>-2.0956935412582228E-2</v>
      </c>
      <c r="EN20" s="16" cm="1">
        <f t="array" ref="EN20">IF('PBA Summary'!$D$3="","",_xll.ASAssetStatistic($A20,"Annual Jensen Alpha vs Benchmark 1 (Rf)",'PBA Summary'!$D$3,,,"m",'PBA Summary'!$F$2,'PBA Summary'!$G$2))</f>
        <v>-2.0956935412582228E-2</v>
      </c>
      <c r="EO20" s="33" cm="1">
        <f t="array" ref="EO20">IF('PBA Summary'!$D$2="","",_xll.ASAssetStatistic($A20,"Ann. Information Ratio vs Benchmark 1",'PBA Summary'!$D$2,,,"m",'PBA Summary'!$F$2,'PBA Summary'!$G$2))</f>
        <v>-1.0341066439255098</v>
      </c>
      <c r="EP20" s="33" cm="1">
        <f t="array" ref="EP20">IF('PBA Summary'!$D$3="","",_xll.ASAssetStatistic($A20,"Ann. Information Ratio vs Benchmark 1",'PBA Summary'!$D$3,,,"m",'PBA Summary'!$F$2,'PBA Summary'!$G$2))</f>
        <v>-1.0341066439255098</v>
      </c>
      <c r="EQ20" s="17" cm="1">
        <f t="array" ref="EQ20">IF('PBA Summary'!$D$2="","",_xll.ASAssetStatistic($A20,"Alpha Monthly vs Benchmark 1",'PBA Summary'!$D$2,,,"m",'PBA Summary'!$F$2,'PBA Summary'!$G$2))</f>
        <v>-1.1602981916758054E-3</v>
      </c>
      <c r="ER20" s="17" cm="1">
        <f t="array" ref="ER20">IF('PBA Summary'!$D$3="","",_xll.ASAssetStatistic($A20,"Alpha Monthly vs Benchmark 1",'PBA Summary'!$D$3,,,"m",'PBA Summary'!$F$2,'PBA Summary'!$G$2))</f>
        <v>-1.1602981916758054E-3</v>
      </c>
      <c r="ES20" s="11" t="str" cm="1">
        <f t="array" ref="ES20">_xll.ASAssetInfo($A20,"Company AUM (m)")</f>
        <v/>
      </c>
      <c r="ET20" s="16" cm="1">
        <f t="array" ref="ET20">_xll.ASAssetStatistic($A20,"Exponential Annualized Volatility",,,,"m",'PBA Summary'!$F$2,'PBA Summary'!$G$2)</f>
        <v>0.12769829365860369</v>
      </c>
      <c r="EU20" s="16" cm="1">
        <f t="array" ref="EU20">_xll.ASAssetStatistic($A20,"Exponential Annualized Volatility Last 1 year",,,,"m",'PBA Summary'!$F$2,'PBA Summary'!$G$2)</f>
        <v>0.13461322378164053</v>
      </c>
      <c r="EV20" s="16" t="str" cm="1">
        <f t="array" ref="EV20">_xll.ASAssetStatistic($A20,"Exponential Annualized Volatility Last 3 years",,,,"m",'PBA Summary'!$F$2,'PBA Summary'!$G$2)</f>
        <v/>
      </c>
      <c r="EW20" s="34" cm="1">
        <f t="array" ref="EW20">IF('PBA Summary'!$D$2="","",_xll.ASAssetStatistic($A20,"Exponential Correlation to Benchmark 1",'PBA Summary'!$D$2,,,"m",'PBA Summary'!$F$2,'PBA Summary'!$G$2))</f>
        <v>0.17860576518157209</v>
      </c>
      <c r="EX20" s="34" cm="1">
        <f t="array" ref="EX20">IF('PBA Summary'!$D$3="","",_xll.ASAssetStatistic($A20,"Exponential Correlation to Benchmark 1",'PBA Summary'!$D$3,,,"m",'PBA Summary'!$F$2,'PBA Summary'!$G$2))</f>
        <v>0.17860576518157209</v>
      </c>
      <c r="EY20" s="34" cm="1">
        <f t="array" ref="EY20">_xll.ASAssetStatistic($A20,"Exponential Annual Sharpe Ratio (Rf)",,,,"m",'PBA Summary'!$F$2,'PBA Summary'!$G$2)</f>
        <v>-0.61068815105999097</v>
      </c>
      <c r="EZ20" s="34" cm="1">
        <f t="array" ref="EZ20">_xll.ASAssetStatistic($A20,"Exponential Normal Monthly VaR 99%",,,,"m",'PBA Summary'!$F$2,'PBA Summary'!$G$2)</f>
        <v>-9.2275964439025027E-2</v>
      </c>
      <c r="FA20" s="34" cm="1">
        <f t="array" ref="FA20">_xll.ASAssetStatistic($A20,"Exponential Normal Monthly VaR 97%",,,,"m",'PBA Summary'!$F$2,'PBA Summary'!$G$2)</f>
        <v>-7.5851354018308503E-2</v>
      </c>
      <c r="FB20" s="34" cm="1">
        <f t="array" ref="FB20">_xll.ASAssetStatistic($A20,"Exponential Normal Monthly VaR 95%",,,,"m",'PBA Summary'!$F$2,'PBA Summary'!$G$2)</f>
        <v>-6.7153822492849305E-2</v>
      </c>
      <c r="FC20" s="34" cm="1">
        <f t="array" ref="FC20">_xll.ASAssetStatistic($A20,"Exponential Normal Monthly VaR 90%",,,,"m",'PBA Summary'!$F$2,'PBA Summary'!$G$2)</f>
        <v>-5.3761301580189574E-2</v>
      </c>
      <c r="FD20" s="34" t="str" cm="1">
        <f t="array" ref="FD20">_xll.ASAssetStatistic($A20,"Exponential Normal weekly VaR 99%",,,,"m",'PBA Summary'!$F$2,'PBA Summary'!$G$2)</f>
        <v/>
      </c>
      <c r="FE20" s="34" t="str" cm="1">
        <f t="array" ref="FE20">_xll.ASAssetStatistic($A20,"Exponential Normal weekly VaR 97%",,,,"m",'PBA Summary'!$F$2,'PBA Summary'!$G$2)</f>
        <v/>
      </c>
      <c r="FF20" s="34" t="str" cm="1">
        <f t="array" ref="FF20">_xll.ASAssetStatistic($A20,"Exponential Normal weekly VaR 95%",,,,"m",'PBA Summary'!$F$2,'PBA Summary'!$G$2)</f>
        <v/>
      </c>
      <c r="FG20" s="34" t="str" cm="1">
        <f t="array" ref="FG20">_xll.ASAssetStatistic($A20,"Exponential Normal weekly VaR 90%",,,,"m",'PBA Summary'!$F$2,'PBA Summary'!$G$2)</f>
        <v/>
      </c>
      <c r="FH20" s="34" t="str" cm="1">
        <f t="array" ref="FH20">_xll.ASAssetStatistic($A20,"Exponential Normal daily VaR 99%",,,,"m",'PBA Summary'!$F$2,'PBA Summary'!$G$2)</f>
        <v/>
      </c>
      <c r="FI20" s="34" t="str" cm="1">
        <f t="array" ref="FI20">_xll.ASAssetStatistic($A20,"Exponential Normal daily VaR 97%",,,,"m",'PBA Summary'!$F$2,'PBA Summary'!$G$2)</f>
        <v/>
      </c>
      <c r="FJ20" s="34" t="str" cm="1">
        <f t="array" ref="FJ20">_xll.ASAssetStatistic($A20,"Exponential Normal daily VaR 95%",,,,"m",'PBA Summary'!$F$2,'PBA Summary'!$G$2)</f>
        <v/>
      </c>
      <c r="FK20" s="34" t="str" cm="1">
        <f t="array" ref="FK20">_xll.ASAssetStatistic($A20,"Exponential Normal daily VaR 90%",,,,"m",'PBA Summary'!$F$2,'PBA Summary'!$G$2)</f>
        <v/>
      </c>
      <c r="FL20" s="34" cm="1">
        <f t="array" ref="FL20">_xll.ASAssetStatistic($A20,"Bias Ratio",,,,"m",'PBA Summary'!$F$2,'PBA Summary'!$G$2)</f>
        <v>2.75</v>
      </c>
      <c r="FM20" s="11" t="str" cm="1">
        <f t="array" ref="FM20">_xll.ASAssetInfo($A20,"Manager's Biography")</f>
        <v/>
      </c>
      <c r="FN20" s="11" cm="1">
        <f t="array" ref="FN20">_xll.ASAssetInfo($A20,"Investment Min")</f>
        <v>0</v>
      </c>
      <c r="FO20" s="11" t="str" cm="1">
        <f t="array" ref="FO20">_xll.ASAssetInfo($A20,"Auditor")</f>
        <v/>
      </c>
      <c r="FP20" s="11" t="str" cm="1">
        <f t="array" ref="FP20">_xll.ASAssetInfo($A20,"Custodian")</f>
        <v/>
      </c>
      <c r="FQ20" s="11" t="str" cm="1">
        <f t="array" ref="FQ20">_xll.ASAssetInfo($A20,"Administrator")</f>
        <v/>
      </c>
      <c r="FR20" s="14" cm="1">
        <f t="array" ref="FR20">_xll.ASAssetInfo($A20,"Proxy 1 Start Date")</f>
        <v>36217</v>
      </c>
      <c r="FS20" s="14" cm="1">
        <f t="array" ref="FS20">_xll.ASAssetInfo($A20,"Proxy 1 End Date")</f>
        <v>44134</v>
      </c>
      <c r="FT20" s="14" t="str" cm="1">
        <f t="array" ref="FT20">_xll.ASAssetInfo($A20,"Proxy 2 Start Date")</f>
        <v/>
      </c>
      <c r="FU20" s="14" t="str" cm="1">
        <f t="array" ref="FU20">_xll.ASAssetInfo($A20,"Proxy 2 End Date")</f>
        <v/>
      </c>
      <c r="FV20" s="14" t="str" cm="1">
        <f t="array" ref="FV20">_xll.ASAssetInfo($A20,"Proxy 3 Start Date")</f>
        <v/>
      </c>
      <c r="FW20" s="14" t="str" cm="1">
        <f t="array" ref="FW20">_xll.ASAssetInfo($A20,"Proxy 3 End Date")</f>
        <v/>
      </c>
      <c r="FX20" s="14" t="str" cm="1">
        <f t="array" ref="FX20">_xll.ASAssetInfo($A20,"Fund Domicile")</f>
        <v/>
      </c>
      <c r="FY20" s="14" t="str" cm="1">
        <f t="array" ref="FY20">_xll.ASAssetInfo($A20,"Fund Contact")</f>
        <v/>
      </c>
      <c r="FZ20" s="14" t="str" cm="1">
        <f t="array" ref="FZ20">_xll.ASAssetInfo($A20,"Fund Contact Email")</f>
        <v/>
      </c>
      <c r="GA20" s="14" t="str" cm="1">
        <f t="array" ref="GA20">_xll.ASAssetInfo($A20,"Fund Contact Number")</f>
        <v/>
      </c>
      <c r="GB20" s="14" t="str" cm="1">
        <f t="array" ref="GB20">_xll.ASAssetInfo($A20,"City")</f>
        <v/>
      </c>
      <c r="GC20" s="14" t="str" cm="1">
        <f t="array" ref="GC20">_xll.ASAssetInfo($A20,"Leverage")</f>
        <v/>
      </c>
      <c r="GD20" s="14" t="str" cm="1">
        <f t="array" ref="GD20">_xll.ASAssetInfo($A20,"Lockup 1 Duration")</f>
        <v>0 Months</v>
      </c>
      <c r="GE20" s="14" t="str" cm="1">
        <f t="array" ref="GE20">_xll.ASAssetInfo($A20,"Lockup 2 Duration")</f>
        <v>0 Months</v>
      </c>
      <c r="GF20" s="14" t="str" cm="1">
        <f t="array" ref="GF20">_xll.ASAssetInfo($A20,"Lockup 3 Duration")</f>
        <v>0 Months</v>
      </c>
      <c r="GG20" s="31" t="str" cm="1">
        <f t="array" ref="GG20">_xll.ASAssetInfo($A20,"Fund Level Gate")</f>
        <v/>
      </c>
      <c r="GH20" s="31" t="str" cm="1">
        <f t="array" ref="GH20">_xll.ASAssetInfo($A20,"Fund Level Gate Frequency")</f>
        <v>Unknown</v>
      </c>
      <c r="GI20" s="35" cm="1">
        <f t="array" ref="GI20">_xll.ASAssetInfo($A20,"Payment 2 (%)")</f>
        <v>0</v>
      </c>
      <c r="GJ20" s="35" t="str" cm="1">
        <f t="array" ref="GJ20">_xll.ASAssetInfo($A20,"Payment 2 (days)")</f>
        <v/>
      </c>
      <c r="GK20" s="35" t="str" cm="1">
        <f t="array" ref="GK20">_xll.ASAssetInfo($A20,"Payment 2 (Paid After)")</f>
        <v>NAV Date</v>
      </c>
      <c r="GL20" s="35" cm="1">
        <f t="array" ref="GL20">_xll.ASAssetInfo($A20,"Payment 3 (%)")</f>
        <v>0</v>
      </c>
      <c r="GM20" s="36" t="str" cm="1">
        <f t="array" ref="GM20">_xll.ASAssetInfo($A20,"Payment 3 (Days)")</f>
        <v/>
      </c>
      <c r="GN20" s="35" t="str" cm="1">
        <f t="array" ref="GN20">_xll.ASAssetInfo($A20,"Payment 3 (Paid After)")</f>
        <v>NAV Date</v>
      </c>
      <c r="GO20" s="35" cm="1">
        <f t="array" ref="GO20">_xll.ASAssetInfo($A20,"Payment 4 (%)")</f>
        <v>0</v>
      </c>
      <c r="GP20" s="36" t="str" cm="1">
        <f t="array" ref="GP20">_xll.ASAssetInfo($A20,"Payment 4 (days)")</f>
        <v/>
      </c>
      <c r="GQ20" s="35" t="str" cm="1">
        <f t="array" ref="GQ20">_xll.ASAssetInfo($A20,"Payment 4 (Paid After)")</f>
        <v>NAV Date</v>
      </c>
      <c r="GR20" s="11" cm="1">
        <f t="array" ref="GR20">_xll.ASAssetInfo($A20,"Payment 1 (%)")</f>
        <v>1</v>
      </c>
      <c r="GS20" s="35" cm="1">
        <f t="array" ref="GS20">_xll.ASAssetInfo($A20,"Lockup 1 Fee")</f>
        <v>0</v>
      </c>
      <c r="GT20" s="35" cm="1">
        <f t="array" ref="GT20">_xll.ASAssetInfo($A20,"Lockup 2 Fee")</f>
        <v>0</v>
      </c>
      <c r="GU20" s="35" cm="1">
        <f t="array" ref="GU20">_xll.ASAssetInfo($A20,"Lockup 3 Fee")</f>
        <v>0</v>
      </c>
      <c r="GV20" s="35" t="str" cm="1">
        <f t="array" ref="GV20">_xll.ASAssetInfo($A20,"Lockup 1 type")</f>
        <v>None</v>
      </c>
      <c r="GW20" s="35" t="str" cm="1">
        <f t="array" ref="GW20">_xll.ASAssetInfo($A20,"Lockup 2 type")</f>
        <v>None</v>
      </c>
      <c r="GX20" s="35" t="str" cm="1">
        <f t="array" ref="GX20">_xll.ASAssetInfo($A20,"Lockup 3 type")</f>
        <v>None</v>
      </c>
      <c r="GY20" s="35" t="str" cm="1">
        <f t="array" ref="GY20">_xll.ASAssetInfo($A20,"Redemption 1 type")</f>
        <v>Calendar</v>
      </c>
      <c r="GZ20" s="35" t="str" cm="1">
        <f t="array" ref="GZ20">_xll.ASAssetInfo($A20,"Redemption 2 type")</f>
        <v>Calendar</v>
      </c>
      <c r="HA20" s="35"/>
      <c r="HB20" s="35"/>
      <c r="HC20" s="35"/>
      <c r="HD20" s="35"/>
      <c r="HE20" s="35"/>
      <c r="HF20" s="35"/>
      <c r="HG20" s="35" t="str" cm="1">
        <f t="array" ref="HG20">_xll.ASAssetInfo($A20,"Redemption 3 Frequency")</f>
        <v>Unknown</v>
      </c>
      <c r="HH20" s="35" t="str" cm="1">
        <f t="array" ref="HH20">_xll.ASAssetInfo($A20,"Asset Calendar")</f>
        <v>[Default]</v>
      </c>
      <c r="HI20" s="16" cm="1">
        <f t="array" ref="HI20">_xll.ASAssetStatistic($A20,"Max Second Drawdown",,,,"m",'PBA Summary'!$F$2,'PBA Summary'!$G$2)</f>
        <v>-1.159171357293598E-3</v>
      </c>
      <c r="HJ20" s="37" cm="1">
        <f t="array" ref="HJ20">_xll.ASAssetStatistic($A20,"Date Max Second Drawdown",,,,"m",'PBA Summary'!$F$2,'PBA Summary'!$G$2)</f>
        <v>43799</v>
      </c>
      <c r="HK20" s="37"/>
      <c r="HL20" s="37" t="str" cm="1">
        <f t="array" ref="HL20">_xll.ASAssetInfo($A20,HL$1)</f>
        <v/>
      </c>
      <c r="HM20" s="34" cm="1">
        <f t="array" ref="HM20">_xll.ASAssetInfo($A20,HM$1)</f>
        <v>96.844999999999999</v>
      </c>
      <c r="HN20" s="37" t="str" cm="1">
        <f t="array" ref="HN20">_xll.ASAssetInfo($A20,HN$1)</f>
        <v/>
      </c>
      <c r="HO20" s="15" cm="1">
        <f t="array" ref="HO20">_xll.ASAssetInfo($A20,HO$1)</f>
        <v>3.7999999999999999E-2</v>
      </c>
      <c r="HP20" s="15" cm="1">
        <f t="array" ref="HP20">_xll.ASAssetInfo($A20,HP$1)</f>
        <v>5.1711695420091415E-2</v>
      </c>
      <c r="HQ20" s="34" t="str" cm="1">
        <f t="array" ref="HQ20">_xll.ASAssetInfo($A20,HQ$1)</f>
        <v/>
      </c>
      <c r="HR20" s="37" t="str" cm="1">
        <f t="array" ref="HR20">_xll.ASAssetInfo($A20,HR$1)</f>
        <v/>
      </c>
      <c r="HS20" s="37" t="str" cm="1">
        <f t="array" ref="HS20">_xll.ASAssetInfo($A20,HS$1)</f>
        <v/>
      </c>
      <c r="HT20" s="37" t="str" cm="1">
        <f t="array" ref="HT20">_xll.ASAssetInfo($A20,HT$1)</f>
        <v>BB</v>
      </c>
      <c r="HU20" s="37" t="str" cm="1">
        <f t="array" ref="HU20">_xll.ASAssetInfo($A20,HU$1)</f>
        <v>U.S.</v>
      </c>
      <c r="HV20" s="37" t="str" cm="1">
        <f t="array" ref="HV20">_xll.ASAssetInfo($A20,HV$1)</f>
        <v/>
      </c>
      <c r="HW20" s="37" t="str" cm="1">
        <f t="array" ref="HW20">_xll.ASAssetInfo($A20,HW$1)</f>
        <v/>
      </c>
    </row>
    <row r="21" spans="1:231" s="11" customFormat="1" x14ac:dyDescent="0.25">
      <c r="A21" t="s">
        <v>273</v>
      </c>
      <c r="B21" cm="1">
        <f t="array" ref="B21">_xll.ASPortfolioWeights('PBA Summary'!$C$2,"OR",$A21)</f>
        <v>0</v>
      </c>
      <c r="C21" cm="1">
        <f t="array" ref="C21">_xll.ASAssetStatistic($A21,"Annualized Return since inception",,,,"m",_xll.ASAssetInfo($A21,"Start Date"),_xll.ASAssetInfo($A21,"Last Return Date"))</f>
        <v>0.10394417506119957</v>
      </c>
      <c r="D21" cm="1">
        <f t="array" ref="D21">_xll.ASAssetStatistic($A21,"Annualized Return",,,,"m",'PBA Summary'!$F$2,'PBA Summary'!$G$2)</f>
        <v>2.5762951844065185E-2</v>
      </c>
      <c r="E21" s="19" cm="1">
        <f t="array" ref="E21">_xll.ASAssetStatistic($A21,"Equilibrium Annual Return",,,,"m",'PBA Summary'!$F$2,'PBA Summary'!$G$2)</f>
        <v>4.9115966969517588E-2</v>
      </c>
      <c r="F21" cm="1">
        <f t="array" ref="F21">_xll.ASAssetStatistic($A21,"Annualized Volatility (Inception)",,,,"m",_xll.ASAssetInfo($A21,"Start Date"),_xll.ASAssetInfo($A21,"Last Return Date"))</f>
        <v>4.9717284720708556E-2</v>
      </c>
      <c r="G21" cm="1">
        <f t="array" ref="G21">_xll.ASAssetStatistic($A21,"Annualized Volatility",,,,"m",'PBA Summary'!$F$2,'PBA Summary'!$G$2)</f>
        <v>4.6960798240964476E-2</v>
      </c>
      <c r="H21" s="20" cm="1">
        <f t="array" ref="H21">_xll.ASAssetStatistic($A21,"Skewness",,,,"m",'PBA Summary'!$F$2,'PBA Summary'!$G$2)</f>
        <v>1.3504985243778367</v>
      </c>
      <c r="I21" s="20" cm="1">
        <f t="array" ref="I21">_xll.ASAssetStatistic($A21,"Excess kurtosis",,,,"m",'PBA Summary'!$F$2,'PBA Summary'!$G$2)</f>
        <v>1.971043582416615</v>
      </c>
      <c r="J21" s="19" cm="1">
        <f t="array" ref="J21">_xll.ASAssetStatistic($A21,"Return Last 1 month",,,,"m",'PBA Summary'!$F$2,'PBA Summary'!$G$2)</f>
        <v>-7.3999999999999622E-3</v>
      </c>
      <c r="K21" s="19" cm="1">
        <f t="array" ref="K21">_xll.ASAssetStatistic($A21,"Return Last 3 months",,,,"m",'PBA Summary'!$F$2,'PBA Summary'!$G$2)</f>
        <v>1.4193304080001301E-3</v>
      </c>
      <c r="L21" s="19" cm="1">
        <f t="array" ref="L21">_xll.ASAssetStatistic($A21,"Return Last 1 year",,,,"m",'PBA Summary'!$F$2,'PBA Summary'!$G$2)</f>
        <v>2.8063471625950465E-2</v>
      </c>
      <c r="M21" s="19" cm="1">
        <f t="array" ref="M21">_xll.ASAssetStatistic($A21,"Year-to-date Return",,,,"m",'PBA Summary'!$F$2,'PBA Summary'!$G$2)</f>
        <v>-7.3999999999999622E-3</v>
      </c>
      <c r="N21" s="19" cm="1">
        <f t="array" ref="N21">_xll.ASAssetStatistic($A21,"Annualized Return",,,,"m",EOMONTH('PBA Summary'!$G$2,-2),'PBA Summary'!$G$2)</f>
        <v>5.689420065858819E-3</v>
      </c>
      <c r="O21" s="19" t="str" cm="1">
        <f t="array" ref="O21">_xll.ASAssetStatistic($A21,"Annualized Return Last 3 years",,,,"m",'PBA Summary'!$F$2,'PBA Summary'!$G$2)</f>
        <v/>
      </c>
      <c r="P21" s="19" t="str" cm="1">
        <f t="array" ref="P21">_xll.ASAssetStatistic($A21,"Annualized Return Last 5 years",,,,"m",'PBA Summary'!$F$2,'PBA Summary'!$G$2)</f>
        <v/>
      </c>
      <c r="Q21" s="19" cm="1">
        <f t="array" ref="Q21">_xll.ASAssetStatistic($A21,"Annualized Volatility Last 1 year",,,,"m",'PBA Summary'!$F$2,'PBA Summary'!$G$2)</f>
        <v>5.1314741812394683E-2</v>
      </c>
      <c r="R21" s="19" t="str" cm="1">
        <f t="array" ref="R21">_xll.ASAssetStatistic($A21,"Annualized Volatility Last 3 years",,,,"m",'PBA Summary'!$F$2,'PBA Summary'!$G$2)</f>
        <v/>
      </c>
      <c r="S21" s="19" t="str" cm="1">
        <f t="array" ref="S21">_xll.ASAssetStatistic($A21,"Annualized Volatility Last 5 years",,,,"m",'PBA Summary'!$F$2,'PBA Summary'!$G$2)</f>
        <v/>
      </c>
      <c r="T21" s="19" cm="1">
        <f t="array" ref="T21">_xll.ASAssetStatistic($A21,"Normal monthly VaR 99%",,,,"m",'PBA Summary'!$F$2,'PBA Summary'!$G$2)</f>
        <v>-2.9330269973335505E-2</v>
      </c>
      <c r="U21" s="19" cm="1">
        <f t="array" ref="U21">_xll.ASAssetStatistic($A21,"Modified monthly VaR 99%",,,,"m",'PBA Summary'!$F$2,'PBA Summary'!$G$2)</f>
        <v>-1.2810162545797567E-2</v>
      </c>
      <c r="V21" s="19" cm="1">
        <f t="array" ref="V21">_xll.ASAssetStatistic($A21,"Conditional monthly VaR 99%",,,,"m",'PBA Summary'!$F$2,'PBA Summary'!$G$2)</f>
        <v>-1.26E-2</v>
      </c>
      <c r="W21" s="19" cm="1">
        <f t="array" ref="W21">_xll.ASAssetStatistic($A21,"Normal monthly VaR 97%",,,,"m",'PBA Summary'!$F$2,'PBA Summary'!$G$2)</f>
        <v>-2.329015155001667E-2</v>
      </c>
      <c r="X21" s="19" cm="1">
        <f t="array" ref="X21">_xll.ASAssetStatistic($A21,"Modified monthly VaR 97%",,,,"m",'PBA Summary'!$F$2,'PBA Summary'!$G$2)</f>
        <v>-1.3993007126497276E-2</v>
      </c>
      <c r="Y21" s="19" cm="1">
        <f t="array" ref="Y21">_xll.ASAssetStatistic($A21,"Conditional monthly VaR 97%",,,,"m",'PBA Summary'!$F$2,'PBA Summary'!$G$2)</f>
        <v>-1.26E-2</v>
      </c>
      <c r="Z21" s="19" cm="1">
        <f t="array" ref="Z21">_xll.ASAssetStatistic($A21,"Normal monthly VaR 95%",,,,"m",'PBA Summary'!$F$2,'PBA Summary'!$G$2)</f>
        <v>-2.0091651308083342E-2</v>
      </c>
      <c r="AA21" s="19" cm="1">
        <f t="array" ref="AA21">_xll.ASAssetStatistic($A21,"Modified monthly VaR 95%",,,,"m",'PBA Summary'!$F$2,'PBA Summary'!$G$2)</f>
        <v>-1.3883858489079904E-2</v>
      </c>
      <c r="AB21" s="19" cm="1">
        <f t="array" ref="AB21">_xll.ASAssetStatistic($A21,"Conditional monthly VaR 95%",,,,"m",'PBA Summary'!$F$2,'PBA Summary'!$G$2)</f>
        <v>-1.26E-2</v>
      </c>
      <c r="AC21" s="66" cm="1">
        <f t="array" ref="AC21">_xll.ASAssetStatistic($A21,"Correlation to Benchmark 1","MSCI ACWI Index",,,"m",'PBA Summary'!$F$2,'PBA Summary'!$G$2)</f>
        <v>2.0231697800036988E-2</v>
      </c>
      <c r="AD21" s="38" cm="1">
        <f t="array" ref="AD21">IF('PBA Summary'!$D$3="","",_xll.ASAssetStatistic($A21,"Correlation to Benchmark 1",'PBA Summary'!$D$3,,,"m",'PBA Summary'!$F$2,'PBA Summary'!$G$2))</f>
        <v>4.8266431438322404E-4</v>
      </c>
      <c r="AE21" s="21" cm="1">
        <f t="array" ref="AE21">IF('PBA Summary'!$D$2="","",_xll.ASAssetStatistic($A21,"Bull correlation to Benchmark 1",'PBA Summary'!$D$2,,,"m",'PBA Summary'!$F$2,'PBA Summary'!$G$2))</f>
        <v>0.21422437231031793</v>
      </c>
      <c r="AF21" s="21" cm="1">
        <f t="array" ref="AF21">IF('PBA Summary'!$D$2="","",_xll.ASAssetStatistic($A21,"Bear correlation to Benchmark 1",'PBA Summary'!$D$2,,,"m",'PBA Summary'!$F$2,'PBA Summary'!$G$2))</f>
        <v>0.28488549160913407</v>
      </c>
      <c r="AG21" s="21" cm="1">
        <f t="array" ref="AG21">IF('PBA Summary'!$D$3="","",_xll.ASAssetStatistic($A21,"Bull correlation to Benchmark 1",'PBA Summary'!$D$3,,,"m",'PBA Summary'!$F$2,'PBA Summary'!$G$2))</f>
        <v>0.21422437231031793</v>
      </c>
      <c r="AH21" s="21" cm="1">
        <f t="array" ref="AH21">IF('PBA Summary'!$D$3="","",_xll.ASAssetStatistic($A21,"Bear correlation to Benchmark 1",'PBA Summary'!$D$3,,,"m",'PBA Summary'!$F$2,'PBA Summary'!$G$2))</f>
        <v>0.28488549160913407</v>
      </c>
      <c r="AI21" s="24" cm="1">
        <f t="array" ref="AI21">IF('PBA Summary'!$D$2="","",_xll.ASAssetStatistic($A21,"Beta to Benchmark 1",'PBA Summary'!$D$2,,,"m",'PBA Summary'!$F$2,'PBA Summary'!$G$2))</f>
        <v>1.4764012134897754E-4</v>
      </c>
      <c r="AJ21" s="24" t="str" cm="1">
        <f t="array" ref="AJ21">IF('PBA Summary'!$D$2="","",_xll.ASAssetStatistic($A21,"Beta to Benchmark 1 Last 3 years",'PBA Summary'!$D$2,,,"m",'PBA Summary'!$F$2,'PBA Summary'!$G$2))</f>
        <v/>
      </c>
      <c r="AK21" s="24" t="str" cm="1">
        <f t="array" ref="AK21">IF('PBA Summary'!$D$2="","",_xll.ASAssetStatistic($A21,"Beta to Benchmark 1 Last 5 years",'PBA Summary'!$D$2,,,"m",'PBA Summary'!$F$2,'PBA Summary'!$G$2))</f>
        <v/>
      </c>
      <c r="AL21" s="25" cm="1">
        <f t="array" ref="AL21">IF('PBA Summary'!$D$3="","",_xll.ASAssetStatistic($A21,"Beta to Benchmark 1",'PBA Summary'!$D$3,,,"m",'PBA Summary'!$F$2,'PBA Summary'!$G$2))</f>
        <v>1.4764012134897754E-4</v>
      </c>
      <c r="AM21" s="25" t="str" cm="1">
        <f t="array" ref="AM21">IF('PBA Summary'!$D$3="","",_xll.ASAssetStatistic($A21,"Beta to Benchmark 1 Last 3 years",'PBA Summary'!$D$3,,,"m",'PBA Summary'!$F$2,'PBA Summary'!$G$2))</f>
        <v/>
      </c>
      <c r="AN21" s="25" t="str" cm="1">
        <f t="array" ref="AN21">IF('PBA Summary'!$D$3="","",_xll.ASAssetStatistic($A21,"Beta to Benchmark 1 Last 5 years",'PBA Summary'!$D$3,,,"m",'PBA Summary'!$F$2,'PBA Summary'!$G$2))</f>
        <v/>
      </c>
      <c r="AO21" s="25" cm="1">
        <f t="array" ref="AO21">IF('PBA Summary'!$D$2="","",_xll.ASAssetStatistic($A21,"Bull Beta to Benchmark 1",'PBA Summary'!$D$2,,,"m",'PBA Summary'!$F$2,'PBA Summary'!$G$2))</f>
        <v>0.10569738422373912</v>
      </c>
      <c r="AP21" s="25" cm="1">
        <f t="array" ref="AP21">IF('PBA Summary'!$D$2="","",_xll.ASAssetStatistic($A21,"Bear Beta to Benchmark 1",'PBA Summary'!$D$2,,,"m",'PBA Summary'!$F$2,'PBA Summary'!$G$2))</f>
        <v>0.14470115784943277</v>
      </c>
      <c r="AQ21" s="25" cm="1">
        <f t="array" ref="AQ21">IF('PBA Summary'!$D$3="","",_xll.ASAssetStatistic($A21,"Bull Beta to Benchmark 1",'PBA Summary'!$D$3,,,"m",'PBA Summary'!$F$2,'PBA Summary'!$G$2))</f>
        <v>0.10569738422373912</v>
      </c>
      <c r="AR21" s="25" cm="1">
        <f t="array" ref="AR21">IF('PBA Summary'!$D$3="","",_xll.ASAssetStatistic($A21,"Bear Beta to Benchmark 1",'PBA Summary'!$D$3,,,"m",'PBA Summary'!$F$2,'PBA Summary'!$G$2))</f>
        <v>0.14470115784943277</v>
      </c>
      <c r="AS21" s="25" cm="1">
        <f t="array" ref="AS21">_xll.ASAssetStatistic($A21,"Annual Sharpe Ratio (Rf)",,,'PBA Summary'!$H$2,"m",'PBA Summary'!$F$2,'PBA Summary'!$G$2)</f>
        <v>0.49536960008002229</v>
      </c>
      <c r="AT21" s="25" t="str" cm="1">
        <f t="array" ref="AT21">_xll.ASAssetStatistic($A21,"Annual Sharpe Ratio (Rf) Last 3 years",,,'PBA Summary'!$H$2,"m",'PBA Summary'!$F$2,'PBA Summary'!$G$2)</f>
        <v/>
      </c>
      <c r="AU21" s="25" t="str" cm="1">
        <f t="array" ref="AU21">_xll.ASAssetStatistic($A21,"Annual Sharpe Ratio (Rf) Last 5 years",,,'PBA Summary'!$H$2,"m",'PBA Summary'!$F$2,'PBA Summary'!$G$2)</f>
        <v/>
      </c>
      <c r="AV21" s="18" cm="1">
        <f t="array" ref="AV21">_xll.ASAssetStatistic($A21,"Ann. Downside Deviation (vs 0%)",,,'PBA Summary'!$H$2,"m",'PBA Summary'!$F$2,'PBA Summary'!$G$2)</f>
        <v>2.0681779420543098E-2</v>
      </c>
      <c r="AW21" s="18" cm="1">
        <f t="array" ref="AW21">_xll.ASAssetStatistic($A21,"Ann. Downside Deviation (vs Rf)",,,'PBA Summary'!$H$2,"m",'PBA Summary'!$F$2,'PBA Summary'!$G$2)</f>
        <v>2.1161847425330681E-2</v>
      </c>
      <c r="AX21" s="39" cm="1">
        <f t="array" ref="AX21">_xll.ASAssetStatistic($A21,"Annual Treynor ratio",,,'PBA Summary'!$H$2,"m",'PBA Summary'!$F$2,'PBA Summary'!$G$2)</f>
        <v>50.348890089981445</v>
      </c>
      <c r="AY21" s="26" cm="1">
        <f t="array" ref="AY21">_xll.ASAssetStatistic($A21,"Annual Sortino Ratio (vs 0%)",,,'PBA Summary'!$H$2,"m",'PBA Summary'!$F$2,'PBA Summary'!$G$2)</f>
        <v>1.2456835226892995</v>
      </c>
      <c r="AZ21" s="26" cm="1">
        <f t="array" ref="AZ21">_xll.ASAssetStatistic($A21,"Annual Sortino Ratio (vs Rf)",,,'PBA Summary'!$H$2,"m",'PBA Summary'!$F$2,'PBA Summary'!$G$2)</f>
        <v>1.0992873815080761</v>
      </c>
      <c r="BA21" s="26" cm="1">
        <f t="array" ref="BA21">_xll.ASAssetStatistic($A21,"Sterling ratio",,,'PBA Summary'!$H$2,"m",'PBA Summary'!$F$2,'PBA Summary'!$G$2)</f>
        <v>0.20757544988287921</v>
      </c>
      <c r="BB21" s="26" cm="1">
        <f t="array" ref="BB21">_xll.ASAssetStatistic($A21,"Calmar ratio",,,'PBA Summary'!$H$2,"m",'PBA Summary'!$F$2,'PBA Summary'!$G$2)</f>
        <v>1.0683959313258182</v>
      </c>
      <c r="BC21" s="26" cm="1">
        <f t="array" ref="BC21">_xll.ASAssetStatistic($A21,"Hurst index",,,'PBA Summary'!$H$2,"m",'PBA Summary'!$F$2,'PBA Summary'!$G$2)</f>
        <v>0.4443064814051812</v>
      </c>
      <c r="BD21" s="26" cm="1">
        <f t="array" ref="BD21">_xll.ASAssetStatistic($A21,"Omega (Threshold 1)",,,'PBA Summary'!$H$2,"m",'PBA Summary'!$F$2,'PBA Summary'!$G$2)</f>
        <v>1.5563025210084032</v>
      </c>
      <c r="BE21" s="26" cm="1">
        <f t="array" ref="BE21">_xll.ASAssetStatistic($A21,"Omega (Threshold 2)",,,'PBA Summary'!$H$2,"m",'PBA Summary'!$F$2,'PBA Summary'!$G$2)</f>
        <v>0.59594985535197675</v>
      </c>
      <c r="BF21" s="26" cm="1">
        <f t="array" ref="BF21">_xll.ASAssetStatistic($A21,"Omega (Threshold 3)",,,'PBA Summary'!$H$2,"m",'PBA Summary'!$F$2,'PBA Summary'!$G$2)</f>
        <v>0.24919717405266542</v>
      </c>
      <c r="BG21" s="26" cm="1">
        <f t="array" ref="BG21">_xll.ASAssetStatistic($A21,"Omega (Threshold 4)",,,'PBA Summary'!$H$2,"m",'PBA Summary'!$F$2,'PBA Summary'!$G$2)</f>
        <v>0.12454379562043798</v>
      </c>
      <c r="BH21" s="26" cm="1">
        <f t="array" ref="BH21">_xll.ASAssetStatistic($A21,"Omega (Threshold 5)",,,'PBA Summary'!$H$2,"m",'PBA Summary'!$F$2,'PBA Summary'!$G$2)</f>
        <v>6.1202954625395704E-2</v>
      </c>
      <c r="BI21" s="26" t="str" cm="1">
        <f t="array" ref="BI21">_xll.ASAssetStatistic($A21,"Autocorrelated (illiquid)",,,'PBA Summary'!$H$2,"m",'PBA Summary'!$F$2,'PBA Summary'!$G$2)</f>
        <v>No</v>
      </c>
      <c r="BJ21" s="27" cm="1">
        <f t="array" ref="BJ21">_xll.ASAssetStatistic($A21,"% months in Run Up",,,'PBA Summary'!$H$2,"m",'PBA Summary'!$F$2,'PBA Summary'!$G$2)</f>
        <v>0.46666666666666667</v>
      </c>
      <c r="BK21" s="27" cm="1">
        <f t="array" ref="BK21">_xll.ASAssetStatistic($A21,"% months in Drawdown",,,'PBA Summary'!$H$2,"m",'PBA Summary'!$F$2,'PBA Summary'!$G$2)</f>
        <v>0.53333333333333333</v>
      </c>
      <c r="BL21" s="18" cm="1">
        <f t="array" ref="BL21">IF('PBA Summary'!$D$2="","",_xll.ASAssetStatistic($A21,"Bull Beta to Benchmark 1",'PBA Summary'!$D$2,,,"m",'PBA Summary'!$F$2,'PBA Summary'!$G$2))</f>
        <v>0.10569738422373912</v>
      </c>
      <c r="BM21" s="18" cm="1">
        <f t="array" ref="BM21">IF('PBA Summary'!$D$2="","",_xll.ASAssetStatistic($A21,"Average return during bear Benchmark 1",'PBA Summary'!$D$2,,,"m",'PBA Summary'!$F$2,'PBA Summary'!$G$2))</f>
        <v>6.2250000000000005E-3</v>
      </c>
      <c r="BN21" s="18" cm="1">
        <f t="array" ref="BN21">IF('PBA Summary'!$D$3="","",_xll.ASAssetStatistic($A21,"Average return during bull Benchmark 1",'PBA Summary'!$D$3,,,"m",'PBA Summary'!$F$2,'PBA Summary'!$G$2))</f>
        <v>7.4545454545454557E-4</v>
      </c>
      <c r="BO21" s="18" cm="1">
        <f t="array" ref="BO21">IF('PBA Summary'!$D$3="","",_xll.ASAssetStatistic($A21,"Average return during bear Benchmark 1",'PBA Summary'!$D$3,,,"m",'PBA Summary'!$F$2,'PBA Summary'!$G$2))</f>
        <v>6.2250000000000005E-3</v>
      </c>
      <c r="BP21" s="27" cm="1">
        <f t="array" ref="BP21">_xll.ASAssetStatistic($A21,"Maximum consecutive gain",,,'PBA Summary'!$H$2,"m",'PBA Summary'!$F$2,'PBA Summary'!$G$2)</f>
        <v>5.0195706560000275E-2</v>
      </c>
      <c r="BQ21" s="27" cm="1">
        <f t="array" ref="BQ21">_xll.ASAssetStatistic($A21,"Maximum consecutive loss",,,'PBA Summary'!$H$2,"m",'PBA Summary'!$F$2,'PBA Summary'!$G$2)</f>
        <v>-2.4113674611335179E-2</v>
      </c>
      <c r="BR21" s="27" cm="1">
        <f t="array" ref="BR21">_xll.ASAssetStatistic($A21,"Max monthly gain",,,'PBA Summary'!$H$2,"m",'PBA Summary'!$F$2,'PBA Summary'!$G$2)</f>
        <v>3.7400000000000003E-2</v>
      </c>
      <c r="BS21" s="27" cm="1">
        <f t="array" ref="BS21">_xll.ASAssetStatistic($A21,"Max monthly loss",,,'PBA Summary'!$H$2,"m",'PBA Summary'!$F$2,'PBA Summary'!$G$2)</f>
        <v>-1.26E-2</v>
      </c>
      <c r="BT21" s="27" cm="1">
        <f t="array" ref="BT21">_xll.ASAssetStatistic($A21,"Max drawdown",,,'PBA Summary'!$H$2,"m",'PBA Summary'!$F$2,'PBA Summary'!$G$2)</f>
        <v>-2.4113674611335179E-2</v>
      </c>
      <c r="BU21" s="28" cm="1">
        <f t="array" ref="BU21">_xll.ASAssetStatistic($A21,"Date Max drawdown",,,'PBA Summary'!$H$2,"m",'PBA Summary'!$F$2,'PBA Summary'!$G$2)</f>
        <v>43616</v>
      </c>
      <c r="BV21" s="28" cm="1">
        <f t="array" ref="BV21">_xll.ASAssetStatistic($A21,"Start Date Max Drawdown",,,'PBA Summary'!$H$2,"m",'PBA Summary'!$F$2,'PBA Summary'!$G$2)</f>
        <v>43524</v>
      </c>
      <c r="BW21" s="28" cm="1">
        <f t="array" ref="BW21">_xll.ASAssetStatistic($A21,"End Date Max Drawdown",,,'PBA Summary'!$H$2,"m",'PBA Summary'!$F$2,'PBA Summary'!$G$2)</f>
        <v>43677</v>
      </c>
      <c r="BX21" s="29" cm="1">
        <f t="array" ref="BX21">_xll.ASAssetStatistic($A21,"Max Time-under-water (months)",,,'PBA Summary'!$H$2,"m",'PBA Summary'!$F$2,'PBA Summary'!$G$2)</f>
        <v>6</v>
      </c>
      <c r="BY21" s="27" cm="1">
        <f t="array" ref="BY21">_xll.ASAssetStatistic($A21,"Max possible drawdown 99%",,,'PBA Summary'!$H$2,"m",'PBA Summary'!$F$2,'PBA Summary'!$G$2)</f>
        <v>-0.11267881865205948</v>
      </c>
      <c r="BZ21" s="27" cm="1">
        <f t="array" ref="BZ21">_xll.ASAssetStatistic($A21,"Max possible drawdown 99.9%",,,'PBA Summary'!$H$2,"m",'PBA Summary'!$F$2,'PBA Summary'!$G$2)</f>
        <v>-0.19882693865251347</v>
      </c>
      <c r="CA21" s="30" cm="1">
        <f t="array" ref="CA21">_xll.ASAssetStatistic($A21,"Max Possible Time-under-water 99% (months)",,,'PBA Summary'!$H$2,"m",'PBA Summary'!$F$2,'PBA Summary'!$G$2)</f>
        <v>204.25163501883898</v>
      </c>
      <c r="CB21" s="30" cm="1">
        <f t="array" ref="CB21">_xll.ASAssetStatistic($A21,"Max Possible Time-under-water 99.9% (months)",,,'PBA Summary'!$H$2,"m",'PBA Summary'!$F$2,'PBA Summary'!$G$2)</f>
        <v>360.41136915863473</v>
      </c>
      <c r="CC21" s="17" cm="1">
        <f t="array" ref="CC21">_xll.ASPortfolioReturnAttribution('PBA Summary'!$C$2,"OR",A21,"Last 1m",'PBA Summary'!$F$2,'PBA Summary'!$G$2)</f>
        <v>0</v>
      </c>
      <c r="CD21" s="11" t="str" cm="1">
        <f t="array" ref="CD21">_xll.ASAssetInfo($A21,"Strategy")</f>
        <v>Funds - Multi-Strat</v>
      </c>
      <c r="CE21" s="14" cm="1">
        <f t="array" ref="CE21">_xll.ASAssetInfo($A21,"Start Date")</f>
        <v>41851</v>
      </c>
      <c r="CF21" s="14" t="str" cm="1">
        <f t="array" ref="CF21">_xll.ASAssetRatings($A21,"Quantitative",0,0,0,0,0,'PBA Summary'!$F$2,'PBA Summary'!$G$2)</f>
        <v/>
      </c>
      <c r="CG21" s="14" t="str" cm="1">
        <f t="array" ref="CG21">_xll.ASAssetRatings($A21,"Qualitative",0,0,0,0,0,'PBA Summary'!$F$2,'PBA Summary'!$G$2)</f>
        <v/>
      </c>
      <c r="CH21" s="14" t="str" cm="1">
        <f t="array" ref="CH21">_xll.ASAssetRatings($A21,"Final",0,0,0,0,0,'PBA Summary'!$F$2,'PBA Summary'!$G$2)</f>
        <v/>
      </c>
      <c r="CI21" s="14" cm="1">
        <f t="array" ref="CI21">_xll.ASAssetInfo($A21,"Last Return Date")</f>
        <v>44135</v>
      </c>
      <c r="CJ21" s="14" t="str" cm="1">
        <f t="array" ref="CJ21">_xll.ASAssetInfo($A21,"Company Name")</f>
        <v>Dymon Asia Capital (Singapore) Pte Ltd</v>
      </c>
      <c r="CK21" s="14" t="str" cm="1">
        <f t="array" ref="CK21">_xll.ASAssetInfo($A21,"Manager Name")</f>
        <v/>
      </c>
      <c r="CL21" s="14" t="str" cm="1">
        <f t="array" ref="CL21">_xll.ASAssetInfo($A21,"Address")</f>
        <v/>
      </c>
      <c r="CM21" s="14" t="str" cm="1">
        <f t="array" ref="CM21">_xll.ASAssetInfo($A21,"Phone Number")</f>
        <v/>
      </c>
      <c r="CN21" s="14" t="str" cm="1">
        <f t="array" ref="CN21">_xll.ASAssetInfo($A21,"Email")</f>
        <v/>
      </c>
      <c r="CO21" s="14" t="str" cm="1">
        <f t="array" ref="CO21">_xll.ASAssetInfo($A21,"Asset Type")</f>
        <v>Alternatives</v>
      </c>
      <c r="CP21" s="14" t="str" cm="1">
        <f t="array" ref="CP21">_xll.ASAssetInfo($A21,"Proprietary ID")</f>
        <v/>
      </c>
      <c r="CQ21" s="14" t="str" cm="1">
        <f t="array" ref="CQ21">_xll.ASAssetInfo($A21,"Country")</f>
        <v>Singapore</v>
      </c>
      <c r="CR21" s="14" t="str" cm="1">
        <f t="array" ref="CR21">_xll.ASAssetInfo($A21,"Currency")</f>
        <v>USD</v>
      </c>
      <c r="CS21" s="14" t="str" cm="1">
        <f t="array" ref="CS21">_xll.ASAssetInfo($A21,"Sub-Strategy")</f>
        <v/>
      </c>
      <c r="CT21" s="31" cm="1">
        <f t="array" ref="CT21">_xll.ASAssetInfo($A21,"Fund AUM (m)")</f>
        <v>1270.6079999999999</v>
      </c>
      <c r="CU21" s="31" t="str" cm="1">
        <f t="array" ref="CU21">_xll.ASAssetInfo($A21,"Status")</f>
        <v>Unknown</v>
      </c>
      <c r="CV21" s="31" t="str" cm="1">
        <f t="array" ref="CV21">_xll.ASAssetInfo($A21,"Redemption 1 Frequency")</f>
        <v>Quarterly</v>
      </c>
      <c r="CW21" s="31" t="str" cm="1">
        <f t="array" ref="CW21">_xll.ASAssetInfo($A21,"Redemption 2 Frequency")</f>
        <v>Unknown</v>
      </c>
      <c r="CX21" s="31" t="str" cm="1">
        <f t="array" ref="CX21">_xll.ASAssetInfo($A21,"Redemption 3 Frequency")</f>
        <v>Unknown</v>
      </c>
      <c r="CY21" s="31" t="str" cm="1">
        <f t="array" ref="CY21">_xll.ASAssetInfo($A21,"Notice Period")</f>
        <v>60 Days</v>
      </c>
      <c r="CZ21" s="15" cm="1">
        <f t="array" ref="CZ21">_xll.ASAssetInfo($A21,"Performance Fee")</f>
        <v>0.2</v>
      </c>
      <c r="DA21" s="15" cm="1">
        <f t="array" ref="DA21">_xll.ASAssetInfo($A21,"Management Fee")</f>
        <v>0</v>
      </c>
      <c r="DB21" s="15" t="str" cm="1">
        <f t="array" ref="DB21">_xll.ASAssetInfo($A21,"ISIN")</f>
        <v/>
      </c>
      <c r="DC21" s="16" cm="1">
        <f t="array" ref="DC21">_xll.ASAssetStatistic($A21,"Return during " &amp;YEAR(EOMONTH('PBA Summary'!$G$2,-60)),,,,"M",DATE(YEAR(EOMONTH('PBA Summary'!$G$2,-60)),1,31),DATE(YEAR(EOMONTH('PBA Summary'!$G$2,-60)),12,31))</f>
        <v>7.8563106250250314E-2</v>
      </c>
      <c r="DD21" s="16" cm="1">
        <f t="array" ref="DD21">_xll.ASAssetStatistic($A21,"Return during " &amp;YEAR(EOMONTH('PBA Summary'!$G$2,-48)),,,,"M",DATE(YEAR(EOMONTH('PBA Summary'!$G$2,-48)),1,31),DATE(YEAR(EOMONTH('PBA Summary'!$G$2,-48)),12,31))</f>
        <v>8.0199836640965971E-2</v>
      </c>
      <c r="DE21" s="16" cm="1">
        <f t="array" ref="DE21">_xll.ASAssetStatistic($A21,"Return during " &amp;YEAR(EOMONTH('PBA Summary'!$G$2,-36)),,,,"M",DATE(YEAR(EOMONTH('PBA Summary'!$G$2,-36)),1,31),DATE(YEAR(EOMONTH('PBA Summary'!$G$2,-36)),12,31))</f>
        <v>0.1631867944273977</v>
      </c>
      <c r="DF21" s="16" cm="1">
        <f t="array" ref="DF21">_xll.ASAssetStatistic($A21,"Return during " &amp;YEAR(EOMONTH('PBA Summary'!$G$2,-24)),,,,"M",DATE(YEAR(EOMONTH('PBA Summary'!$G$2,-24)),1,31),DATE(YEAR(EOMONTH('PBA Summary'!$G$2,-24)),12,31))</f>
        <v>4.6801840689201013E-2</v>
      </c>
      <c r="DG21" s="16" cm="1">
        <f t="array" ref="DG21">_xll.ASAssetStatistic($A21,"Return during " &amp;YEAR(EOMONTH('PBA Summary'!$G$2,-12)),,,,"M",DATE(YEAR(EOMONTH('PBA Summary'!$G$2,-12)),1,31),DATE(YEAR(EOMONTH('PBA Summary'!$G$2,-12)),12,31))</f>
        <v>4.6292281922763356E-2</v>
      </c>
      <c r="DH21" s="11" t="str" cm="1">
        <f t="array" ref="DH21">_xll.ASAssetInfo($A21,"Prime Broker")</f>
        <v/>
      </c>
      <c r="DI21" s="16" cm="1">
        <f t="array" ref="DI21">_xll.ASAssetStatistic($A21,"Return",,,,"m",'PBA Summary'!$F$2,'PBA Summary'!$G$2)</f>
        <v>3.2306737037976596E-2</v>
      </c>
      <c r="DJ21" s="33" cm="1">
        <f t="array" ref="DJ21">IF('PBA Summary'!$D$2="","",_xll.ASAssetStatistic($A21,"Ann. Information Ratio vs Benchmark 1",'PBA Summary'!$D$2,,,"m",'PBA Summary'!$F$2,'PBA Summary'!$G$2))</f>
        <v>-0.91294339693348447</v>
      </c>
      <c r="DK21" s="33" cm="1">
        <f t="array" ref="DK21">IF('PBA Summary'!$D$3="","",_xll.ASAssetStatistic($A21,"Ann. Information Ratio vs Benchmark 1",'PBA Summary'!$D$3,,,"m",'PBA Summary'!$F$2,'PBA Summary'!$G$2))</f>
        <v>-0.91294339693348447</v>
      </c>
      <c r="DL21" s="33" cm="1">
        <f t="array" ref="DL21">IF('PBA Summary'!$D$2="","",_xll.ASAssetStatistic($A21,"Ann. Tracking Error vs Benchmark 1",'PBA Summary'!$D$2,,,"m",'PBA Summary'!$F$2,'PBA Summary'!$G$2))</f>
        <v>0.16052406192415827</v>
      </c>
      <c r="DM21" s="33" cm="1">
        <f t="array" ref="DM21">IF('PBA Summary'!$D$3="","",_xll.ASAssetStatistic($A21,"Ann. Tracking Error vs Benchmark 1",'PBA Summary'!$D$3,,,"m",'PBA Summary'!$F$2,'PBA Summary'!$G$2))</f>
        <v>0.16052406192415827</v>
      </c>
      <c r="DN21" s="33" cm="1">
        <f t="array" ref="DN21">IF('PBA Summary'!$D$2="","",_xll.ASAssetStatistic($A21,"R² vs Benchmark 1",'PBA Summary'!$D$2,,,"m",'PBA Summary'!$F$2,'PBA Summary'!$G$2))</f>
        <v>2.3296484037902773E-7</v>
      </c>
      <c r="DO21" s="33" cm="1">
        <f t="array" ref="DO21">IF('PBA Summary'!$D$3="","",_xll.ASAssetStatistic($A21,"R² vs Benchmark 1",'PBA Summary'!$D$3,,,"m",'PBA Summary'!$F$2,'PBA Summary'!$G$2))</f>
        <v>2.3296484037902773E-7</v>
      </c>
      <c r="DP21" s="11" t="str" cm="1">
        <f t="array" ref="DP21">_xll.ASAssetInfo($A21,"On-/Offshore")</f>
        <v>Unknown</v>
      </c>
      <c r="DQ21" s="16" cm="1">
        <f t="array" ref="DQ21">_xll.ASAssetStatistic($A21,"Quarter-to-date",,,,"m",'PBA Summary'!$F$2,'PBA Summary'!$G$2)</f>
        <v>-7.3999999999999622E-3</v>
      </c>
      <c r="DR21" s="16" cm="1">
        <f t="array" ref="DR21">_xll.ASAssetStatistic($A21,"Annualized Return Since inception",,,,"m",'PBA Summary'!$F$2,'PBA Summary'!$G$2)</f>
        <v>0.10394417506119957</v>
      </c>
      <c r="DS21" s="16" cm="1">
        <f t="array" ref="DS21">IF('PBA Summary'!$D$2="","",_xll.ASAssetStatistic($A21,"Ann. Bear Market Return vs Benchmark 1",'PBA Summary'!$D$2,,,"m",'PBA Summary'!$F$2,'PBA Summary'!$G$2))</f>
        <v>7.5194097143363559E-2</v>
      </c>
      <c r="DT21" s="16" cm="1">
        <f t="array" ref="DT21">IF('PBA Summary'!$D$2="","",_xll.ASAssetStatistic($A21,"Ann. Bull Market Return vs Benchmark 1",'PBA Summary'!$D$2,,,"m",'PBA Summary'!$F$2,'PBA Summary'!$G$2))</f>
        <v>8.3570340730914072E-3</v>
      </c>
      <c r="DU21" s="16" cm="1">
        <f t="array" ref="DU21">IF('PBA Summary'!$D$3="","",_xll.ASAssetStatistic($A21,"Ann. Bear Market Return vs Benchmark 1",'PBA Summary'!$D$3,,,"m",'PBA Summary'!$F$2,'PBA Summary'!$G$2))</f>
        <v>7.5194097143363559E-2</v>
      </c>
      <c r="DV21" s="16" cm="1">
        <f t="array" ref="DV21">IF('PBA Summary'!$D$3="","",_xll.ASAssetStatistic($A21,"Ann. Bull Market Return vs Benchmark 1",'PBA Summary'!$D$3,,,"m",'PBA Summary'!$F$2,'PBA Summary'!$G$2))</f>
        <v>8.3570340730914072E-3</v>
      </c>
      <c r="DW21" s="17" cm="1">
        <f t="array" ref="DW21">_xll.ASAssetStatistic($A21,"Average Positive Return",,,,"m",'PBA Summary'!$F$2,'PBA Summary'!$G$2)</f>
        <v>1.3228571428571428E-2</v>
      </c>
      <c r="DX21" s="17" cm="1">
        <f t="array" ref="DX21">_xll.ASAssetStatistic($A21,"Average Negative Return",,,,"m",'PBA Summary'!$F$2,'PBA Summary'!$G$2)</f>
        <v>-7.4375000000000014E-3</v>
      </c>
      <c r="DY21" s="16" cm="1">
        <f t="array" ref="DY21">IF('PBA Summary'!$D$2="","",_xll.ASAssetStatistic($A21,"Outperformance vs Benchmark 1",'PBA Summary'!$D$2,,,"m",'PBA Summary'!$F$2,'PBA Summary'!$G$2))</f>
        <v>-0.18753690777074206</v>
      </c>
      <c r="DZ21" s="16" cm="1">
        <f t="array" ref="DZ21">IF('PBA Summary'!$D$3="","",_xll.ASAssetStatistic($A21,"Outperformance vs Benchmark 1",'PBA Summary'!$D$3,,,"m",'PBA Summary'!$F$2,'PBA Summary'!$G$2))</f>
        <v>-0.18753690777074206</v>
      </c>
      <c r="EA21" s="16" cm="1">
        <f t="array" ref="EA21">IF('PBA Summary'!$D$2="","",_xll.ASAssetStatistic($A21,"Annual Outperformance vs Benchmark 1",'PBA Summary'!$D$2,,,"m",'PBA Summary'!$F$2,'PBA Summary'!$G$2))</f>
        <v>-0.14654938238260207</v>
      </c>
      <c r="EB21" s="16" cm="1">
        <f t="array" ref="EB21">IF('PBA Summary'!$D$3="","",_xll.ASAssetStatistic($A21,"Annual Outperformance vs Benchmark 1",'PBA Summary'!$D$3,,,"m",'PBA Summary'!$F$2,'PBA Summary'!$G$2))</f>
        <v>-0.14654938238260207</v>
      </c>
      <c r="EC21" s="32" cm="1">
        <f t="array" ref="EC21">_xll.ASAssetStatistic($A21,"Rachev Ratio 99%",,,,"m",'PBA Summary'!$F$2,'PBA Summary'!$G$2)</f>
        <v>-2.9682539682539684</v>
      </c>
      <c r="ED21" s="32" cm="1">
        <f t="array" ref="ED21">_xll.ASAssetStatistic($A21,"Rachev Ratio 97%",,,,"m",'PBA Summary'!$F$2,'PBA Summary'!$G$2)</f>
        <v>-2.9682539682539684</v>
      </c>
      <c r="EE21" s="32" cm="1">
        <f t="array" ref="EE21">_xll.ASAssetStatistic($A21,"Rachev Ratio 95%",,,,"m",'PBA Summary'!$F$2,'PBA Summary'!$G$2)</f>
        <v>-2.9682539682539684</v>
      </c>
      <c r="EF21" s="32" cm="1">
        <f t="array" ref="EF21">_xll.ASAssetStatistic($A21,"Rachev Ratio 90%",,,,"m",'PBA Summary'!$F$2,'PBA Summary'!$G$2)</f>
        <v>-2.4487179487179489</v>
      </c>
      <c r="EG21" s="34" cm="1">
        <f t="array" ref="EG21">IF('PBA Summary'!$D$2="","",_xll.ASAssetStatistic($A21,"Annual Up Capture vs Benchmark 1",'PBA Summary'!$D$2,,,"m",'PBA Summary'!$F$2,'PBA Summary'!$G$2))</f>
        <v>1.6509095619143953E-2</v>
      </c>
      <c r="EH21" s="34" cm="1">
        <f t="array" ref="EH21">IF('PBA Summary'!$D$3="","",_xll.ASAssetStatistic($A21,"Annual Up Capture vs Benchmark 1",'PBA Summary'!$D$3,,,"m",'PBA Summary'!$F$2,'PBA Summary'!$G$2))</f>
        <v>1.6509095619143953E-2</v>
      </c>
      <c r="EI21" s="34" cm="1">
        <f t="array" ref="EI21">IF('PBA Summary'!$D$2="","",_xll.ASAssetStatistic($A21,"Annual Down Capture vs Benchmark 1",'PBA Summary'!$D$2,,,"m",'PBA Summary'!$F$2,'PBA Summary'!$G$2))</f>
        <v>-0.18272119477303081</v>
      </c>
      <c r="EJ21" s="34" cm="1">
        <f t="array" ref="EJ21">IF('PBA Summary'!$D$3="","",_xll.ASAssetStatistic($A21,"Annual Down Capture vs Benchmark 1",'PBA Summary'!$D$3,,,"m",'PBA Summary'!$F$2,'PBA Summary'!$G$2))</f>
        <v>-0.18272119477303081</v>
      </c>
      <c r="EK21" s="16" cm="1">
        <f t="array" ref="EK21">IF('PBA Summary'!$D$2="","",_xll.ASAssetStatistic($A21,"Ann. Tracking Error vs Benchmark 1",'PBA Summary'!$D$2,,,"m",'PBA Summary'!$F$2,'PBA Summary'!$G$2))</f>
        <v>0.16052406192415827</v>
      </c>
      <c r="EL21" s="16" cm="1">
        <f t="array" ref="EL21">IF('PBA Summary'!$D$3="","",_xll.ASAssetStatistic($A21,"Ann. Tracking Error vs Benchmark 1",'PBA Summary'!$D$3,,,"m",'PBA Summary'!$F$2,'PBA Summary'!$G$2))</f>
        <v>0.16052406192415827</v>
      </c>
      <c r="EM21" s="16" cm="1">
        <f t="array" ref="EM21">IF('PBA Summary'!$D$2="","",_xll.ASAssetStatistic($A21,"Annual Jensen Alpha vs Benchmark 1 (Rf)",'PBA Summary'!$D$2,,,"m",'PBA Summary'!$F$2,'PBA Summary'!$G$2))</f>
        <v>2.3237880730433407E-2</v>
      </c>
      <c r="EN21" s="16" cm="1">
        <f t="array" ref="EN21">IF('PBA Summary'!$D$3="","",_xll.ASAssetStatistic($A21,"Annual Jensen Alpha vs Benchmark 1 (Rf)",'PBA Summary'!$D$3,,,"m",'PBA Summary'!$F$2,'PBA Summary'!$G$2))</f>
        <v>2.3237880730433407E-2</v>
      </c>
      <c r="EO21" s="33" cm="1">
        <f t="array" ref="EO21">IF('PBA Summary'!$D$2="","",_xll.ASAssetStatistic($A21,"Ann. Information Ratio vs Benchmark 1",'PBA Summary'!$D$2,,,"m",'PBA Summary'!$F$2,'PBA Summary'!$G$2))</f>
        <v>-0.91294339693348447</v>
      </c>
      <c r="EP21" s="33" cm="1">
        <f t="array" ref="EP21">IF('PBA Summary'!$D$3="","",_xll.ASAssetStatistic($A21,"Ann. Information Ratio vs Benchmark 1",'PBA Summary'!$D$3,,,"m",'PBA Summary'!$F$2,'PBA Summary'!$G$2))</f>
        <v>-0.91294339693348447</v>
      </c>
      <c r="EQ21" s="17" cm="1">
        <f t="array" ref="EQ21">IF('PBA Summary'!$D$2="","",_xll.ASAssetStatistic($A21,"Alpha Monthly vs Benchmark 1",'PBA Summary'!$D$2,,,"m",'PBA Summary'!$F$2,'PBA Summary'!$G$2))</f>
        <v>2.204560214644399E-3</v>
      </c>
      <c r="ER21" s="17" cm="1">
        <f t="array" ref="ER21">IF('PBA Summary'!$D$3="","",_xll.ASAssetStatistic($A21,"Alpha Monthly vs Benchmark 1",'PBA Summary'!$D$3,,,"m",'PBA Summary'!$F$2,'PBA Summary'!$G$2))</f>
        <v>2.204560214644399E-3</v>
      </c>
      <c r="ES21" s="11" t="str" cm="1">
        <f t="array" ref="ES21">_xll.ASAssetInfo($A21,"Company AUM (m)")</f>
        <v/>
      </c>
      <c r="ET21" s="16" cm="1">
        <f t="array" ref="ET21">_xll.ASAssetStatistic($A21,"Exponential Annualized Volatility",,,,"m",'PBA Summary'!$F$2,'PBA Summary'!$G$2)</f>
        <v>5.0697454675682846E-2</v>
      </c>
      <c r="EU21" s="16" cm="1">
        <f t="array" ref="EU21">_xll.ASAssetStatistic($A21,"Exponential Annualized Volatility Last 1 year",,,,"m",'PBA Summary'!$F$2,'PBA Summary'!$G$2)</f>
        <v>5.3042430283903999E-2</v>
      </c>
      <c r="EV21" s="16" t="str" cm="1">
        <f t="array" ref="EV21">_xll.ASAssetStatistic($A21,"Exponential Annualized Volatility Last 3 years",,,,"m",'PBA Summary'!$F$2,'PBA Summary'!$G$2)</f>
        <v/>
      </c>
      <c r="EW21" s="34" cm="1">
        <f t="array" ref="EW21">IF('PBA Summary'!$D$2="","",_xll.ASAssetStatistic($A21,"Exponential Correlation to Benchmark 1",'PBA Summary'!$D$2,,,"m",'PBA Summary'!$F$2,'PBA Summary'!$G$2))</f>
        <v>-2.3892022316758691E-2</v>
      </c>
      <c r="EX21" s="34" cm="1">
        <f t="array" ref="EX21">IF('PBA Summary'!$D$3="","",_xll.ASAssetStatistic($A21,"Exponential Correlation to Benchmark 1",'PBA Summary'!$D$3,,,"m",'PBA Summary'!$F$2,'PBA Summary'!$G$2))</f>
        <v>-2.3892022316758691E-2</v>
      </c>
      <c r="EY21" s="34" cm="1">
        <f t="array" ref="EY21">_xll.ASAssetStatistic($A21,"Exponential Annual Sharpe Ratio (Rf)",,,,"m",'PBA Summary'!$F$2,'PBA Summary'!$G$2)</f>
        <v>0.70891180466887882</v>
      </c>
      <c r="EZ21" s="34" cm="1">
        <f t="array" ref="EZ21">_xll.ASAssetStatistic($A21,"Exponential Normal Monthly VaR 99%",,,,"m",'PBA Summary'!$F$2,'PBA Summary'!$G$2)</f>
        <v>-3.0898074895559142E-2</v>
      </c>
      <c r="FA21" s="34" cm="1">
        <f t="array" ref="FA21">_xll.ASAssetStatistic($A21,"Exponential Normal Monthly VaR 97%",,,,"m",'PBA Summary'!$F$2,'PBA Summary'!$G$2)</f>
        <v>-2.4377346086165833E-2</v>
      </c>
      <c r="FB21" s="34" cm="1">
        <f t="array" ref="FB21">_xll.ASAssetStatistic($A21,"Exponential Normal Monthly VaR 95%",,,,"m",'PBA Summary'!$F$2,'PBA Summary'!$G$2)</f>
        <v>-2.0924342152682327E-2</v>
      </c>
      <c r="FC21" s="34" cm="1">
        <f t="array" ref="FC21">_xll.ASAssetStatistic($A21,"Exponential Normal Monthly VaR 90%",,,,"m",'PBA Summary'!$F$2,'PBA Summary'!$G$2)</f>
        <v>-1.5607382133013683E-2</v>
      </c>
      <c r="FD21" s="34" t="str" cm="1">
        <f t="array" ref="FD21">_xll.ASAssetStatistic($A21,"Exponential Normal weekly VaR 99%",,,,"m",'PBA Summary'!$F$2,'PBA Summary'!$G$2)</f>
        <v/>
      </c>
      <c r="FE21" s="34" t="str" cm="1">
        <f t="array" ref="FE21">_xll.ASAssetStatistic($A21,"Exponential Normal weekly VaR 97%",,,,"m",'PBA Summary'!$F$2,'PBA Summary'!$G$2)</f>
        <v/>
      </c>
      <c r="FF21" s="34" t="str" cm="1">
        <f t="array" ref="FF21">_xll.ASAssetStatistic($A21,"Exponential Normal weekly VaR 95%",,,,"m",'PBA Summary'!$F$2,'PBA Summary'!$G$2)</f>
        <v/>
      </c>
      <c r="FG21" s="34" t="str" cm="1">
        <f t="array" ref="FG21">_xll.ASAssetStatistic($A21,"Exponential Normal weekly VaR 90%",,,,"m",'PBA Summary'!$F$2,'PBA Summary'!$G$2)</f>
        <v/>
      </c>
      <c r="FH21" s="34" t="str" cm="1">
        <f t="array" ref="FH21">_xll.ASAssetStatistic($A21,"Exponential Normal daily VaR 99%",,,,"m",'PBA Summary'!$F$2,'PBA Summary'!$G$2)</f>
        <v/>
      </c>
      <c r="FI21" s="34" t="str" cm="1">
        <f t="array" ref="FI21">_xll.ASAssetStatistic($A21,"Exponential Normal daily VaR 97%",,,,"m",'PBA Summary'!$F$2,'PBA Summary'!$G$2)</f>
        <v/>
      </c>
      <c r="FJ21" s="34" t="str" cm="1">
        <f t="array" ref="FJ21">_xll.ASAssetStatistic($A21,"Exponential Normal daily VaR 95%",,,,"m",'PBA Summary'!$F$2,'PBA Summary'!$G$2)</f>
        <v/>
      </c>
      <c r="FK21" s="34" t="str" cm="1">
        <f t="array" ref="FK21">_xll.ASAssetStatistic($A21,"Exponential Normal daily VaR 90%",,,,"m",'PBA Summary'!$F$2,'PBA Summary'!$G$2)</f>
        <v/>
      </c>
      <c r="FL21" s="34" cm="1">
        <f t="array" ref="FL21">_xll.ASAssetStatistic($A21,"Bias Ratio",,,,"m",'PBA Summary'!$F$2,'PBA Summary'!$G$2)</f>
        <v>0.55555555555555558</v>
      </c>
      <c r="FM21" s="11" t="str" cm="1">
        <f t="array" ref="FM21">_xll.ASAssetInfo($A21,"Manager's Biography")</f>
        <v/>
      </c>
      <c r="FN21" s="11" cm="1">
        <f t="array" ref="FN21">_xll.ASAssetInfo($A21,"Investment Min")</f>
        <v>1000000</v>
      </c>
      <c r="FO21" s="11" t="str" cm="1">
        <f t="array" ref="FO21">_xll.ASAssetInfo($A21,"Auditor")</f>
        <v>Ernst &amp; Young</v>
      </c>
      <c r="FP21" s="11" t="str" cm="1">
        <f t="array" ref="FP21">_xll.ASAssetInfo($A21,"Custodian")</f>
        <v>Citibank Global Markets Ltd, UBS AG, Deutsche Bank AG, Morgan Stanley, Goldman Sachs</v>
      </c>
      <c r="FQ21" s="11" t="str" cm="1">
        <f t="array" ref="FQ21">_xll.ASAssetInfo($A21,"Administrator")</f>
        <v>Citco Fund Services (Singapore) Pte. Ltd.</v>
      </c>
      <c r="FR21" s="14" t="str" cm="1">
        <f t="array" ref="FR21">_xll.ASAssetInfo($A21,"Proxy 1 Start Date")</f>
        <v/>
      </c>
      <c r="FS21" s="14" t="str" cm="1">
        <f t="array" ref="FS21">_xll.ASAssetInfo($A21,"Proxy 1 End Date")</f>
        <v/>
      </c>
      <c r="FT21" s="14" t="str" cm="1">
        <f t="array" ref="FT21">_xll.ASAssetInfo($A21,"Proxy 2 Start Date")</f>
        <v/>
      </c>
      <c r="FU21" s="14" t="str" cm="1">
        <f t="array" ref="FU21">_xll.ASAssetInfo($A21,"Proxy 2 End Date")</f>
        <v/>
      </c>
      <c r="FV21" s="14" t="str" cm="1">
        <f t="array" ref="FV21">_xll.ASAssetInfo($A21,"Proxy 3 Start Date")</f>
        <v/>
      </c>
      <c r="FW21" s="14" t="str" cm="1">
        <f t="array" ref="FW21">_xll.ASAssetInfo($A21,"Proxy 3 End Date")</f>
        <v/>
      </c>
      <c r="FX21" s="14" t="str" cm="1">
        <f t="array" ref="FX21">_xll.ASAssetInfo($A21,"Fund Domicile")</f>
        <v/>
      </c>
      <c r="FY21" s="14" t="str" cm="1">
        <f t="array" ref="FY21">_xll.ASAssetInfo($A21,"Fund Contact")</f>
        <v/>
      </c>
      <c r="FZ21" s="14" t="str" cm="1">
        <f t="array" ref="FZ21">_xll.ASAssetInfo($A21,"Fund Contact Email")</f>
        <v/>
      </c>
      <c r="GA21" s="14" t="str" cm="1">
        <f t="array" ref="GA21">_xll.ASAssetInfo($A21,"Fund Contact Number")</f>
        <v/>
      </c>
      <c r="GB21" s="14" t="str" cm="1">
        <f t="array" ref="GB21">_xll.ASAssetInfo($A21,"City")</f>
        <v/>
      </c>
      <c r="GC21" s="14" t="str" cm="1">
        <f t="array" ref="GC21">_xll.ASAssetInfo($A21,"Leverage")</f>
        <v>Yes (About 2x)</v>
      </c>
      <c r="GD21" s="14" t="str" cm="1">
        <f t="array" ref="GD21">_xll.ASAssetInfo($A21,"Lockup 1 Duration")</f>
        <v>0 Months</v>
      </c>
      <c r="GE21" s="14" t="str" cm="1">
        <f t="array" ref="GE21">_xll.ASAssetInfo($A21,"Lockup 2 Duration")</f>
        <v>0 Months</v>
      </c>
      <c r="GF21" s="14" t="str" cm="1">
        <f t="array" ref="GF21">_xll.ASAssetInfo($A21,"Lockup 3 Duration")</f>
        <v>0 Months</v>
      </c>
      <c r="GG21" s="31" t="str" cm="1">
        <f t="array" ref="GG21">_xll.ASAssetInfo($A21,"Fund Level Gate")</f>
        <v/>
      </c>
      <c r="GH21" s="31" t="str" cm="1">
        <f t="array" ref="GH21">_xll.ASAssetInfo($A21,"Fund Level Gate Frequency")</f>
        <v>Unknown</v>
      </c>
      <c r="GI21" s="35" cm="1">
        <f t="array" ref="GI21">_xll.ASAssetInfo($A21,"Payment 2 (%)")</f>
        <v>0</v>
      </c>
      <c r="GJ21" s="35" t="str" cm="1">
        <f t="array" ref="GJ21">_xll.ASAssetInfo($A21,"Payment 2 (days)")</f>
        <v/>
      </c>
      <c r="GK21" s="35" t="str" cm="1">
        <f t="array" ref="GK21">_xll.ASAssetInfo($A21,"Payment 2 (Paid After)")</f>
        <v>NAV Date</v>
      </c>
      <c r="GL21" s="35" cm="1">
        <f t="array" ref="GL21">_xll.ASAssetInfo($A21,"Payment 3 (%)")</f>
        <v>0</v>
      </c>
      <c r="GM21" s="36" t="str" cm="1">
        <f t="array" ref="GM21">_xll.ASAssetInfo($A21,"Payment 3 (Days)")</f>
        <v/>
      </c>
      <c r="GN21" s="35" t="str" cm="1">
        <f t="array" ref="GN21">_xll.ASAssetInfo($A21,"Payment 3 (Paid After)")</f>
        <v>NAV Date</v>
      </c>
      <c r="GO21" s="35" cm="1">
        <f t="array" ref="GO21">_xll.ASAssetInfo($A21,"Payment 4 (%)")</f>
        <v>0</v>
      </c>
      <c r="GP21" s="36" t="str" cm="1">
        <f t="array" ref="GP21">_xll.ASAssetInfo($A21,"Payment 4 (days)")</f>
        <v/>
      </c>
      <c r="GQ21" s="35" t="str" cm="1">
        <f t="array" ref="GQ21">_xll.ASAssetInfo($A21,"Payment 4 (Paid After)")</f>
        <v>NAV Date</v>
      </c>
      <c r="GR21" s="11" cm="1">
        <f t="array" ref="GR21">_xll.ASAssetInfo($A21,"Payment 1 (%)")</f>
        <v>1</v>
      </c>
      <c r="GS21" s="35" cm="1">
        <f t="array" ref="GS21">_xll.ASAssetInfo($A21,"Lockup 1 Fee")</f>
        <v>0</v>
      </c>
      <c r="GT21" s="35" cm="1">
        <f t="array" ref="GT21">_xll.ASAssetInfo($A21,"Lockup 2 Fee")</f>
        <v>0</v>
      </c>
      <c r="GU21" s="35" cm="1">
        <f t="array" ref="GU21">_xll.ASAssetInfo($A21,"Lockup 3 Fee")</f>
        <v>0</v>
      </c>
      <c r="GV21" s="35" t="str" cm="1">
        <f t="array" ref="GV21">_xll.ASAssetInfo($A21,"Lockup 1 type")</f>
        <v>None</v>
      </c>
      <c r="GW21" s="35" t="str" cm="1">
        <f t="array" ref="GW21">_xll.ASAssetInfo($A21,"Lockup 2 type")</f>
        <v>None</v>
      </c>
      <c r="GX21" s="35" t="str" cm="1">
        <f t="array" ref="GX21">_xll.ASAssetInfo($A21,"Lockup 3 type")</f>
        <v>None</v>
      </c>
      <c r="GY21" s="35" t="str" cm="1">
        <f t="array" ref="GY21">_xll.ASAssetInfo($A21,"Redemption 1 type")</f>
        <v>Calendar</v>
      </c>
      <c r="GZ21" s="35" t="str" cm="1">
        <f t="array" ref="GZ21">_xll.ASAssetInfo($A21,"Redemption 2 type")</f>
        <v>Calendar</v>
      </c>
      <c r="HA21" s="35"/>
      <c r="HB21" s="35"/>
      <c r="HC21" s="35"/>
      <c r="HD21" s="35"/>
      <c r="HE21" s="35"/>
      <c r="HF21" s="35"/>
      <c r="HG21" s="35" t="str" cm="1">
        <f t="array" ref="HG21">_xll.ASAssetInfo($A21,"Redemption 3 Frequency")</f>
        <v>Unknown</v>
      </c>
      <c r="HH21" s="35" t="str" cm="1">
        <f t="array" ref="HH21">_xll.ASAssetInfo($A21,"Asset Calendar")</f>
        <v>[Default]</v>
      </c>
      <c r="HI21" s="16" cm="1">
        <f t="array" ref="HI21">_xll.ASAssetStatistic($A21,"Max Second Drawdown",,,,"m",'PBA Summary'!$F$2,'PBA Summary'!$G$2)</f>
        <v>-1.0800000000000032E-2</v>
      </c>
      <c r="HJ21" s="37" cm="1">
        <f t="array" ref="HJ21">_xll.ASAssetStatistic($A21,"Date Max Second Drawdown",,,,"m",'PBA Summary'!$F$2,'PBA Summary'!$G$2)</f>
        <v>43799</v>
      </c>
      <c r="HK21" s="37"/>
      <c r="HL21" s="37" t="str" cm="1">
        <f t="array" ref="HL21">_xll.ASAssetInfo($A21,HL$1)</f>
        <v/>
      </c>
      <c r="HM21" s="34" t="str" cm="1">
        <f t="array" ref="HM21">_xll.ASAssetInfo($A21,HM$1)</f>
        <v/>
      </c>
      <c r="HN21" s="37" t="str" cm="1">
        <f t="array" ref="HN21">_xll.ASAssetInfo($A21,HN$1)</f>
        <v/>
      </c>
      <c r="HO21" s="15" cm="1">
        <f t="array" ref="HO21">_xll.ASAssetInfo($A21,HO$1)</f>
        <v>0</v>
      </c>
      <c r="HP21" s="15" t="str" cm="1">
        <f t="array" ref="HP21">_xll.ASAssetInfo($A21,HP$1)</f>
        <v/>
      </c>
      <c r="HQ21" s="34" t="str" cm="1">
        <f t="array" ref="HQ21">_xll.ASAssetInfo($A21,HQ$1)</f>
        <v/>
      </c>
      <c r="HR21" s="37" t="str" cm="1">
        <f t="array" ref="HR21">_xll.ASAssetInfo($A21,HR$1)</f>
        <v/>
      </c>
      <c r="HS21" s="37" t="str" cm="1">
        <f t="array" ref="HS21">_xll.ASAssetInfo($A21,HS$1)</f>
        <v/>
      </c>
      <c r="HT21" s="37" t="str" cm="1">
        <f t="array" ref="HT21">_xll.ASAssetInfo($A21,HT$1)</f>
        <v/>
      </c>
      <c r="HU21" s="37" t="str" cm="1">
        <f t="array" ref="HU21">_xll.ASAssetInfo($A21,HU$1)</f>
        <v>Asia Pacific</v>
      </c>
      <c r="HV21" s="37" t="str" cm="1">
        <f t="array" ref="HV21">_xll.ASAssetInfo($A21,HV$1)</f>
        <v/>
      </c>
      <c r="HW21" s="37" t="str" cm="1">
        <f t="array" ref="HW21">_xll.ASAssetInfo($A21,HW$1)</f>
        <v/>
      </c>
    </row>
    <row r="22" spans="1:231" s="11" customFormat="1" x14ac:dyDescent="0.25">
      <c r="A22" t="s">
        <v>324</v>
      </c>
      <c r="B22" cm="1">
        <f t="array" ref="B22">_xll.ASPortfolioWeights('PBA Summary'!$C$2,"OR",$A22)</f>
        <v>0</v>
      </c>
      <c r="C22" cm="1">
        <f t="array" ref="C22">_xll.ASAssetStatistic($A22,"Annualized Return since inception",,,,"m",_xll.ASAssetInfo($A22,"Start Date"),_xll.ASAssetInfo($A22,"Last Return Date"))</f>
        <v>-3.8554802739786398E-3</v>
      </c>
      <c r="D22" cm="1">
        <f t="array" ref="D22">_xll.ASAssetStatistic($A22,"Annualized Return",,,,"m",'PBA Summary'!$F$2,'PBA Summary'!$G$2)</f>
        <v>-0.13888026234203321</v>
      </c>
      <c r="E22" s="19" cm="1">
        <f t="array" ref="E22">_xll.ASAssetStatistic($A22,"Equilibrium Annual Return",,,,"m",'PBA Summary'!$F$2,'PBA Summary'!$G$2)</f>
        <v>1.3709306620081758</v>
      </c>
      <c r="F22" cm="1">
        <f t="array" ref="F22">_xll.ASAssetStatistic($A22,"Annualized Volatility (Inception)",,,,"m",_xll.ASAssetInfo($A22,"Start Date"),_xll.ASAssetInfo($A22,"Last Return Date"))</f>
        <v>0.25005241170462372</v>
      </c>
      <c r="G22" cm="1">
        <f t="array" ref="G22">_xll.ASAssetStatistic($A22,"Annualized Volatility",,,,"m",'PBA Summary'!$F$2,'PBA Summary'!$G$2)</f>
        <v>0.16730107660973284</v>
      </c>
      <c r="H22" s="20" cm="1">
        <f t="array" ref="H22">_xll.ASAssetStatistic($A22,"Skewness",,,,"m",'PBA Summary'!$F$2,'PBA Summary'!$G$2)</f>
        <v>-0.45477423442186493</v>
      </c>
      <c r="I22" s="20" cm="1">
        <f t="array" ref="I22">_xll.ASAssetStatistic($A22,"Excess kurtosis",,,,"m",'PBA Summary'!$F$2,'PBA Summary'!$G$2)</f>
        <v>-0.30686588645445001</v>
      </c>
      <c r="J22" s="19" cm="1">
        <f t="array" ref="J22">_xll.ASAssetStatistic($A22,"Return Last 1 month",,,,"m",'PBA Summary'!$F$2,'PBA Summary'!$G$2)</f>
        <v>-6.3474387527839959E-2</v>
      </c>
      <c r="K22" s="19" cm="1">
        <f t="array" ref="K22">_xll.ASAssetStatistic($A22,"Return Last 3 months",,,,"m",'PBA Summary'!$F$2,'PBA Summary'!$G$2)</f>
        <v>-5.8858010711146047E-2</v>
      </c>
      <c r="L22" s="19" cm="1">
        <f t="array" ref="L22">_xll.ASAssetStatistic($A22,"Return Last 1 year",,,,"m",'PBA Summary'!$F$2,'PBA Summary'!$G$2)</f>
        <v>-6.1159397177259045E-2</v>
      </c>
      <c r="M22" s="19" cm="1">
        <f t="array" ref="M22">_xll.ASAssetStatistic($A22,"Year-to-date Return",,,,"m",'PBA Summary'!$F$2,'PBA Summary'!$G$2)</f>
        <v>-6.3474387527839959E-2</v>
      </c>
      <c r="N22" s="19" cm="1">
        <f t="array" ref="N22">_xll.ASAssetStatistic($A22,"Annualized Return",,,,"m",EOMONTH('PBA Summary'!$G$2,-2),'PBA Summary'!$G$2)</f>
        <v>-0.21545004824634373</v>
      </c>
      <c r="O22" s="19" t="str" cm="1">
        <f t="array" ref="O22">_xll.ASAssetStatistic($A22,"Annualized Return Last 3 years",,,,"m",'PBA Summary'!$F$2,'PBA Summary'!$G$2)</f>
        <v/>
      </c>
      <c r="P22" s="19" t="str" cm="1">
        <f t="array" ref="P22">_xll.ASAssetStatistic($A22,"Annualized Return Last 5 years",,,,"m",'PBA Summary'!$F$2,'PBA Summary'!$G$2)</f>
        <v/>
      </c>
      <c r="Q22" s="19" cm="1">
        <f t="array" ref="Q22">_xll.ASAssetStatistic($A22,"Annualized Volatility Last 1 year",,,,"m",'PBA Summary'!$F$2,'PBA Summary'!$G$2)</f>
        <v>0.141412702937492</v>
      </c>
      <c r="R22" s="19" t="str" cm="1">
        <f t="array" ref="R22">_xll.ASAssetStatistic($A22,"Annualized Volatility Last 3 years",,,,"m",'PBA Summary'!$F$2,'PBA Summary'!$G$2)</f>
        <v/>
      </c>
      <c r="S22" s="19" t="str" cm="1">
        <f t="array" ref="S22">_xll.ASAssetStatistic($A22,"Annualized Volatility Last 5 years",,,,"m",'PBA Summary'!$F$2,'PBA Summary'!$G$2)</f>
        <v/>
      </c>
      <c r="T22" s="19" cm="1">
        <f t="array" ref="T22">_xll.ASAssetStatistic($A22,"Normal monthly VaR 99%",,,,"m",'PBA Summary'!$F$2,'PBA Summary'!$G$2)</f>
        <v>-0.12361789842691868</v>
      </c>
      <c r="U22" s="19" cm="1">
        <f t="array" ref="U22">_xll.ASAssetStatistic($A22,"Modified monthly VaR 99%",,,,"m",'PBA Summary'!$F$2,'PBA Summary'!$G$2)</f>
        <v>-0.13254424776703233</v>
      </c>
      <c r="V22" s="19" cm="1">
        <f t="array" ref="V22">_xll.ASAssetStatistic($A22,"Conditional monthly VaR 99%",,,,"m",'PBA Summary'!$F$2,'PBA Summary'!$G$2)</f>
        <v>-0.10815085759478005</v>
      </c>
      <c r="W22" s="19" cm="1">
        <f t="array" ref="W22">_xll.ASAssetStatistic($A22,"Normal monthly VaR 97%",,,,"m",'PBA Summary'!$F$2,'PBA Summary'!$G$2)</f>
        <v>-0.10209956072988106</v>
      </c>
      <c r="X22" s="19" cm="1">
        <f t="array" ref="X22">_xll.ASAssetStatistic($A22,"Modified monthly VaR 97%",,,,"m",'PBA Summary'!$F$2,'PBA Summary'!$G$2)</f>
        <v>-0.10968109451766163</v>
      </c>
      <c r="Y22" s="19" cm="1">
        <f t="array" ref="Y22">_xll.ASAssetStatistic($A22,"Conditional monthly VaR 97%",,,,"m",'PBA Summary'!$F$2,'PBA Summary'!$G$2)</f>
        <v>-0.10815085759478005</v>
      </c>
      <c r="Z22" s="19" cm="1">
        <f t="array" ref="Z22">_xll.ASAssetStatistic($A22,"Normal monthly VaR 95%",,,,"m",'PBA Summary'!$F$2,'PBA Summary'!$G$2)</f>
        <v>-9.0704683426770155E-2</v>
      </c>
      <c r="AA22" s="19" cm="1">
        <f t="array" ref="AA22">_xll.ASAssetStatistic($A22,"Modified monthly VaR 95%",,,,"m",'PBA Summary'!$F$2,'PBA Summary'!$G$2)</f>
        <v>-9.7059475663561684E-2</v>
      </c>
      <c r="AB22" s="19" cm="1">
        <f t="array" ref="AB22">_xll.ASAssetStatistic($A22,"Conditional monthly VaR 95%",,,,"m",'PBA Summary'!$F$2,'PBA Summary'!$G$2)</f>
        <v>-0.10815085759478005</v>
      </c>
      <c r="AC22" s="66" cm="1">
        <f t="array" ref="AC22">_xll.ASAssetStatistic($A22,"Correlation to Benchmark 1","MSCI ACWI Index",,,"m",'PBA Summary'!$F$2,'PBA Summary'!$G$2)</f>
        <v>0.75537201107703089</v>
      </c>
      <c r="AD22" s="38" cm="1">
        <f t="array" ref="AD22">IF('PBA Summary'!$D$3="","",_xll.ASAssetStatistic($A22,"Correlation to Benchmark 1",'PBA Summary'!$D$3,,,"m",'PBA Summary'!$F$2,'PBA Summary'!$G$2))</f>
        <v>0.73418906675587314</v>
      </c>
      <c r="AE22" s="21" cm="1">
        <f t="array" ref="AE22">IF('PBA Summary'!$D$2="","",_xll.ASAssetStatistic($A22,"Bull correlation to Benchmark 1",'PBA Summary'!$D$2,,,"m",'PBA Summary'!$F$2,'PBA Summary'!$G$2))</f>
        <v>0.31750029479238012</v>
      </c>
      <c r="AF22" s="21" cm="1">
        <f t="array" ref="AF22">IF('PBA Summary'!$D$2="","",_xll.ASAssetStatistic($A22,"Bear correlation to Benchmark 1",'PBA Summary'!$D$2,,,"m",'PBA Summary'!$F$2,'PBA Summary'!$G$2))</f>
        <v>0.7089801137574463</v>
      </c>
      <c r="AG22" s="21" cm="1">
        <f t="array" ref="AG22">IF('PBA Summary'!$D$3="","",_xll.ASAssetStatistic($A22,"Bull correlation to Benchmark 1",'PBA Summary'!$D$3,,,"m",'PBA Summary'!$F$2,'PBA Summary'!$G$2))</f>
        <v>0.31750029479238012</v>
      </c>
      <c r="AH22" s="21" cm="1">
        <f t="array" ref="AH22">IF('PBA Summary'!$D$3="","",_xll.ASAssetStatistic($A22,"Bear correlation to Benchmark 1",'PBA Summary'!$D$3,,,"m",'PBA Summary'!$F$2,'PBA Summary'!$G$2))</f>
        <v>0.7089801137574463</v>
      </c>
      <c r="AI22" s="24" cm="1">
        <f t="array" ref="AI22">IF('PBA Summary'!$D$2="","",_xll.ASAssetStatistic($A22,"Beta to Benchmark 1",'PBA Summary'!$D$2,,,"m",'PBA Summary'!$F$2,'PBA Summary'!$G$2))</f>
        <v>0.80007441204764307</v>
      </c>
      <c r="AJ22" s="24" t="str" cm="1">
        <f t="array" ref="AJ22">IF('PBA Summary'!$D$2="","",_xll.ASAssetStatistic($A22,"Beta to Benchmark 1 Last 3 years",'PBA Summary'!$D$2,,,"m",'PBA Summary'!$F$2,'PBA Summary'!$G$2))</f>
        <v/>
      </c>
      <c r="AK22" s="24" t="str" cm="1">
        <f t="array" ref="AK22">IF('PBA Summary'!$D$2="","",_xll.ASAssetStatistic($A22,"Beta to Benchmark 1 Last 5 years",'PBA Summary'!$D$2,,,"m",'PBA Summary'!$F$2,'PBA Summary'!$G$2))</f>
        <v/>
      </c>
      <c r="AL22" s="25" cm="1">
        <f t="array" ref="AL22">IF('PBA Summary'!$D$3="","",_xll.ASAssetStatistic($A22,"Beta to Benchmark 1",'PBA Summary'!$D$3,,,"m",'PBA Summary'!$F$2,'PBA Summary'!$G$2))</f>
        <v>0.80007441204764307</v>
      </c>
      <c r="AM22" s="25" t="str" cm="1">
        <f t="array" ref="AM22">IF('PBA Summary'!$D$3="","",_xll.ASAssetStatistic($A22,"Beta to Benchmark 1 Last 3 years",'PBA Summary'!$D$3,,,"m",'PBA Summary'!$F$2,'PBA Summary'!$G$2))</f>
        <v/>
      </c>
      <c r="AN22" s="25" t="str" cm="1">
        <f t="array" ref="AN22">IF('PBA Summary'!$D$3="","",_xll.ASAssetStatistic($A22,"Beta to Benchmark 1 Last 5 years",'PBA Summary'!$D$3,,,"m",'PBA Summary'!$F$2,'PBA Summary'!$G$2))</f>
        <v/>
      </c>
      <c r="AO22" s="25" cm="1">
        <f t="array" ref="AO22">IF('PBA Summary'!$D$2="","",_xll.ASAssetStatistic($A22,"Bull Beta to Benchmark 1",'PBA Summary'!$D$2,,,"m",'PBA Summary'!$F$2,'PBA Summary'!$G$2))</f>
        <v>0.51553969968179569</v>
      </c>
      <c r="AP22" s="25" cm="1">
        <f t="array" ref="AP22">IF('PBA Summary'!$D$2="","",_xll.ASAssetStatistic($A22,"Bear Beta to Benchmark 1",'PBA Summary'!$D$2,,,"m",'PBA Summary'!$F$2,'PBA Summary'!$G$2))</f>
        <v>0.8215270780916446</v>
      </c>
      <c r="AQ22" s="25" cm="1">
        <f t="array" ref="AQ22">IF('PBA Summary'!$D$3="","",_xll.ASAssetStatistic($A22,"Bull Beta to Benchmark 1",'PBA Summary'!$D$3,,,"m",'PBA Summary'!$F$2,'PBA Summary'!$G$2))</f>
        <v>0.51553969968179569</v>
      </c>
      <c r="AR22" s="25" cm="1">
        <f t="array" ref="AR22">IF('PBA Summary'!$D$3="","",_xll.ASAssetStatistic($A22,"Bear Beta to Benchmark 1",'PBA Summary'!$D$3,,,"m",'PBA Summary'!$F$2,'PBA Summary'!$G$2))</f>
        <v>0.8215270780916446</v>
      </c>
      <c r="AS22" s="25" cm="1">
        <f t="array" ref="AS22">_xll.ASAssetStatistic($A22,"Annual Sharpe Ratio (Rf)",,,'PBA Summary'!$H$2,"m",'PBA Summary'!$F$2,'PBA Summary'!$G$2)</f>
        <v>-0.84506486872068542</v>
      </c>
      <c r="AT22" s="25" t="str" cm="1">
        <f t="array" ref="AT22">_xll.ASAssetStatistic($A22,"Annual Sharpe Ratio (Rf) Last 3 years",,,'PBA Summary'!$H$2,"m",'PBA Summary'!$F$2,'PBA Summary'!$G$2)</f>
        <v/>
      </c>
      <c r="AU22" s="25" t="str" cm="1">
        <f t="array" ref="AU22">_xll.ASAssetStatistic($A22,"Annual Sharpe Ratio (Rf) Last 5 years",,,'PBA Summary'!$H$2,"m",'PBA Summary'!$F$2,'PBA Summary'!$G$2)</f>
        <v/>
      </c>
      <c r="AV22" s="18" cm="1">
        <f t="array" ref="AV22">_xll.ASAssetStatistic($A22,"Ann. Downside Deviation (vs 0%)",,,'PBA Summary'!$H$2,"m",'PBA Summary'!$F$2,'PBA Summary'!$G$2)</f>
        <v>0.14507613237924305</v>
      </c>
      <c r="AW22" s="18" cm="1">
        <f t="array" ref="AW22">_xll.ASAssetStatistic($A22,"Ann. Downside Deviation (vs Rf)",,,'PBA Summary'!$H$2,"m",'PBA Summary'!$F$2,'PBA Summary'!$G$2)</f>
        <v>0.14549250299215932</v>
      </c>
      <c r="AX22" s="39" cm="1">
        <f t="array" ref="AX22">_xll.ASAssetStatistic($A22,"Annual Treynor ratio",,,'PBA Summary'!$H$2,"m",'PBA Summary'!$F$2,'PBA Summary'!$G$2)</f>
        <v>-6.3026337633083185E-2</v>
      </c>
      <c r="AY22" s="26" cm="1">
        <f t="array" ref="AY22">_xll.ASAssetStatistic($A22,"Annual Sortino Ratio (vs 0%)",,,'PBA Summary'!$H$2,"m",'PBA Summary'!$F$2,'PBA Summary'!$G$2)</f>
        <v>-0.95729228553589207</v>
      </c>
      <c r="AZ22" s="26" cm="1">
        <f t="array" ref="AZ22">_xll.ASAssetStatistic($A22,"Annual Sortino Ratio (vs Rf)",,,'PBA Summary'!$H$2,"m",'PBA Summary'!$F$2,'PBA Summary'!$G$2)</f>
        <v>-0.97173572132202768</v>
      </c>
      <c r="BA22" s="26" cm="1">
        <f t="array" ref="BA22">_xll.ASAssetStatistic($A22,"Sterling ratio",,,'PBA Summary'!$H$2,"m",'PBA Summary'!$F$2,'PBA Summary'!$G$2)</f>
        <v>-0.59867081812209888</v>
      </c>
      <c r="BB22" s="26" cm="1">
        <f t="array" ref="BB22">_xll.ASAssetStatistic($A22,"Calmar ratio",,,'PBA Summary'!$H$2,"m",'PBA Summary'!$F$2,'PBA Summary'!$G$2)</f>
        <v>-0.64856991125094676</v>
      </c>
      <c r="BC22" s="26" cm="1">
        <f t="array" ref="BC22">_xll.ASAssetStatistic($A22,"Hurst index",,,'PBA Summary'!$H$2,"m",'PBA Summary'!$F$2,'PBA Summary'!$G$2)</f>
        <v>0.52713428819453223</v>
      </c>
      <c r="BD22" s="26" cm="1">
        <f t="array" ref="BD22">_xll.ASAssetStatistic($A22,"Omega (Threshold 1)",,,'PBA Summary'!$H$2,"m",'PBA Summary'!$F$2,'PBA Summary'!$G$2)</f>
        <v>0.53389224552603398</v>
      </c>
      <c r="BE22" s="26" cm="1">
        <f t="array" ref="BE22">_xll.ASAssetStatistic($A22,"Omega (Threshold 2)",,,'PBA Summary'!$H$2,"m",'PBA Summary'!$F$2,'PBA Summary'!$G$2)</f>
        <v>0.39389064451290884</v>
      </c>
      <c r="BF22" s="26" cm="1">
        <f t="array" ref="BF22">_xll.ASAssetStatistic($A22,"Omega (Threshold 3)",,,'PBA Summary'!$H$2,"m",'PBA Summary'!$F$2,'PBA Summary'!$G$2)</f>
        <v>0.28799751556381326</v>
      </c>
      <c r="BG22" s="26" cm="1">
        <f t="array" ref="BG22">_xll.ASAssetStatistic($A22,"Omega (Threshold 4)",,,'PBA Summary'!$H$2,"m",'PBA Summary'!$F$2,'PBA Summary'!$G$2)</f>
        <v>0.2088821348999165</v>
      </c>
      <c r="BH22" s="26" cm="1">
        <f t="array" ref="BH22">_xll.ASAssetStatistic($A22,"Omega (Threshold 5)",,,'PBA Summary'!$H$2,"m",'PBA Summary'!$F$2,'PBA Summary'!$G$2)</f>
        <v>0.15180909709205101</v>
      </c>
      <c r="BI22" s="26" t="str" cm="1">
        <f t="array" ref="BI22">_xll.ASAssetStatistic($A22,"Autocorrelated (illiquid)",,,'PBA Summary'!$H$2,"m",'PBA Summary'!$F$2,'PBA Summary'!$G$2)</f>
        <v>No</v>
      </c>
      <c r="BJ22" s="27" cm="1">
        <f t="array" ref="BJ22">_xll.ASAssetStatistic($A22,"% months in Run Up",,,'PBA Summary'!$H$2,"m",'PBA Summary'!$F$2,'PBA Summary'!$G$2)</f>
        <v>0.53333333333333333</v>
      </c>
      <c r="BK22" s="27" cm="1">
        <f t="array" ref="BK22">_xll.ASAssetStatistic($A22,"% months in Drawdown",,,'PBA Summary'!$H$2,"m",'PBA Summary'!$F$2,'PBA Summary'!$G$2)</f>
        <v>0.46666666666666667</v>
      </c>
      <c r="BL22" s="18" cm="1">
        <f t="array" ref="BL22">IF('PBA Summary'!$D$2="","",_xll.ASAssetStatistic($A22,"Bull Beta to Benchmark 1",'PBA Summary'!$D$2,,,"m",'PBA Summary'!$F$2,'PBA Summary'!$G$2))</f>
        <v>0.51553969968179569</v>
      </c>
      <c r="BM22" s="18" cm="1">
        <f t="array" ref="BM22">IF('PBA Summary'!$D$2="","",_xll.ASAssetStatistic($A22,"Average return during bear Benchmark 1",'PBA Summary'!$D$2,,,"m",'PBA Summary'!$F$2,'PBA Summary'!$G$2))</f>
        <v>-6.0656770509637803E-2</v>
      </c>
      <c r="BN22" s="18" cm="1">
        <f t="array" ref="BN22">IF('PBA Summary'!$D$3="","",_xll.ASAssetStatistic($A22,"Average return during bull Benchmark 1",'PBA Summary'!$D$3,,,"m",'PBA Summary'!$F$2,'PBA Summary'!$G$2))</f>
        <v>6.6951112120080735E-3</v>
      </c>
      <c r="BO22" s="18" cm="1">
        <f t="array" ref="BO22">IF('PBA Summary'!$D$3="","",_xll.ASAssetStatistic($A22,"Average return during bear Benchmark 1",'PBA Summary'!$D$3,,,"m",'PBA Summary'!$F$2,'PBA Summary'!$G$2))</f>
        <v>-6.0656770509637803E-2</v>
      </c>
      <c r="BP22" s="27" cm="1">
        <f t="array" ref="BP22">_xll.ASAssetStatistic($A22,"Maximum consecutive gain",,,'PBA Summary'!$H$2,"m",'PBA Summary'!$F$2,'PBA Summary'!$G$2)</f>
        <v>9.1334690316953404E-2</v>
      </c>
      <c r="BQ22" s="27" cm="1">
        <f t="array" ref="BQ22">_xll.ASAssetStatistic($A22,"Maximum consecutive loss",,,'PBA Summary'!$H$2,"m",'PBA Summary'!$F$2,'PBA Summary'!$G$2)</f>
        <v>-0.15253281980225897</v>
      </c>
      <c r="BR22" s="27" cm="1">
        <f t="array" ref="BR22">_xll.ASAssetStatistic($A22,"Max monthly gain",,,'PBA Summary'!$H$2,"m",'PBA Summary'!$F$2,'PBA Summary'!$G$2)</f>
        <v>6.8559063861287628E-2</v>
      </c>
      <c r="BS22" s="27" cm="1">
        <f t="array" ref="BS22">_xll.ASAssetStatistic($A22,"Max monthly loss",,,'PBA Summary'!$H$2,"m",'PBA Summary'!$F$2,'PBA Summary'!$G$2)</f>
        <v>-0.10815085759478005</v>
      </c>
      <c r="BT22" s="27" cm="1">
        <f t="array" ref="BT22">_xll.ASAssetStatistic($A22,"Max drawdown",,,'PBA Summary'!$H$2,"m",'PBA Summary'!$F$2,'PBA Summary'!$G$2)</f>
        <v>-0.21413306404264754</v>
      </c>
      <c r="BU22" s="28" cm="1">
        <f t="array" ref="BU22">_xll.ASAssetStatistic($A22,"Date Max drawdown",,,'PBA Summary'!$H$2,"m",'PBA Summary'!$F$2,'PBA Summary'!$G$2)</f>
        <v>43616</v>
      </c>
      <c r="BV22" s="28" cm="1">
        <f t="array" ref="BV22">_xll.ASAssetStatistic($A22,"Start Date Max Drawdown",,,'PBA Summary'!$H$2,"m",'PBA Summary'!$F$2,'PBA Summary'!$G$2)</f>
        <v>43434</v>
      </c>
      <c r="BW22" s="28" t="str" cm="1">
        <f t="array" ref="BW22">_xll.ASAssetStatistic($A22,"End Date Max Drawdown",,,'PBA Summary'!$H$2,"m",'PBA Summary'!$F$2,'PBA Summary'!$G$2)</f>
        <v/>
      </c>
      <c r="BX22" s="29" cm="1">
        <f t="array" ref="BX22">_xll.ASAssetStatistic($A22,"Max Time-under-water (months)",,,'PBA Summary'!$H$2,"m",'PBA Summary'!$F$2,'PBA Summary'!$G$2)</f>
        <v>15</v>
      </c>
      <c r="BY22" s="27" cm="1">
        <f t="array" ref="BY22">_xll.ASAssetStatistic($A22,"Max possible drawdown 99%",,,'PBA Summary'!$H$2,"m",'PBA Summary'!$F$2,'PBA Summary'!$G$2)</f>
        <v>-1</v>
      </c>
      <c r="BZ22" s="27" cm="1">
        <f t="array" ref="BZ22">_xll.ASAssetStatistic($A22,"Max possible drawdown 99.9%",,,'PBA Summary'!$H$2,"m",'PBA Summary'!$F$2,'PBA Summary'!$G$2)</f>
        <v>-1</v>
      </c>
      <c r="CA22" s="30" t="str" cm="1">
        <f t="array" ref="CA22">_xll.ASAssetStatistic($A22,"Max Possible Time-under-water 99% (months)",,,'PBA Summary'!$H$2,"m",'PBA Summary'!$F$2,'PBA Summary'!$G$2)</f>
        <v/>
      </c>
      <c r="CB22" s="30" t="str" cm="1">
        <f t="array" ref="CB22">_xll.ASAssetStatistic($A22,"Max Possible Time-under-water 99.9% (months)",,,'PBA Summary'!$H$2,"m",'PBA Summary'!$F$2,'PBA Summary'!$G$2)</f>
        <v/>
      </c>
      <c r="CC22" s="17" t="str" cm="1">
        <f t="array" ref="CC22">_xll.ASPortfolioReturnAttribution('PBA Summary'!$C$2,"OR",A22,"Last 1m",'PBA Summary'!$F$2,'PBA Summary'!$G$2)</f>
        <v/>
      </c>
      <c r="CD22" s="11" t="str" cm="1">
        <f t="array" ref="CD22">_xll.ASAssetInfo($A22,"Strategy")</f>
        <v>Direct Holdings - Stocks</v>
      </c>
      <c r="CE22" s="14" cm="1">
        <f t="array" ref="CE22">_xll.ASAssetInfo($A22,"Start Date")</f>
        <v>38356</v>
      </c>
      <c r="CF22" s="14" t="str" cm="1">
        <f t="array" ref="CF22">_xll.ASAssetRatings($A22,"Quantitative",0,0,0,0,0,'PBA Summary'!$F$2,'PBA Summary'!$G$2)</f>
        <v/>
      </c>
      <c r="CG22" s="14" t="str" cm="1">
        <f t="array" ref="CG22">_xll.ASAssetRatings($A22,"Qualitative",0,0,0,0,0,'PBA Summary'!$F$2,'PBA Summary'!$G$2)</f>
        <v/>
      </c>
      <c r="CH22" s="14" t="str" cm="1">
        <f t="array" ref="CH22">_xll.ASAssetRatings($A22,"Final",0,0,0,0,0,'PBA Summary'!$F$2,'PBA Summary'!$G$2)</f>
        <v/>
      </c>
      <c r="CI22" s="14" cm="1">
        <f t="array" ref="CI22">_xll.ASAssetInfo($A22,"Last Return Date")</f>
        <v>44126</v>
      </c>
      <c r="CJ22" s="14" t="str" cm="1">
        <f t="array" ref="CJ22">_xll.ASAssetInfo($A22,"Company Name")</f>
        <v/>
      </c>
      <c r="CK22" s="14" t="str" cm="1">
        <f t="array" ref="CK22">_xll.ASAssetInfo($A22,"Manager Name")</f>
        <v/>
      </c>
      <c r="CL22" s="14" t="str" cm="1">
        <f t="array" ref="CL22">_xll.ASAssetInfo($A22,"Address")</f>
        <v/>
      </c>
      <c r="CM22" s="14" t="str" cm="1">
        <f t="array" ref="CM22">_xll.ASAssetInfo($A22,"Phone Number")</f>
        <v/>
      </c>
      <c r="CN22" s="14" t="str" cm="1">
        <f t="array" ref="CN22">_xll.ASAssetInfo($A22,"Email")</f>
        <v/>
      </c>
      <c r="CO22" s="14" t="str" cm="1">
        <f t="array" ref="CO22">_xll.ASAssetInfo($A22,"Asset Type")</f>
        <v>Equities</v>
      </c>
      <c r="CP22" s="14" t="str" cm="1">
        <f t="array" ref="CP22">_xll.ASAssetInfo($A22,"Proprietary ID")</f>
        <v/>
      </c>
      <c r="CQ22" s="14" t="str" cm="1">
        <f t="array" ref="CQ22">_xll.ASAssetInfo($A22,"Country")</f>
        <v>[Not Classified]</v>
      </c>
      <c r="CR22" s="14" t="str" cm="1">
        <f t="array" ref="CR22">_xll.ASAssetInfo($A22,"Currency")</f>
        <v>JPY</v>
      </c>
      <c r="CS22" s="14" t="str" cm="1">
        <f t="array" ref="CS22">_xll.ASAssetInfo($A22,"Sub-Strategy")</f>
        <v/>
      </c>
      <c r="CT22" s="31" t="str" cm="1">
        <f t="array" ref="CT22">_xll.ASAssetInfo($A22,"Fund AUM (m)")</f>
        <v/>
      </c>
      <c r="CU22" s="31" t="str" cm="1">
        <f t="array" ref="CU22">_xll.ASAssetInfo($A22,"Status")</f>
        <v>Unknown</v>
      </c>
      <c r="CV22" s="31" t="str" cm="1">
        <f t="array" ref="CV22">_xll.ASAssetInfo($A22,"Redemption 1 Frequency")</f>
        <v>Unknown</v>
      </c>
      <c r="CW22" s="31" t="str" cm="1">
        <f t="array" ref="CW22">_xll.ASAssetInfo($A22,"Redemption 2 Frequency")</f>
        <v>Unknown</v>
      </c>
      <c r="CX22" s="31" t="str" cm="1">
        <f t="array" ref="CX22">_xll.ASAssetInfo($A22,"Redemption 3 Frequency")</f>
        <v>Unknown</v>
      </c>
      <c r="CY22" s="31" t="str" cm="1">
        <f t="array" ref="CY22">_xll.ASAssetInfo($A22,"Notice Period")</f>
        <v/>
      </c>
      <c r="CZ22" s="15" t="str" cm="1">
        <f t="array" ref="CZ22">_xll.ASAssetInfo($A22,"Performance Fee")</f>
        <v/>
      </c>
      <c r="DA22" s="15" t="str" cm="1">
        <f t="array" ref="DA22">_xll.ASAssetInfo($A22,"Management Fee")</f>
        <v/>
      </c>
      <c r="DB22" s="15" t="str" cm="1">
        <f t="array" ref="DB22">_xll.ASAssetInfo($A22,"ISIN")</f>
        <v>JP3551200003</v>
      </c>
      <c r="DC22" s="16" cm="1">
        <f t="array" ref="DC22">_xll.ASAssetStatistic($A22,"Return during " &amp;YEAR(EOMONTH('PBA Summary'!$G$2,-60)),,,,"M",DATE(YEAR(EOMONTH('PBA Summary'!$G$2,-60)),1,31),DATE(YEAR(EOMONTH('PBA Summary'!$G$2,-60)),12,31))</f>
        <v>7.9700709357692912E-2</v>
      </c>
      <c r="DD22" s="16" cm="1">
        <f t="array" ref="DD22">_xll.ASAssetStatistic($A22,"Return during " &amp;YEAR(EOMONTH('PBA Summary'!$G$2,-48)),,,,"M",DATE(YEAR(EOMONTH('PBA Summary'!$G$2,-48)),1,31),DATE(YEAR(EOMONTH('PBA Summary'!$G$2,-48)),12,31))</f>
        <v>-0.36305709554323584</v>
      </c>
      <c r="DE22" s="16" cm="1">
        <f t="array" ref="DE22">_xll.ASAssetStatistic($A22,"Return during " &amp;YEAR(EOMONTH('PBA Summary'!$G$2,-36)),,,,"M",DATE(YEAR(EOMONTH('PBA Summary'!$G$2,-36)),1,31),DATE(YEAR(EOMONTH('PBA Summary'!$G$2,-36)),12,31))</f>
        <v>0.15723732549595826</v>
      </c>
      <c r="DF22" s="16" cm="1">
        <f t="array" ref="DF22">_xll.ASAssetStatistic($A22,"Return during " &amp;YEAR(EOMONTH('PBA Summary'!$G$2,-24)),,,,"M",DATE(YEAR(EOMONTH('PBA Summary'!$G$2,-24)),1,31),DATE(YEAR(EOMONTH('PBA Summary'!$G$2,-24)),12,31))</f>
        <v>-0.11877899877899822</v>
      </c>
      <c r="DG22" s="16" cm="1">
        <f t="array" ref="DG22">_xll.ASAssetStatistic($A22,"Return during " &amp;YEAR(EOMONTH('PBA Summary'!$G$2,-12)),,,,"M",DATE(YEAR(EOMONTH('PBA Summary'!$G$2,-12)),1,31),DATE(YEAR(EOMONTH('PBA Summary'!$G$2,-12)),12,31))</f>
        <v>4.5169871972509323E-2</v>
      </c>
      <c r="DH22" s="11" t="str" cm="1">
        <f t="array" ref="DH22">_xll.ASAssetInfo($A22,"Prime Broker")</f>
        <v/>
      </c>
      <c r="DI22" s="16" cm="1">
        <f t="array" ref="DI22">_xll.ASAssetStatistic($A22,"Return",,,,"m",'PBA Summary'!$F$2,'PBA Summary'!$G$2)</f>
        <v>-0.17047509452572762</v>
      </c>
      <c r="DJ22" s="33" cm="1">
        <f t="array" ref="DJ22">IF('PBA Summary'!$D$2="","",_xll.ASAssetStatistic($A22,"Ann. Information Ratio vs Benchmark 1",'PBA Summary'!$D$2,,,"m",'PBA Summary'!$F$2,'PBA Summary'!$G$2))</f>
        <v>-2.6447987217341464</v>
      </c>
      <c r="DK22" s="33" cm="1">
        <f t="array" ref="DK22">IF('PBA Summary'!$D$3="","",_xll.ASAssetStatistic($A22,"Ann. Information Ratio vs Benchmark 1",'PBA Summary'!$D$3,,,"m",'PBA Summary'!$F$2,'PBA Summary'!$G$2))</f>
        <v>-2.6447987217341464</v>
      </c>
      <c r="DL22" s="33" cm="1">
        <f t="array" ref="DL22">IF('PBA Summary'!$D$2="","",_xll.ASAssetStatistic($A22,"Ann. Tracking Error vs Benchmark 1",'PBA Summary'!$D$2,,,"m",'PBA Summary'!$F$2,'PBA Summary'!$G$2))</f>
        <v>0.11766210941173517</v>
      </c>
      <c r="DM22" s="33" cm="1">
        <f t="array" ref="DM22">IF('PBA Summary'!$D$3="","",_xll.ASAssetStatistic($A22,"Ann. Tracking Error vs Benchmark 1",'PBA Summary'!$D$3,,,"m",'PBA Summary'!$F$2,'PBA Summary'!$G$2))</f>
        <v>0.11766210941173517</v>
      </c>
      <c r="DN22" s="33" cm="1">
        <f t="array" ref="DN22">IF('PBA Summary'!$D$2="","",_xll.ASAssetStatistic($A22,"R² vs Benchmark 1",'PBA Summary'!$D$2,,,"m",'PBA Summary'!$F$2,'PBA Summary'!$G$2))</f>
        <v>0.53903358574385996</v>
      </c>
      <c r="DO22" s="33" cm="1">
        <f t="array" ref="DO22">IF('PBA Summary'!$D$3="","",_xll.ASAssetStatistic($A22,"R² vs Benchmark 1",'PBA Summary'!$D$3,,,"m",'PBA Summary'!$F$2,'PBA Summary'!$G$2))</f>
        <v>0.53903358574385996</v>
      </c>
      <c r="DP22" s="11" t="str" cm="1">
        <f t="array" ref="DP22">_xll.ASAssetInfo($A22,"On-/Offshore")</f>
        <v>Unknown</v>
      </c>
      <c r="DQ22" s="16" cm="1">
        <f t="array" ref="DQ22">_xll.ASAssetStatistic($A22,"Quarter-to-date",,,,"m",'PBA Summary'!$F$2,'PBA Summary'!$G$2)</f>
        <v>-6.3474387527839959E-2</v>
      </c>
      <c r="DR22" s="16" cm="1">
        <f t="array" ref="DR22">_xll.ASAssetStatistic($A22,"Annualized Return Since inception",,,,"m",'PBA Summary'!$F$2,'PBA Summary'!$G$2)</f>
        <v>-3.8554802739786398E-3</v>
      </c>
      <c r="DS22" s="16" cm="1">
        <f t="array" ref="DS22">IF('PBA Summary'!$D$2="","",_xll.ASAssetStatistic($A22,"Ann. Bear Market Return vs Benchmark 1",'PBA Summary'!$D$2,,,"m",'PBA Summary'!$F$2,'PBA Summary'!$G$2))</f>
        <v>-0.5335406320924192</v>
      </c>
      <c r="DT22" s="16" cm="1">
        <f t="array" ref="DT22">IF('PBA Summary'!$D$2="","",_xll.ASAssetStatistic($A22,"Ann. Bull Market Return vs Benchmark 1",'PBA Summary'!$D$2,,,"m",'PBA Summary'!$F$2,'PBA Summary'!$G$2))</f>
        <v>7.6171843964669028E-2</v>
      </c>
      <c r="DU22" s="16" cm="1">
        <f t="array" ref="DU22">IF('PBA Summary'!$D$3="","",_xll.ASAssetStatistic($A22,"Ann. Bear Market Return vs Benchmark 1",'PBA Summary'!$D$3,,,"m",'PBA Summary'!$F$2,'PBA Summary'!$G$2))</f>
        <v>-0.5335406320924192</v>
      </c>
      <c r="DV22" s="16" cm="1">
        <f t="array" ref="DV22">IF('PBA Summary'!$D$3="","",_xll.ASAssetStatistic($A22,"Ann. Bull Market Return vs Benchmark 1",'PBA Summary'!$D$3,,,"m",'PBA Summary'!$F$2,'PBA Summary'!$G$2))</f>
        <v>7.6171843964669028E-2</v>
      </c>
      <c r="DW22" s="17" cm="1">
        <f t="array" ref="DW22">_xll.ASAssetStatistic($A22,"Average Positive Return",,,,"m",'PBA Summary'!$F$2,'PBA Summary'!$G$2)</f>
        <v>2.7650739935363315E-2</v>
      </c>
      <c r="DX22" s="17" cm="1">
        <f t="array" ref="DX22">_xll.ASAssetStatistic($A22,"Average Negative Return",,,,"m",'PBA Summary'!$F$2,'PBA Summary'!$G$2)</f>
        <v>-4.53170047817507E-2</v>
      </c>
      <c r="DY22" s="16" cm="1">
        <f t="array" ref="DY22">IF('PBA Summary'!$D$2="","",_xll.ASAssetStatistic($A22,"Outperformance vs Benchmark 1",'PBA Summary'!$D$2,,,"m",'PBA Summary'!$F$2,'PBA Summary'!$G$2))</f>
        <v>-0.39031873933444627</v>
      </c>
      <c r="DZ22" s="16" cm="1">
        <f t="array" ref="DZ22">IF('PBA Summary'!$D$3="","",_xll.ASAssetStatistic($A22,"Outperformance vs Benchmark 1",'PBA Summary'!$D$3,,,"m",'PBA Summary'!$F$2,'PBA Summary'!$G$2))</f>
        <v>-0.39031873933444627</v>
      </c>
      <c r="EA22" s="16" cm="1">
        <f t="array" ref="EA22">IF('PBA Summary'!$D$2="","",_xll.ASAssetStatistic($A22,"Annual Outperformance vs Benchmark 1",'PBA Summary'!$D$2,,,"m",'PBA Summary'!$F$2,'PBA Summary'!$G$2))</f>
        <v>-0.31119259656870046</v>
      </c>
      <c r="EB22" s="16" cm="1">
        <f t="array" ref="EB22">IF('PBA Summary'!$D$3="","",_xll.ASAssetStatistic($A22,"Annual Outperformance vs Benchmark 1",'PBA Summary'!$D$3,,,"m",'PBA Summary'!$F$2,'PBA Summary'!$G$2))</f>
        <v>-0.31119259656870046</v>
      </c>
      <c r="EC22" s="32" cm="1">
        <f t="array" ref="EC22">_xll.ASAssetStatistic($A22,"Rachev Ratio 99%",,,,"m",'PBA Summary'!$F$2,'PBA Summary'!$G$2)</f>
        <v>-0.63392066772290356</v>
      </c>
      <c r="ED22" s="32" cm="1">
        <f t="array" ref="ED22">_xll.ASAssetStatistic($A22,"Rachev Ratio 97%",,,,"m",'PBA Summary'!$F$2,'PBA Summary'!$G$2)</f>
        <v>-0.63392066772290356</v>
      </c>
      <c r="EE22" s="32" cm="1">
        <f t="array" ref="EE22">_xll.ASAssetStatistic($A22,"Rachev Ratio 95%",,,,"m",'PBA Summary'!$F$2,'PBA Summary'!$G$2)</f>
        <v>-0.63392066772290356</v>
      </c>
      <c r="EF22" s="32" cm="1">
        <f t="array" ref="EF22">_xll.ASAssetStatistic($A22,"Rachev Ratio 90%",,,,"m",'PBA Summary'!$F$2,'PBA Summary'!$G$2)</f>
        <v>-0.59988579779252049</v>
      </c>
      <c r="EG22" s="34" cm="1">
        <f t="array" ref="EG22">IF('PBA Summary'!$D$2="","",_xll.ASAssetStatistic($A22,"Annual Up Capture vs Benchmark 1",'PBA Summary'!$D$2,,,"m",'PBA Summary'!$F$2,'PBA Summary'!$G$2))</f>
        <v>0.15047542519281049</v>
      </c>
      <c r="EH22" s="34" cm="1">
        <f t="array" ref="EH22">IF('PBA Summary'!$D$3="","",_xll.ASAssetStatistic($A22,"Annual Up Capture vs Benchmark 1",'PBA Summary'!$D$3,,,"m",'PBA Summary'!$F$2,'PBA Summary'!$G$2))</f>
        <v>0.15047542519281049</v>
      </c>
      <c r="EI22" s="34" cm="1">
        <f t="array" ref="EI22">IF('PBA Summary'!$D$2="","",_xll.ASAssetStatistic($A22,"Annual Down Capture vs Benchmark 1",'PBA Summary'!$D$2,,,"m",'PBA Summary'!$F$2,'PBA Summary'!$G$2))</f>
        <v>1.2965004629288119</v>
      </c>
      <c r="EJ22" s="34" cm="1">
        <f t="array" ref="EJ22">IF('PBA Summary'!$D$3="","",_xll.ASAssetStatistic($A22,"Annual Down Capture vs Benchmark 1",'PBA Summary'!$D$3,,,"m",'PBA Summary'!$F$2,'PBA Summary'!$G$2))</f>
        <v>1.2965004629288119</v>
      </c>
      <c r="EK22" s="16" cm="1">
        <f t="array" ref="EK22">IF('PBA Summary'!$D$2="","",_xll.ASAssetStatistic($A22,"Ann. Tracking Error vs Benchmark 1",'PBA Summary'!$D$2,,,"m",'PBA Summary'!$F$2,'PBA Summary'!$G$2))</f>
        <v>0.11766210941173517</v>
      </c>
      <c r="EL22" s="16" cm="1">
        <f t="array" ref="EL22">IF('PBA Summary'!$D$3="","",_xll.ASAssetStatistic($A22,"Ann. Tracking Error vs Benchmark 1",'PBA Summary'!$D$3,,,"m",'PBA Summary'!$F$2,'PBA Summary'!$G$2))</f>
        <v>0.11766210941173517</v>
      </c>
      <c r="EM22" s="16" cm="1">
        <f t="array" ref="EM22">IF('PBA Summary'!$D$2="","",_xll.ASAssetStatistic($A22,"Annual Jensen Alpha vs Benchmark 1 (Rf)",'PBA Summary'!$D$2,,,"m",'PBA Summary'!$F$2,'PBA Summary'!$G$2))</f>
        <v>-0.2772427658068719</v>
      </c>
      <c r="EN22" s="16" cm="1">
        <f t="array" ref="EN22">IF('PBA Summary'!$D$3="","",_xll.ASAssetStatistic($A22,"Annual Jensen Alpha vs Benchmark 1 (Rf)",'PBA Summary'!$D$3,,,"m",'PBA Summary'!$F$2,'PBA Summary'!$G$2))</f>
        <v>-0.2772427658068719</v>
      </c>
      <c r="EO22" s="33" cm="1">
        <f t="array" ref="EO22">IF('PBA Summary'!$D$2="","",_xll.ASAssetStatistic($A22,"Ann. Information Ratio vs Benchmark 1",'PBA Summary'!$D$2,,,"m",'PBA Summary'!$F$2,'PBA Summary'!$G$2))</f>
        <v>-2.6447987217341464</v>
      </c>
      <c r="EP22" s="33" cm="1">
        <f t="array" ref="EP22">IF('PBA Summary'!$D$3="","",_xll.ASAssetStatistic($A22,"Ann. Information Ratio vs Benchmark 1",'PBA Summary'!$D$3,,,"m",'PBA Summary'!$F$2,'PBA Summary'!$G$2))</f>
        <v>-2.6447987217341464</v>
      </c>
      <c r="EQ22" s="17" cm="1">
        <f t="array" ref="EQ22">IF('PBA Summary'!$D$2="","",_xll.ASAssetStatistic($A22,"Alpha Monthly vs Benchmark 1",'PBA Summary'!$D$2,,,"m",'PBA Summary'!$F$2,'PBA Summary'!$G$2))</f>
        <v>-2.2680433780225384E-2</v>
      </c>
      <c r="ER22" s="17" cm="1">
        <f t="array" ref="ER22">IF('PBA Summary'!$D$3="","",_xll.ASAssetStatistic($A22,"Alpha Monthly vs Benchmark 1",'PBA Summary'!$D$3,,,"m",'PBA Summary'!$F$2,'PBA Summary'!$G$2))</f>
        <v>-2.2680433780225384E-2</v>
      </c>
      <c r="ES22" s="11" t="str" cm="1">
        <f t="array" ref="ES22">_xll.ASAssetInfo($A22,"Company AUM (m)")</f>
        <v/>
      </c>
      <c r="ET22" s="16" cm="1">
        <f t="array" ref="ET22">_xll.ASAssetStatistic($A22,"Exponential Annualized Volatility",,,,"m",'PBA Summary'!$F$2,'PBA Summary'!$G$2)</f>
        <v>0.15848984388541831</v>
      </c>
      <c r="EU22" s="16" cm="1">
        <f t="array" ref="EU22">_xll.ASAssetStatistic($A22,"Exponential Annualized Volatility Last 1 year",,,,"m",'PBA Summary'!$F$2,'PBA Summary'!$G$2)</f>
        <v>0.14585212122439867</v>
      </c>
      <c r="EV22" s="16" t="str" cm="1">
        <f t="array" ref="EV22">_xll.ASAssetStatistic($A22,"Exponential Annualized Volatility Last 3 years",,,,"m",'PBA Summary'!$F$2,'PBA Summary'!$G$2)</f>
        <v/>
      </c>
      <c r="EW22" s="34" cm="1">
        <f t="array" ref="EW22">IF('PBA Summary'!$D$2="","",_xll.ASAssetStatistic($A22,"Exponential Correlation to Benchmark 1",'PBA Summary'!$D$2,,,"m",'PBA Summary'!$F$2,'PBA Summary'!$G$2))</f>
        <v>0.59727559885425718</v>
      </c>
      <c r="EX22" s="34" cm="1">
        <f t="array" ref="EX22">IF('PBA Summary'!$D$3="","",_xll.ASAssetStatistic($A22,"Exponential Correlation to Benchmark 1",'PBA Summary'!$D$3,,,"m",'PBA Summary'!$F$2,'PBA Summary'!$G$2))</f>
        <v>0.59727559885425718</v>
      </c>
      <c r="EY22" s="34" cm="1">
        <f t="array" ref="EY22">_xll.ASAssetStatistic($A22,"Exponential Annual Sharpe Ratio (Rf)",,,,"m",'PBA Summary'!$F$2,'PBA Summary'!$G$2)</f>
        <v>-0.53761962388308271</v>
      </c>
      <c r="EZ22" s="34" cm="1">
        <f t="array" ref="EZ22">_xll.ASAssetStatistic($A22,"Exponential Normal Monthly VaR 99%",,,,"m",'PBA Summary'!$F$2,'PBA Summary'!$G$2)</f>
        <v>-0.11360348272410435</v>
      </c>
      <c r="FA22" s="34" cm="1">
        <f t="array" ref="FA22">_xll.ASAssetStatistic($A22,"Exponential Normal Monthly VaR 97%",,,,"m",'PBA Summary'!$F$2,'PBA Summary'!$G$2)</f>
        <v>-9.3218449636524092E-2</v>
      </c>
      <c r="FB22" s="34" cm="1">
        <f t="array" ref="FB22">_xll.ASAssetStatistic($A22,"Exponential Normal Monthly VaR 95%",,,,"m",'PBA Summary'!$F$2,'PBA Summary'!$G$2)</f>
        <v>-8.2423705445628187E-2</v>
      </c>
      <c r="FC22" s="34" cm="1">
        <f t="array" ref="FC22">_xll.ASAssetStatistic($A22,"Exponential Normal Monthly VaR 90%",,,,"m",'PBA Summary'!$F$2,'PBA Summary'!$G$2)</f>
        <v>-6.5801881552238733E-2</v>
      </c>
      <c r="FD22" s="34" t="str" cm="1">
        <f t="array" ref="FD22">_xll.ASAssetStatistic($A22,"Exponential Normal weekly VaR 99%",,,,"m",'PBA Summary'!$F$2,'PBA Summary'!$G$2)</f>
        <v/>
      </c>
      <c r="FE22" s="34" t="str" cm="1">
        <f t="array" ref="FE22">_xll.ASAssetStatistic($A22,"Exponential Normal weekly VaR 97%",,,,"m",'PBA Summary'!$F$2,'PBA Summary'!$G$2)</f>
        <v/>
      </c>
      <c r="FF22" s="34" t="str" cm="1">
        <f t="array" ref="FF22">_xll.ASAssetStatistic($A22,"Exponential Normal weekly VaR 95%",,,,"m",'PBA Summary'!$F$2,'PBA Summary'!$G$2)</f>
        <v/>
      </c>
      <c r="FG22" s="34" t="str" cm="1">
        <f t="array" ref="FG22">_xll.ASAssetStatistic($A22,"Exponential Normal weekly VaR 90%",,,,"m",'PBA Summary'!$F$2,'PBA Summary'!$G$2)</f>
        <v/>
      </c>
      <c r="FH22" s="34" t="str" cm="1">
        <f t="array" ref="FH22">_xll.ASAssetStatistic($A22,"Exponential Normal daily VaR 99%",,,,"m",'PBA Summary'!$F$2,'PBA Summary'!$G$2)</f>
        <v/>
      </c>
      <c r="FI22" s="34" t="str" cm="1">
        <f t="array" ref="FI22">_xll.ASAssetStatistic($A22,"Exponential Normal daily VaR 97%",,,,"m",'PBA Summary'!$F$2,'PBA Summary'!$G$2)</f>
        <v/>
      </c>
      <c r="FJ22" s="34" t="str" cm="1">
        <f t="array" ref="FJ22">_xll.ASAssetStatistic($A22,"Exponential Normal daily VaR 95%",,,,"m",'PBA Summary'!$F$2,'PBA Summary'!$G$2)</f>
        <v/>
      </c>
      <c r="FK22" s="34" t="str" cm="1">
        <f t="array" ref="FK22">_xll.ASAssetStatistic($A22,"Exponential Normal daily VaR 90%",,,,"m",'PBA Summary'!$F$2,'PBA Summary'!$G$2)</f>
        <v/>
      </c>
      <c r="FL22" s="34" cm="1">
        <f t="array" ref="FL22">_xll.ASAssetStatistic($A22,"Bias Ratio",,,,"m",'PBA Summary'!$F$2,'PBA Summary'!$G$2)</f>
        <v>1.2</v>
      </c>
      <c r="FM22" s="11" t="str" cm="1">
        <f t="array" ref="FM22">_xll.ASAssetInfo($A22,"Manager's Biography")</f>
        <v/>
      </c>
      <c r="FN22" s="11" cm="1">
        <f t="array" ref="FN22">_xll.ASAssetInfo($A22,"Investment Min")</f>
        <v>0</v>
      </c>
      <c r="FO22" s="11" t="str" cm="1">
        <f t="array" ref="FO22">_xll.ASAssetInfo($A22,"Auditor")</f>
        <v/>
      </c>
      <c r="FP22" s="11" t="str" cm="1">
        <f t="array" ref="FP22">_xll.ASAssetInfo($A22,"Custodian")</f>
        <v/>
      </c>
      <c r="FQ22" s="11" t="str" cm="1">
        <f t="array" ref="FQ22">_xll.ASAssetInfo($A22,"Administrator")</f>
        <v/>
      </c>
      <c r="FR22" s="14" t="str" cm="1">
        <f t="array" ref="FR22">_xll.ASAssetInfo($A22,"Proxy 1 Start Date")</f>
        <v/>
      </c>
      <c r="FS22" s="14" t="str" cm="1">
        <f t="array" ref="FS22">_xll.ASAssetInfo($A22,"Proxy 1 End Date")</f>
        <v/>
      </c>
      <c r="FT22" s="14" t="str" cm="1">
        <f t="array" ref="FT22">_xll.ASAssetInfo($A22,"Proxy 2 Start Date")</f>
        <v/>
      </c>
      <c r="FU22" s="14" t="str" cm="1">
        <f t="array" ref="FU22">_xll.ASAssetInfo($A22,"Proxy 2 End Date")</f>
        <v/>
      </c>
      <c r="FV22" s="14" t="str" cm="1">
        <f t="array" ref="FV22">_xll.ASAssetInfo($A22,"Proxy 3 Start Date")</f>
        <v/>
      </c>
      <c r="FW22" s="14" t="str" cm="1">
        <f t="array" ref="FW22">_xll.ASAssetInfo($A22,"Proxy 3 End Date")</f>
        <v/>
      </c>
      <c r="FX22" s="14" t="str" cm="1">
        <f t="array" ref="FX22">_xll.ASAssetInfo($A22,"Fund Domicile")</f>
        <v/>
      </c>
      <c r="FY22" s="14" t="str" cm="1">
        <f t="array" ref="FY22">_xll.ASAssetInfo($A22,"Fund Contact")</f>
        <v/>
      </c>
      <c r="FZ22" s="14" t="str" cm="1">
        <f t="array" ref="FZ22">_xll.ASAssetInfo($A22,"Fund Contact Email")</f>
        <v/>
      </c>
      <c r="GA22" s="14" t="str" cm="1">
        <f t="array" ref="GA22">_xll.ASAssetInfo($A22,"Fund Contact Number")</f>
        <v/>
      </c>
      <c r="GB22" s="14" t="str" cm="1">
        <f t="array" ref="GB22">_xll.ASAssetInfo($A22,"City")</f>
        <v/>
      </c>
      <c r="GC22" s="14" t="str" cm="1">
        <f t="array" ref="GC22">_xll.ASAssetInfo($A22,"Leverage")</f>
        <v/>
      </c>
      <c r="GD22" s="14" t="str" cm="1">
        <f t="array" ref="GD22">_xll.ASAssetInfo($A22,"Lockup 1 Duration")</f>
        <v>0 Months</v>
      </c>
      <c r="GE22" s="14" t="str" cm="1">
        <f t="array" ref="GE22">_xll.ASAssetInfo($A22,"Lockup 2 Duration")</f>
        <v>0 Months</v>
      </c>
      <c r="GF22" s="14" t="str" cm="1">
        <f t="array" ref="GF22">_xll.ASAssetInfo($A22,"Lockup 3 Duration")</f>
        <v>0 Months</v>
      </c>
      <c r="GG22" s="31" t="str" cm="1">
        <f t="array" ref="GG22">_xll.ASAssetInfo($A22,"Fund Level Gate")</f>
        <v/>
      </c>
      <c r="GH22" s="31" t="str" cm="1">
        <f t="array" ref="GH22">_xll.ASAssetInfo($A22,"Fund Level Gate Frequency")</f>
        <v>Unknown</v>
      </c>
      <c r="GI22" s="35" cm="1">
        <f t="array" ref="GI22">_xll.ASAssetInfo($A22,"Payment 2 (%)")</f>
        <v>0</v>
      </c>
      <c r="GJ22" s="35" t="str" cm="1">
        <f t="array" ref="GJ22">_xll.ASAssetInfo($A22,"Payment 2 (days)")</f>
        <v/>
      </c>
      <c r="GK22" s="35" t="str" cm="1">
        <f t="array" ref="GK22">_xll.ASAssetInfo($A22,"Payment 2 (Paid After)")</f>
        <v>NAV Date</v>
      </c>
      <c r="GL22" s="35" cm="1">
        <f t="array" ref="GL22">_xll.ASAssetInfo($A22,"Payment 3 (%)")</f>
        <v>0</v>
      </c>
      <c r="GM22" s="36" t="str" cm="1">
        <f t="array" ref="GM22">_xll.ASAssetInfo($A22,"Payment 3 (Days)")</f>
        <v/>
      </c>
      <c r="GN22" s="35" t="str" cm="1">
        <f t="array" ref="GN22">_xll.ASAssetInfo($A22,"Payment 3 (Paid After)")</f>
        <v>NAV Date</v>
      </c>
      <c r="GO22" s="35" cm="1">
        <f t="array" ref="GO22">_xll.ASAssetInfo($A22,"Payment 4 (%)")</f>
        <v>0</v>
      </c>
      <c r="GP22" s="36" t="str" cm="1">
        <f t="array" ref="GP22">_xll.ASAssetInfo($A22,"Payment 4 (days)")</f>
        <v/>
      </c>
      <c r="GQ22" s="35" t="str" cm="1">
        <f t="array" ref="GQ22">_xll.ASAssetInfo($A22,"Payment 4 (Paid After)")</f>
        <v>NAV Date</v>
      </c>
      <c r="GR22" s="11" cm="1">
        <f t="array" ref="GR22">_xll.ASAssetInfo($A22,"Payment 1 (%)")</f>
        <v>1</v>
      </c>
      <c r="GS22" s="35" cm="1">
        <f t="array" ref="GS22">_xll.ASAssetInfo($A22,"Lockup 1 Fee")</f>
        <v>0</v>
      </c>
      <c r="GT22" s="35" cm="1">
        <f t="array" ref="GT22">_xll.ASAssetInfo($A22,"Lockup 2 Fee")</f>
        <v>0</v>
      </c>
      <c r="GU22" s="35" cm="1">
        <f t="array" ref="GU22">_xll.ASAssetInfo($A22,"Lockup 3 Fee")</f>
        <v>0</v>
      </c>
      <c r="GV22" s="35" t="str" cm="1">
        <f t="array" ref="GV22">_xll.ASAssetInfo($A22,"Lockup 1 type")</f>
        <v>None</v>
      </c>
      <c r="GW22" s="35" t="str" cm="1">
        <f t="array" ref="GW22">_xll.ASAssetInfo($A22,"Lockup 2 type")</f>
        <v>None</v>
      </c>
      <c r="GX22" s="35" t="str" cm="1">
        <f t="array" ref="GX22">_xll.ASAssetInfo($A22,"Lockup 3 type")</f>
        <v>None</v>
      </c>
      <c r="GY22" s="35" t="str" cm="1">
        <f t="array" ref="GY22">_xll.ASAssetInfo($A22,"Redemption 1 type")</f>
        <v>Calendar</v>
      </c>
      <c r="GZ22" s="35" t="str" cm="1">
        <f t="array" ref="GZ22">_xll.ASAssetInfo($A22,"Redemption 2 type")</f>
        <v>Calendar</v>
      </c>
      <c r="HA22" s="35"/>
      <c r="HB22" s="35"/>
      <c r="HC22" s="35"/>
      <c r="HD22" s="35"/>
      <c r="HE22" s="35"/>
      <c r="HF22" s="35"/>
      <c r="HG22" s="35" t="str" cm="1">
        <f t="array" ref="HG22">_xll.ASAssetInfo($A22,"Redemption 3 Frequency")</f>
        <v>Unknown</v>
      </c>
      <c r="HH22" s="35" t="str" cm="1">
        <f t="array" ref="HH22">_xll.ASAssetInfo($A22,"Asset Calendar")</f>
        <v>[Default]</v>
      </c>
      <c r="HI22" s="16" cm="1">
        <f t="array" ref="HI22">_xll.ASAssetStatistic($A22,"Max Second Drawdown",,,,"m",'PBA Summary'!$F$2,'PBA Summary'!$G$2)</f>
        <v>0</v>
      </c>
      <c r="HJ22" s="37" t="str" cm="1">
        <f t="array" ref="HJ22">_xll.ASAssetStatistic($A22,"Date Max Second Drawdown",,,,"m",'PBA Summary'!$F$2,'PBA Summary'!$G$2)</f>
        <v/>
      </c>
      <c r="HK22" s="37"/>
      <c r="HL22" s="37" t="str" cm="1">
        <f t="array" ref="HL22">_xll.ASAssetInfo($A22,HL$1)</f>
        <v/>
      </c>
      <c r="HM22" s="34" cm="1">
        <f t="array" ref="HM22">_xll.ASAssetInfo($A22,HM$1)</f>
        <v>1517</v>
      </c>
      <c r="HN22" s="37" t="str" cm="1">
        <f t="array" ref="HN22">_xll.ASAssetInfo($A22,HN$1)</f>
        <v/>
      </c>
      <c r="HO22" s="15" cm="1">
        <f t="array" ref="HO22">_xll.ASAssetInfo($A22,HO$1)</f>
        <v>0</v>
      </c>
      <c r="HP22" s="15" t="str" cm="1">
        <f t="array" ref="HP22">_xll.ASAssetInfo($A22,HP$1)</f>
        <v/>
      </c>
      <c r="HQ22" s="34" t="str" cm="1">
        <f t="array" ref="HQ22">_xll.ASAssetInfo($A22,HQ$1)</f>
        <v/>
      </c>
      <c r="HR22" s="37" t="str" cm="1">
        <f t="array" ref="HR22">_xll.ASAssetInfo($A22,HR$1)</f>
        <v/>
      </c>
      <c r="HS22" s="37" t="str" cm="1">
        <f t="array" ref="HS22">_xll.ASAssetInfo($A22,HS$1)</f>
        <v/>
      </c>
      <c r="HT22" s="37" t="str" cm="1">
        <f t="array" ref="HT22">_xll.ASAssetInfo($A22,HT$1)</f>
        <v/>
      </c>
      <c r="HU22" s="37" t="str" cm="1">
        <f t="array" ref="HU22">_xll.ASAssetInfo($A22,HU$1)</f>
        <v>Japan</v>
      </c>
      <c r="HV22" s="37" t="str" cm="1">
        <f t="array" ref="HV22">_xll.ASAssetInfo($A22,HV$1)</f>
        <v/>
      </c>
      <c r="HW22" s="37" t="str" cm="1">
        <f t="array" ref="HW22">_xll.ASAssetInfo($A22,HW$1)</f>
        <v/>
      </c>
    </row>
    <row r="23" spans="1:231" s="11" customFormat="1" x14ac:dyDescent="0.25">
      <c r="A23" t="s">
        <v>274</v>
      </c>
      <c r="B23" cm="1">
        <f t="array" ref="B23">_xll.ASPortfolioWeights('PBA Summary'!$C$2,"OR",$A23)</f>
        <v>0</v>
      </c>
      <c r="C23" cm="1">
        <f t="array" ref="C23">_xll.ASAssetStatistic($A23,"Annualized Return since inception",,,,"m",_xll.ASAssetInfo($A23,"Start Date"),_xll.ASAssetInfo($A23,"Last Return Date"))</f>
        <v>0.13216170506460356</v>
      </c>
      <c r="D23" cm="1">
        <f t="array" ref="D23">_xll.ASAssetStatistic($A23,"Annualized Return",,,,"m",'PBA Summary'!$F$2,'PBA Summary'!$G$2)</f>
        <v>6.3400917670719537E-2</v>
      </c>
      <c r="E23" s="19" cm="1">
        <f t="array" ref="E23">_xll.ASAssetStatistic($A23,"Equilibrium Annual Return",,,,"m",'PBA Summary'!$F$2,'PBA Summary'!$G$2)</f>
        <v>4.9871482960414326E-2</v>
      </c>
      <c r="F23" cm="1">
        <f t="array" ref="F23">_xll.ASAssetStatistic($A23,"Annualized Volatility (Inception)",,,,"m",_xll.ASAssetInfo($A23,"Start Date"),_xll.ASAssetInfo($A23,"Last Return Date"))</f>
        <v>0.11103213469304739</v>
      </c>
      <c r="G23" cm="1">
        <f t="array" ref="G23">_xll.ASAssetStatistic($A23,"Annualized Volatility",,,,"m",'PBA Summary'!$F$2,'PBA Summary'!$G$2)</f>
        <v>5.1707432809820097E-2</v>
      </c>
      <c r="H23" s="20" cm="1">
        <f t="array" ref="H23">_xll.ASAssetStatistic($A23,"Skewness",,,,"m",'PBA Summary'!$F$2,'PBA Summary'!$G$2)</f>
        <v>-0.30597103760158234</v>
      </c>
      <c r="I23" s="20" cm="1">
        <f t="array" ref="I23">_xll.ASAssetStatistic($A23,"Excess kurtosis",,,,"m",'PBA Summary'!$F$2,'PBA Summary'!$G$2)</f>
        <v>-0.97696507810006095</v>
      </c>
      <c r="J23" s="19" cm="1">
        <f t="array" ref="J23">_xll.ASAssetStatistic($A23,"Return Last 1 month",,,,"m",'PBA Summary'!$F$2,'PBA Summary'!$G$2)</f>
        <v>5.2000000000000934E-3</v>
      </c>
      <c r="K23" s="19" cm="1">
        <f t="array" ref="K23">_xll.ASAssetStatistic($A23,"Return Last 3 months",,,,"m",'PBA Summary'!$F$2,'PBA Summary'!$G$2)</f>
        <v>5.3818307360000261E-2</v>
      </c>
      <c r="L23" s="19" cm="1">
        <f t="array" ref="L23">_xll.ASAssetStatistic($A23,"Return Last 1 year",,,,"m",'PBA Summary'!$F$2,'PBA Summary'!$G$2)</f>
        <v>7.3687918017437015E-2</v>
      </c>
      <c r="M23" s="19" cm="1">
        <f t="array" ref="M23">_xll.ASAssetStatistic($A23,"Year-to-date Return",,,,"m",'PBA Summary'!$F$2,'PBA Summary'!$G$2)</f>
        <v>5.2000000000000934E-3</v>
      </c>
      <c r="N23" s="19" cm="1">
        <f t="array" ref="N23">_xll.ASAssetStatistic($A23,"Annualized Return",,,,"m",EOMONTH('PBA Summary'!$G$2,-2),'PBA Summary'!$G$2)</f>
        <v>0.2332835994537259</v>
      </c>
      <c r="O23" s="19" t="str" cm="1">
        <f t="array" ref="O23">_xll.ASAssetStatistic($A23,"Annualized Return Last 3 years",,,,"m",'PBA Summary'!$F$2,'PBA Summary'!$G$2)</f>
        <v/>
      </c>
      <c r="P23" s="19" t="str" cm="1">
        <f t="array" ref="P23">_xll.ASAssetStatistic($A23,"Annualized Return Last 5 years",,,,"m",'PBA Summary'!$F$2,'PBA Summary'!$G$2)</f>
        <v/>
      </c>
      <c r="Q23" s="19" cm="1">
        <f t="array" ref="Q23">_xll.ASAssetStatistic($A23,"Annualized Volatility Last 1 year",,,,"m",'PBA Summary'!$F$2,'PBA Summary'!$G$2)</f>
        <v>5.7523866682428183E-2</v>
      </c>
      <c r="R23" s="19" t="str" cm="1">
        <f t="array" ref="R23">_xll.ASAssetStatistic($A23,"Annualized Volatility Last 3 years",,,,"m",'PBA Summary'!$F$2,'PBA Summary'!$G$2)</f>
        <v/>
      </c>
      <c r="S23" s="19" t="str" cm="1">
        <f t="array" ref="S23">_xll.ASAssetStatistic($A23,"Annualized Volatility Last 5 years",,,,"m",'PBA Summary'!$F$2,'PBA Summary'!$G$2)</f>
        <v/>
      </c>
      <c r="T23" s="19" cm="1">
        <f t="array" ref="T23">_xll.ASAssetStatistic($A23,"Normal monthly VaR 99%",,,,"m",'PBA Summary'!$F$2,'PBA Summary'!$G$2)</f>
        <v>-2.9485034633756423E-2</v>
      </c>
      <c r="U23" s="19" cm="1">
        <f t="array" ref="U23">_xll.ASAssetStatistic($A23,"Modified monthly VaR 99%",,,,"m",'PBA Summary'!$F$2,'PBA Summary'!$G$2)</f>
        <v>-2.8908131282749099E-2</v>
      </c>
      <c r="V23" s="19" cm="1">
        <f t="array" ref="V23">_xll.ASAssetStatistic($A23,"Conditional monthly VaR 99%",,,,"m",'PBA Summary'!$F$2,'PBA Summary'!$G$2)</f>
        <v>-2.0756732112779619E-2</v>
      </c>
      <c r="W23" s="19" cm="1">
        <f t="array" ref="W23">_xll.ASAssetStatistic($A23,"Normal monthly VaR 97%",,,,"m",'PBA Summary'!$F$2,'PBA Summary'!$G$2)</f>
        <v>-2.2834401994708226E-2</v>
      </c>
      <c r="X23" s="19" cm="1">
        <f t="array" ref="X23">_xll.ASAssetStatistic($A23,"Modified monthly VaR 97%",,,,"m",'PBA Summary'!$F$2,'PBA Summary'!$G$2)</f>
        <v>-2.400023013993887E-2</v>
      </c>
      <c r="Y23" s="19" cm="1">
        <f t="array" ref="Y23">_xll.ASAssetStatistic($A23,"Conditional monthly VaR 97%",,,,"m",'PBA Summary'!$F$2,'PBA Summary'!$G$2)</f>
        <v>-2.0756732112779619E-2</v>
      </c>
      <c r="Z23" s="19" cm="1">
        <f t="array" ref="Z23">_xll.ASAssetStatistic($A23,"Normal monthly VaR 95%",,,,"m",'PBA Summary'!$F$2,'PBA Summary'!$G$2)</f>
        <v>-1.9312608444621324E-2</v>
      </c>
      <c r="AA23" s="19" cm="1">
        <f t="array" ref="AA23">_xll.ASAssetStatistic($A23,"Modified monthly VaR 95%",,,,"m",'PBA Summary'!$F$2,'PBA Summary'!$G$2)</f>
        <v>-2.0878891135888766E-2</v>
      </c>
      <c r="AB23" s="19" cm="1">
        <f t="array" ref="AB23">_xll.ASAssetStatistic($A23,"Conditional monthly VaR 95%",,,,"m",'PBA Summary'!$F$2,'PBA Summary'!$G$2)</f>
        <v>-2.0756732112779619E-2</v>
      </c>
      <c r="AC23" s="66" cm="1">
        <f t="array" ref="AC23">_xll.ASAssetStatistic($A23,"Correlation to Benchmark 1","MSCI ACWI Index",,,"m",'PBA Summary'!$F$2,'PBA Summary'!$G$2)</f>
        <v>4.2485366565706055E-2</v>
      </c>
      <c r="AD23" s="38" cm="1">
        <f t="array" ref="AD23">IF('PBA Summary'!$D$3="","",_xll.ASAssetStatistic($A23,"Correlation to Benchmark 1",'PBA Summary'!$D$3,,,"m",'PBA Summary'!$F$2,'PBA Summary'!$G$2))</f>
        <v>4.6242064428977742E-2</v>
      </c>
      <c r="AE23" s="21" cm="1">
        <f t="array" ref="AE23">IF('PBA Summary'!$D$2="","",_xll.ASAssetStatistic($A23,"Bull correlation to Benchmark 1",'PBA Summary'!$D$2,,,"m",'PBA Summary'!$F$2,'PBA Summary'!$G$2))</f>
        <v>-0.36261680258069157</v>
      </c>
      <c r="AF23" s="21" cm="1">
        <f t="array" ref="AF23">IF('PBA Summary'!$D$2="","",_xll.ASAssetStatistic($A23,"Bear correlation to Benchmark 1",'PBA Summary'!$D$2,,,"m",'PBA Summary'!$F$2,'PBA Summary'!$G$2))</f>
        <v>0.42158436387577336</v>
      </c>
      <c r="AG23" s="21" cm="1">
        <f t="array" ref="AG23">IF('PBA Summary'!$D$3="","",_xll.ASAssetStatistic($A23,"Bull correlation to Benchmark 1",'PBA Summary'!$D$3,,,"m",'PBA Summary'!$F$2,'PBA Summary'!$G$2))</f>
        <v>-0.36261680258069157</v>
      </c>
      <c r="AH23" s="21" cm="1">
        <f t="array" ref="AH23">IF('PBA Summary'!$D$3="","",_xll.ASAssetStatistic($A23,"Bear correlation to Benchmark 1",'PBA Summary'!$D$3,,,"m",'PBA Summary'!$F$2,'PBA Summary'!$G$2))</f>
        <v>0.42158436387577336</v>
      </c>
      <c r="AI23" s="24" cm="1">
        <f t="array" ref="AI23">IF('PBA Summary'!$D$2="","",_xll.ASAssetStatistic($A23,"Beta to Benchmark 1",'PBA Summary'!$D$2,,,"m",'PBA Summary'!$F$2,'PBA Summary'!$G$2))</f>
        <v>1.557449319082203E-2</v>
      </c>
      <c r="AJ23" s="24" t="str" cm="1">
        <f t="array" ref="AJ23">IF('PBA Summary'!$D$2="","",_xll.ASAssetStatistic($A23,"Beta to Benchmark 1 Last 3 years",'PBA Summary'!$D$2,,,"m",'PBA Summary'!$F$2,'PBA Summary'!$G$2))</f>
        <v/>
      </c>
      <c r="AK23" s="24" t="str" cm="1">
        <f t="array" ref="AK23">IF('PBA Summary'!$D$2="","",_xll.ASAssetStatistic($A23,"Beta to Benchmark 1 Last 5 years",'PBA Summary'!$D$2,,,"m",'PBA Summary'!$F$2,'PBA Summary'!$G$2))</f>
        <v/>
      </c>
      <c r="AL23" s="25" cm="1">
        <f t="array" ref="AL23">IF('PBA Summary'!$D$3="","",_xll.ASAssetStatistic($A23,"Beta to Benchmark 1",'PBA Summary'!$D$3,,,"m",'PBA Summary'!$F$2,'PBA Summary'!$G$2))</f>
        <v>1.557449319082203E-2</v>
      </c>
      <c r="AM23" s="25" t="str" cm="1">
        <f t="array" ref="AM23">IF('PBA Summary'!$D$3="","",_xll.ASAssetStatistic($A23,"Beta to Benchmark 1 Last 3 years",'PBA Summary'!$D$3,,,"m",'PBA Summary'!$F$2,'PBA Summary'!$G$2))</f>
        <v/>
      </c>
      <c r="AN23" s="25" t="str" cm="1">
        <f t="array" ref="AN23">IF('PBA Summary'!$D$3="","",_xll.ASAssetStatistic($A23,"Beta to Benchmark 1 Last 5 years",'PBA Summary'!$D$3,,,"m",'PBA Summary'!$F$2,'PBA Summary'!$G$2))</f>
        <v/>
      </c>
      <c r="AO23" s="25" cm="1">
        <f t="array" ref="AO23">IF('PBA Summary'!$D$2="","",_xll.ASAssetStatistic($A23,"Bull Beta to Benchmark 1",'PBA Summary'!$D$2,,,"m",'PBA Summary'!$F$2,'PBA Summary'!$G$2))</f>
        <v>-0.24658671377995803</v>
      </c>
      <c r="AP23" s="25" cm="1">
        <f t="array" ref="AP23">IF('PBA Summary'!$D$2="","",_xll.ASAssetStatistic($A23,"Bear Beta to Benchmark 1",'PBA Summary'!$D$2,,,"m",'PBA Summary'!$F$2,'PBA Summary'!$G$2))</f>
        <v>0.17795328601878141</v>
      </c>
      <c r="AQ23" s="25" cm="1">
        <f t="array" ref="AQ23">IF('PBA Summary'!$D$3="","",_xll.ASAssetStatistic($A23,"Bull Beta to Benchmark 1",'PBA Summary'!$D$3,,,"m",'PBA Summary'!$F$2,'PBA Summary'!$G$2))</f>
        <v>-0.24658671377995803</v>
      </c>
      <c r="AR23" s="25" cm="1">
        <f t="array" ref="AR23">IF('PBA Summary'!$D$3="","",_xll.ASAssetStatistic($A23,"Bear Beta to Benchmark 1",'PBA Summary'!$D$3,,,"m",'PBA Summary'!$F$2,'PBA Summary'!$G$2))</f>
        <v>0.17795328601878141</v>
      </c>
      <c r="AS23" s="25" cm="1">
        <f t="array" ref="AS23">_xll.ASAssetStatistic($A23,"Annual Sharpe Ratio (Rf)",,,'PBA Summary'!$H$2,"m",'PBA Summary'!$F$2,'PBA Summary'!$G$2)</f>
        <v>1.1777981300041149</v>
      </c>
      <c r="AT23" s="25" t="str" cm="1">
        <f t="array" ref="AT23">_xll.ASAssetStatistic($A23,"Annual Sharpe Ratio (Rf) Last 3 years",,,'PBA Summary'!$H$2,"m",'PBA Summary'!$F$2,'PBA Summary'!$G$2)</f>
        <v/>
      </c>
      <c r="AU23" s="25" t="str" cm="1">
        <f t="array" ref="AU23">_xll.ASAssetStatistic($A23,"Annual Sharpe Ratio (Rf) Last 5 years",,,'PBA Summary'!$H$2,"m",'PBA Summary'!$F$2,'PBA Summary'!$G$2)</f>
        <v/>
      </c>
      <c r="AV23" s="18" cm="1">
        <f t="array" ref="AV23">_xll.ASAssetStatistic($A23,"Ann. Downside Deviation (vs 0%)",,,'PBA Summary'!$H$2,"m",'PBA Summary'!$F$2,'PBA Summary'!$G$2)</f>
        <v>2.7211143050121751E-2</v>
      </c>
      <c r="AW23" s="18" cm="1">
        <f t="array" ref="AW23">_xll.ASAssetStatistic($A23,"Ann. Downside Deviation (vs Rf)",,,'PBA Summary'!$H$2,"m",'PBA Summary'!$F$2,'PBA Summary'!$G$2)</f>
        <v>2.7576283252007689E-2</v>
      </c>
      <c r="AX23" s="39" cm="1">
        <f t="array" ref="AX23">_xll.ASAssetStatistic($A23,"Annual Treynor ratio",,,'PBA Summary'!$H$2,"m",'PBA Summary'!$F$2,'PBA Summary'!$G$2)</f>
        <v>1.2197625619600392</v>
      </c>
      <c r="AY23" s="26" cm="1">
        <f t="array" ref="AY23">_xll.ASAssetStatistic($A23,"Annual Sortino Ratio (vs 0%)",,,'PBA Summary'!$H$2,"m",'PBA Summary'!$F$2,'PBA Summary'!$G$2)</f>
        <v>2.3299615732399697</v>
      </c>
      <c r="AZ23" s="26" cm="1">
        <f t="array" ref="AZ23">_xll.ASAssetStatistic($A23,"Annual Sortino Ratio (vs Rf)",,,'PBA Summary'!$H$2,"m",'PBA Summary'!$F$2,'PBA Summary'!$G$2)</f>
        <v>2.2084527169297061</v>
      </c>
      <c r="BA23" s="26" cm="1">
        <f t="array" ref="BA23">_xll.ASAssetStatistic($A23,"Sterling ratio",,,'PBA Summary'!$H$2,"m",'PBA Summary'!$F$2,'PBA Summary'!$G$2)</f>
        <v>0.40797534282656955</v>
      </c>
      <c r="BB23" s="26" cm="1">
        <f t="array" ref="BB23">_xll.ASAssetStatistic($A23,"Calmar ratio",,,'PBA Summary'!$H$2,"m",'PBA Summary'!$F$2,'PBA Summary'!$G$2)</f>
        <v>1.1443424498958552</v>
      </c>
      <c r="BC23" s="26" cm="1">
        <f t="array" ref="BC23">_xll.ASAssetStatistic($A23,"Hurst index",,,'PBA Summary'!$H$2,"m",'PBA Summary'!$F$2,'PBA Summary'!$G$2)</f>
        <v>0.60819753232235541</v>
      </c>
      <c r="BD23" s="26" cm="1">
        <f t="array" ref="BD23">_xll.ASAssetStatistic($A23,"Omega (Threshold 1)",,,'PBA Summary'!$H$2,"m",'PBA Summary'!$F$2,'PBA Summary'!$G$2)</f>
        <v>2.3194797120450072</v>
      </c>
      <c r="BE23" s="26" cm="1">
        <f t="array" ref="BE23">_xll.ASAssetStatistic($A23,"Omega (Threshold 2)",,,'PBA Summary'!$H$2,"m",'PBA Summary'!$F$2,'PBA Summary'!$G$2)</f>
        <v>1.0411299312687359</v>
      </c>
      <c r="BF23" s="26" cm="1">
        <f t="array" ref="BF23">_xll.ASAssetStatistic($A23,"Omega (Threshold 3)",,,'PBA Summary'!$H$2,"m",'PBA Summary'!$F$2,'PBA Summary'!$G$2)</f>
        <v>0.45393168471126205</v>
      </c>
      <c r="BG23" s="26" cm="1">
        <f t="array" ref="BG23">_xll.ASAssetStatistic($A23,"Omega (Threshold 4)",,,'PBA Summary'!$H$2,"m",'PBA Summary'!$F$2,'PBA Summary'!$G$2)</f>
        <v>0.18830082862013647</v>
      </c>
      <c r="BH23" s="26" cm="1">
        <f t="array" ref="BH23">_xll.ASAssetStatistic($A23,"Omega (Threshold 5)",,,'PBA Summary'!$H$2,"m",'PBA Summary'!$F$2,'PBA Summary'!$G$2)</f>
        <v>4.0923095811437257E-2</v>
      </c>
      <c r="BI23" s="26" t="str" cm="1">
        <f t="array" ref="BI23">_xll.ASAssetStatistic($A23,"Autocorrelated (illiquid)",,,'PBA Summary'!$H$2,"m",'PBA Summary'!$F$2,'PBA Summary'!$G$2)</f>
        <v>No</v>
      </c>
      <c r="BJ23" s="27" cm="1">
        <f t="array" ref="BJ23">_xll.ASAssetStatistic($A23,"% months in Run Up",,,'PBA Summary'!$H$2,"m",'PBA Summary'!$F$2,'PBA Summary'!$G$2)</f>
        <v>0.66666666666666674</v>
      </c>
      <c r="BK23" s="27" cm="1">
        <f t="array" ref="BK23">_xll.ASAssetStatistic($A23,"% months in Drawdown",,,'PBA Summary'!$H$2,"m",'PBA Summary'!$F$2,'PBA Summary'!$G$2)</f>
        <v>0.33333333333333331</v>
      </c>
      <c r="BL23" s="18" cm="1">
        <f t="array" ref="BL23">IF('PBA Summary'!$D$2="","",_xll.ASAssetStatistic($A23,"Bull Beta to Benchmark 1",'PBA Summary'!$D$2,,,"m",'PBA Summary'!$F$2,'PBA Summary'!$G$2))</f>
        <v>-0.24658671377995803</v>
      </c>
      <c r="BM23" s="18" cm="1">
        <f t="array" ref="BM23">IF('PBA Summary'!$D$2="","",_xll.ASAssetStatistic($A23,"Average return during bear Benchmark 1",'PBA Summary'!$D$2,,,"m",'PBA Summary'!$F$2,'PBA Summary'!$G$2))</f>
        <v>3.1217937420450247E-3</v>
      </c>
      <c r="BN23" s="18" cm="1">
        <f t="array" ref="BN23">IF('PBA Summary'!$D$3="","",_xll.ASAssetStatistic($A23,"Average return during bull Benchmark 1",'PBA Summary'!$D$3,,,"m",'PBA Summary'!$F$2,'PBA Summary'!$G$2))</f>
        <v>6.0096379391365133E-3</v>
      </c>
      <c r="BO23" s="18" cm="1">
        <f t="array" ref="BO23">IF('PBA Summary'!$D$3="","",_xll.ASAssetStatistic($A23,"Average return during bear Benchmark 1",'PBA Summary'!$D$3,,,"m",'PBA Summary'!$F$2,'PBA Summary'!$G$2))</f>
        <v>3.1217937420450247E-3</v>
      </c>
      <c r="BP23" s="27" cm="1">
        <f t="array" ref="BP23">_xll.ASAssetStatistic($A23,"Maximum consecutive gain",,,'PBA Summary'!$H$2,"m",'PBA Summary'!$F$2,'PBA Summary'!$G$2)</f>
        <v>9.3043239291328073E-2</v>
      </c>
      <c r="BQ23" s="27" cm="1">
        <f t="array" ref="BQ23">_xll.ASAssetStatistic($A23,"Maximum consecutive loss",,,'PBA Summary'!$H$2,"m",'PBA Summary'!$F$2,'PBA Summary'!$G$2)</f>
        <v>-5.5403797767433538E-2</v>
      </c>
      <c r="BR23" s="27" cm="1">
        <f t="array" ref="BR23">_xll.ASAssetStatistic($A23,"Max monthly gain",,,'PBA Summary'!$H$2,"m",'PBA Summary'!$F$2,'PBA Summary'!$G$2)</f>
        <v>2.6000000000000002E-2</v>
      </c>
      <c r="BS23" s="27" cm="1">
        <f t="array" ref="BS23">_xll.ASAssetStatistic($A23,"Max monthly loss",,,'PBA Summary'!$H$2,"m",'PBA Summary'!$F$2,'PBA Summary'!$G$2)</f>
        <v>-2.0756732112779619E-2</v>
      </c>
      <c r="BT23" s="27" cm="1">
        <f t="array" ref="BT23">_xll.ASAssetStatistic($A23,"Max drawdown",,,'PBA Summary'!$H$2,"m",'PBA Summary'!$F$2,'PBA Summary'!$G$2)</f>
        <v>-5.5403797767433649E-2</v>
      </c>
      <c r="BU23" s="28" cm="1">
        <f t="array" ref="BU23">_xll.ASAssetStatistic($A23,"Date Max drawdown",,,'PBA Summary'!$H$2,"m",'PBA Summary'!$F$2,'PBA Summary'!$G$2)</f>
        <v>43677</v>
      </c>
      <c r="BV23" s="28" cm="1">
        <f t="array" ref="BV23">_xll.ASAssetStatistic($A23,"Start Date Max Drawdown",,,'PBA Summary'!$H$2,"m",'PBA Summary'!$F$2,'PBA Summary'!$G$2)</f>
        <v>43585</v>
      </c>
      <c r="BW23" s="28" cm="1">
        <f t="array" ref="BW23">_xll.ASAssetStatistic($A23,"End Date Max Drawdown",,,'PBA Summary'!$H$2,"m",'PBA Summary'!$F$2,'PBA Summary'!$G$2)</f>
        <v>43769</v>
      </c>
      <c r="BX23" s="29" cm="1">
        <f t="array" ref="BX23">_xll.ASAssetStatistic($A23,"Max Time-under-water (months)",,,'PBA Summary'!$H$2,"m",'PBA Summary'!$F$2,'PBA Summary'!$G$2)</f>
        <v>7</v>
      </c>
      <c r="BY23" s="27" cm="1">
        <f t="array" ref="BY23">_xll.ASAssetStatistic($A23,"Max possible drawdown 99%",,,'PBA Summary'!$H$2,"m",'PBA Summary'!$F$2,'PBA Summary'!$G$2)</f>
        <v>-5.753344257145878E-2</v>
      </c>
      <c r="BZ23" s="27" cm="1">
        <f t="array" ref="BZ23">_xll.ASAssetStatistic($A23,"Max possible drawdown 99.9%",,,'PBA Summary'!$H$2,"m",'PBA Summary'!$F$2,'PBA Summary'!$G$2)</f>
        <v>-0.10152039570051226</v>
      </c>
      <c r="CA23" s="30" cm="1">
        <f t="array" ref="CA23">_xll.ASAssetStatistic($A23,"Max Possible Time-under-water 99% (months)",,,'PBA Summary'!$H$2,"m",'PBA Summary'!$F$2,'PBA Summary'!$G$2)</f>
        <v>43.922462662779871</v>
      </c>
      <c r="CB23" s="30" cm="1">
        <f t="array" ref="CB23">_xll.ASAssetStatistic($A23,"Max Possible Time-under-water 99.9% (months)",,,'PBA Summary'!$H$2,"m",'PBA Summary'!$F$2,'PBA Summary'!$G$2)</f>
        <v>77.50319797269394</v>
      </c>
      <c r="CC23" s="17" cm="1">
        <f t="array" ref="CC23">_xll.ASPortfolioReturnAttribution('PBA Summary'!$C$2,"OR",A23,"Last 1m",'PBA Summary'!$F$2,'PBA Summary'!$G$2)</f>
        <v>0</v>
      </c>
      <c r="CD23" s="11" t="str" cm="1">
        <f t="array" ref="CD23">_xll.ASAssetInfo($A23,"Strategy")</f>
        <v>Funds - Equities Long/Short</v>
      </c>
      <c r="CE23" s="14" cm="1">
        <f t="array" ref="CE23">_xll.ASAssetInfo($A23,"Start Date")</f>
        <v>41274</v>
      </c>
      <c r="CF23" s="14" t="str" cm="1">
        <f t="array" ref="CF23">_xll.ASAssetRatings($A23,"Quantitative",0,0,0,0,0,'PBA Summary'!$F$2,'PBA Summary'!$G$2)</f>
        <v/>
      </c>
      <c r="CG23" s="14" t="str" cm="1">
        <f t="array" ref="CG23">_xll.ASAssetRatings($A23,"Qualitative",0,0,0,0,0,'PBA Summary'!$F$2,'PBA Summary'!$G$2)</f>
        <v/>
      </c>
      <c r="CH23" s="14" t="str" cm="1">
        <f t="array" ref="CH23">_xll.ASAssetRatings($A23,"Final",0,0,0,0,0,'PBA Summary'!$F$2,'PBA Summary'!$G$2)</f>
        <v/>
      </c>
      <c r="CI23" s="14" cm="1">
        <f t="array" ref="CI23">_xll.ASAssetInfo($A23,"Last Return Date")</f>
        <v>44135</v>
      </c>
      <c r="CJ23" s="14" t="str" cm="1">
        <f t="array" ref="CJ23">_xll.ASAssetInfo($A23,"Company Name")</f>
        <v>FengHe Aisa</v>
      </c>
      <c r="CK23" s="14" t="str" cm="1">
        <f t="array" ref="CK23">_xll.ASAssetInfo($A23,"Manager Name")</f>
        <v/>
      </c>
      <c r="CL23" s="14" t="str" cm="1">
        <f t="array" ref="CL23">_xll.ASAssetInfo($A23,"Address")</f>
        <v/>
      </c>
      <c r="CM23" s="14" t="str" cm="1">
        <f t="array" ref="CM23">_xll.ASAssetInfo($A23,"Phone Number")</f>
        <v/>
      </c>
      <c r="CN23" s="14" t="str" cm="1">
        <f t="array" ref="CN23">_xll.ASAssetInfo($A23,"Email")</f>
        <v/>
      </c>
      <c r="CO23" s="14" t="str" cm="1">
        <f t="array" ref="CO23">_xll.ASAssetInfo($A23,"Asset Type")</f>
        <v>Equities</v>
      </c>
      <c r="CP23" s="14" t="str" cm="1">
        <f t="array" ref="CP23">_xll.ASAssetInfo($A23,"Proprietary ID")</f>
        <v/>
      </c>
      <c r="CQ23" s="14" t="str" cm="1">
        <f t="array" ref="CQ23">_xll.ASAssetInfo($A23,"Country")</f>
        <v>[Not Classified]</v>
      </c>
      <c r="CR23" s="14" t="str" cm="1">
        <f t="array" ref="CR23">_xll.ASAssetInfo($A23,"Currency")</f>
        <v>USD</v>
      </c>
      <c r="CS23" s="14" t="str" cm="1">
        <f t="array" ref="CS23">_xll.ASAssetInfo($A23,"Sub-Strategy")</f>
        <v>China Region,Taiwan,Tech Supply Chain</v>
      </c>
      <c r="CT23" s="31" cm="1">
        <f t="array" ref="CT23">_xll.ASAssetInfo($A23,"Fund AUM (m)")</f>
        <v>972.6</v>
      </c>
      <c r="CU23" s="31" t="str" cm="1">
        <f t="array" ref="CU23">_xll.ASAssetInfo($A23,"Status")</f>
        <v>Open</v>
      </c>
      <c r="CV23" s="31" t="str" cm="1">
        <f t="array" ref="CV23">_xll.ASAssetInfo($A23,"Redemption 1 Frequency")</f>
        <v>Monthly</v>
      </c>
      <c r="CW23" s="31" t="str" cm="1">
        <f t="array" ref="CW23">_xll.ASAssetInfo($A23,"Redemption 2 Frequency")</f>
        <v>Unknown</v>
      </c>
      <c r="CX23" s="31" t="str" cm="1">
        <f t="array" ref="CX23">_xll.ASAssetInfo($A23,"Redemption 3 Frequency")</f>
        <v>Unknown</v>
      </c>
      <c r="CY23" s="31" t="str" cm="1">
        <f t="array" ref="CY23">_xll.ASAssetInfo($A23,"Notice Period")</f>
        <v>30 Days</v>
      </c>
      <c r="CZ23" s="15" cm="1">
        <f t="array" ref="CZ23">_xll.ASAssetInfo($A23,"Performance Fee")</f>
        <v>0.17499999999999999</v>
      </c>
      <c r="DA23" s="15" cm="1">
        <f t="array" ref="DA23">_xll.ASAssetInfo($A23,"Management Fee")</f>
        <v>1.4999999999999999E-2</v>
      </c>
      <c r="DB23" s="15" t="str" cm="1">
        <f t="array" ref="DB23">_xll.ASAssetInfo($A23,"ISIN")</f>
        <v>KYG3365C1252</v>
      </c>
      <c r="DC23" s="16" cm="1">
        <f t="array" ref="DC23">_xll.ASAssetStatistic($A23,"Return during " &amp;YEAR(EOMONTH('PBA Summary'!$G$2,-60)),,,,"M",DATE(YEAR(EOMONTH('PBA Summary'!$G$2,-60)),1,31),DATE(YEAR(EOMONTH('PBA Summary'!$G$2,-60)),12,31))</f>
        <v>0.23882155674530781</v>
      </c>
      <c r="DD23" s="16" cm="1">
        <f t="array" ref="DD23">_xll.ASAssetStatistic($A23,"Return during " &amp;YEAR(EOMONTH('PBA Summary'!$G$2,-48)),,,,"M",DATE(YEAR(EOMONTH('PBA Summary'!$G$2,-48)),1,31),DATE(YEAR(EOMONTH('PBA Summary'!$G$2,-48)),12,31))</f>
        <v>3.1641436628082609E-3</v>
      </c>
      <c r="DE23" s="16" cm="1">
        <f t="array" ref="DE23">_xll.ASAssetStatistic($A23,"Return during " &amp;YEAR(EOMONTH('PBA Summary'!$G$2,-36)),,,,"M",DATE(YEAR(EOMONTH('PBA Summary'!$G$2,-36)),1,31),DATE(YEAR(EOMONTH('PBA Summary'!$G$2,-36)),12,31))</f>
        <v>0.24750418681169162</v>
      </c>
      <c r="DF23" s="16" cm="1">
        <f t="array" ref="DF23">_xll.ASAssetStatistic($A23,"Return during " &amp;YEAR(EOMONTH('PBA Summary'!$G$2,-24)),,,,"M",DATE(YEAR(EOMONTH('PBA Summary'!$G$2,-24)),1,31),DATE(YEAR(EOMONTH('PBA Summary'!$G$2,-24)),12,31))</f>
        <v>0.10382482555133299</v>
      </c>
      <c r="DG23" s="16" cm="1">
        <f t="array" ref="DG23">_xll.ASAssetStatistic($A23,"Return during " &amp;YEAR(EOMONTH('PBA Summary'!$G$2,-12)),,,,"M",DATE(YEAR(EOMONTH('PBA Summary'!$G$2,-12)),1,31),DATE(YEAR(EOMONTH('PBA Summary'!$G$2,-12)),12,31))</f>
        <v>6.48974666608928E-2</v>
      </c>
      <c r="DH23" s="11" t="str" cm="1">
        <f t="array" ref="DH23">_xll.ASAssetInfo($A23,"Prime Broker")</f>
        <v/>
      </c>
      <c r="DI23" s="16" cm="1">
        <f t="array" ref="DI23">_xll.ASAssetStatistic($A23,"Return",,,,"m",'PBA Summary'!$F$2,'PBA Summary'!$G$2)</f>
        <v>7.9869533267206583E-2</v>
      </c>
      <c r="DJ23" s="33" cm="1">
        <f t="array" ref="DJ23">IF('PBA Summary'!$D$2="","",_xll.ASAssetStatistic($A23,"Ann. Information Ratio vs Benchmark 1",'PBA Summary'!$D$2,,,"m",'PBA Summary'!$F$2,'PBA Summary'!$G$2))</f>
        <v>-0.68190799721967665</v>
      </c>
      <c r="DK23" s="33" cm="1">
        <f t="array" ref="DK23">IF('PBA Summary'!$D$3="","",_xll.ASAssetStatistic($A23,"Ann. Information Ratio vs Benchmark 1",'PBA Summary'!$D$3,,,"m",'PBA Summary'!$F$2,'PBA Summary'!$G$2))</f>
        <v>-0.68190799721967665</v>
      </c>
      <c r="DL23" s="33" cm="1">
        <f t="array" ref="DL23">IF('PBA Summary'!$D$2="","",_xll.ASAssetStatistic($A23,"Ann. Tracking Error vs Benchmark 1",'PBA Summary'!$D$2,,,"m",'PBA Summary'!$F$2,'PBA Summary'!$G$2))</f>
        <v>0.1597157050511345</v>
      </c>
      <c r="DM23" s="33" cm="1">
        <f t="array" ref="DM23">IF('PBA Summary'!$D$3="","",_xll.ASAssetStatistic($A23,"Ann. Tracking Error vs Benchmark 1",'PBA Summary'!$D$3,,,"m",'PBA Summary'!$F$2,'PBA Summary'!$G$2))</f>
        <v>0.1597157050511345</v>
      </c>
      <c r="DN23" s="33" cm="1">
        <f t="array" ref="DN23">IF('PBA Summary'!$D$2="","",_xll.ASAssetStatistic($A23,"R² vs Benchmark 1",'PBA Summary'!$D$2,,,"m",'PBA Summary'!$F$2,'PBA Summary'!$G$2))</f>
        <v>2.1383285226537286E-3</v>
      </c>
      <c r="DO23" s="33" cm="1">
        <f t="array" ref="DO23">IF('PBA Summary'!$D$3="","",_xll.ASAssetStatistic($A23,"R² vs Benchmark 1",'PBA Summary'!$D$3,,,"m",'PBA Summary'!$F$2,'PBA Summary'!$G$2))</f>
        <v>2.1383285226537286E-3</v>
      </c>
      <c r="DP23" s="11" t="str" cm="1">
        <f t="array" ref="DP23">_xll.ASAssetInfo($A23,"On-/Offshore")</f>
        <v>Unknown</v>
      </c>
      <c r="DQ23" s="16" cm="1">
        <f t="array" ref="DQ23">_xll.ASAssetStatistic($A23,"Quarter-to-date",,,,"m",'PBA Summary'!$F$2,'PBA Summary'!$G$2)</f>
        <v>5.2000000000000934E-3</v>
      </c>
      <c r="DR23" s="16" cm="1">
        <f t="array" ref="DR23">_xll.ASAssetStatistic($A23,"Annualized Return Since inception",,,,"m",'PBA Summary'!$F$2,'PBA Summary'!$G$2)</f>
        <v>0.13216170506460356</v>
      </c>
      <c r="DS23" s="16" cm="1">
        <f t="array" ref="DS23">IF('PBA Summary'!$D$2="","",_xll.ASAssetStatistic($A23,"Ann. Bear Market Return vs Benchmark 1",'PBA Summary'!$D$2,,,"m",'PBA Summary'!$F$2,'PBA Summary'!$G$2))</f>
        <v>3.6667994749037591E-2</v>
      </c>
      <c r="DT23" s="16" cm="1">
        <f t="array" ref="DT23">IF('PBA Summary'!$D$2="","",_xll.ASAssetStatistic($A23,"Ann. Bull Market Return vs Benchmark 1",'PBA Summary'!$D$2,,,"m",'PBA Summary'!$F$2,'PBA Summary'!$G$2))</f>
        <v>7.3291973855669879E-2</v>
      </c>
      <c r="DU23" s="16" cm="1">
        <f t="array" ref="DU23">IF('PBA Summary'!$D$3="","",_xll.ASAssetStatistic($A23,"Ann. Bear Market Return vs Benchmark 1",'PBA Summary'!$D$3,,,"m",'PBA Summary'!$F$2,'PBA Summary'!$G$2))</f>
        <v>3.6667994749037591E-2</v>
      </c>
      <c r="DV23" s="16" cm="1">
        <f t="array" ref="DV23">IF('PBA Summary'!$D$3="","",_xll.ASAssetStatistic($A23,"Ann. Bull Market Return vs Benchmark 1",'PBA Summary'!$D$3,,,"m",'PBA Summary'!$F$2,'PBA Summary'!$G$2))</f>
        <v>7.3291973855669879E-2</v>
      </c>
      <c r="DW23" s="17" cm="1">
        <f t="array" ref="DW23">_xll.ASAssetStatistic($A23,"Average Positive Return",,,,"m",'PBA Summary'!$F$2,'PBA Summary'!$G$2)</f>
        <v>1.3815696700566335E-2</v>
      </c>
      <c r="DX23" s="17" cm="1">
        <f t="array" ref="DX23">_xll.ASAssetStatistic($A23,"Average Negative Return",,,,"m",'PBA Summary'!$F$2,'PBA Summary'!$G$2)</f>
        <v>-1.191275494139632E-2</v>
      </c>
      <c r="DY23" s="16" cm="1">
        <f t="array" ref="DY23">IF('PBA Summary'!$D$2="","",_xll.ASAssetStatistic($A23,"Outperformance vs Benchmark 1",'PBA Summary'!$D$2,,,"m",'PBA Summary'!$F$2,'PBA Summary'!$G$2))</f>
        <v>-0.13997411154151207</v>
      </c>
      <c r="DZ23" s="16" cm="1">
        <f t="array" ref="DZ23">IF('PBA Summary'!$D$3="","",_xll.ASAssetStatistic($A23,"Outperformance vs Benchmark 1",'PBA Summary'!$D$3,,,"m",'PBA Summary'!$F$2,'PBA Summary'!$G$2))</f>
        <v>-0.13997411154151207</v>
      </c>
      <c r="EA23" s="16" cm="1">
        <f t="array" ref="EA23">IF('PBA Summary'!$D$2="","",_xll.ASAssetStatistic($A23,"Annual Outperformance vs Benchmark 1",'PBA Summary'!$D$2,,,"m",'PBA Summary'!$F$2,'PBA Summary'!$G$2))</f>
        <v>-0.10891141655594772</v>
      </c>
      <c r="EB23" s="16" cm="1">
        <f t="array" ref="EB23">IF('PBA Summary'!$D$3="","",_xll.ASAssetStatistic($A23,"Annual Outperformance vs Benchmark 1",'PBA Summary'!$D$3,,,"m",'PBA Summary'!$F$2,'PBA Summary'!$G$2))</f>
        <v>-0.10891141655594772</v>
      </c>
      <c r="EC23" s="32" cm="1">
        <f t="array" ref="EC23">_xll.ASAssetStatistic($A23,"Rachev Ratio 99%",,,,"m",'PBA Summary'!$F$2,'PBA Summary'!$G$2)</f>
        <v>-1.2526056538539696</v>
      </c>
      <c r="ED23" s="32" cm="1">
        <f t="array" ref="ED23">_xll.ASAssetStatistic($A23,"Rachev Ratio 97%",,,,"m",'PBA Summary'!$F$2,'PBA Summary'!$G$2)</f>
        <v>-1.2526056538539696</v>
      </c>
      <c r="EE23" s="32" cm="1">
        <f t="array" ref="EE23">_xll.ASAssetStatistic($A23,"Rachev Ratio 95%",,,,"m",'PBA Summary'!$F$2,'PBA Summary'!$G$2)</f>
        <v>-1.2526056538539696</v>
      </c>
      <c r="EF23" s="32" cm="1">
        <f t="array" ref="EF23">_xll.ASAssetStatistic($A23,"Rachev Ratio 90%",,,,"m",'PBA Summary'!$F$2,'PBA Summary'!$G$2)</f>
        <v>-1.2310229407727167</v>
      </c>
      <c r="EG23" s="34" cm="1">
        <f t="array" ref="EG23">IF('PBA Summary'!$D$2="","",_xll.ASAssetStatistic($A23,"Annual Up Capture vs Benchmark 1",'PBA Summary'!$D$2,,,"m",'PBA Summary'!$F$2,'PBA Summary'!$G$2))</f>
        <v>0.14478631939470593</v>
      </c>
      <c r="EH23" s="34" cm="1">
        <f t="array" ref="EH23">IF('PBA Summary'!$D$3="","",_xll.ASAssetStatistic($A23,"Annual Up Capture vs Benchmark 1",'PBA Summary'!$D$3,,,"m",'PBA Summary'!$F$2,'PBA Summary'!$G$2))</f>
        <v>0.14478631939470593</v>
      </c>
      <c r="EI23" s="34" cm="1">
        <f t="array" ref="EI23">IF('PBA Summary'!$D$2="","",_xll.ASAssetStatistic($A23,"Annual Down Capture vs Benchmark 1",'PBA Summary'!$D$2,,,"m",'PBA Summary'!$F$2,'PBA Summary'!$G$2))</f>
        <v>-8.9103002296859093E-2</v>
      </c>
      <c r="EJ23" s="34" cm="1">
        <f t="array" ref="EJ23">IF('PBA Summary'!$D$3="","",_xll.ASAssetStatistic($A23,"Annual Down Capture vs Benchmark 1",'PBA Summary'!$D$3,,,"m",'PBA Summary'!$F$2,'PBA Summary'!$G$2))</f>
        <v>-8.9103002296859093E-2</v>
      </c>
      <c r="EK23" s="16" cm="1">
        <f t="array" ref="EK23">IF('PBA Summary'!$D$2="","",_xll.ASAssetStatistic($A23,"Ann. Tracking Error vs Benchmark 1",'PBA Summary'!$D$2,,,"m",'PBA Summary'!$F$2,'PBA Summary'!$G$2))</f>
        <v>0.1597157050511345</v>
      </c>
      <c r="EL23" s="16" cm="1">
        <f t="array" ref="EL23">IF('PBA Summary'!$D$3="","",_xll.ASAssetStatistic($A23,"Ann. Tracking Error vs Benchmark 1",'PBA Summary'!$D$3,,,"m",'PBA Summary'!$F$2,'PBA Summary'!$G$2))</f>
        <v>0.1597157050511345</v>
      </c>
      <c r="EM23" s="16" cm="1">
        <f t="array" ref="EM23">IF('PBA Summary'!$D$2="","",_xll.ASAssetStatistic($A23,"Annual Jensen Alpha vs Benchmark 1 (Rf)",'PBA Summary'!$D$2,,,"m",'PBA Summary'!$F$2,'PBA Summary'!$G$2))</f>
        <v>5.825617662758871E-2</v>
      </c>
      <c r="EN23" s="16" cm="1">
        <f t="array" ref="EN23">IF('PBA Summary'!$D$3="","",_xll.ASAssetStatistic($A23,"Annual Jensen Alpha vs Benchmark 1 (Rf)",'PBA Summary'!$D$3,,,"m",'PBA Summary'!$F$2,'PBA Summary'!$G$2))</f>
        <v>5.825617662758871E-2</v>
      </c>
      <c r="EO23" s="33" cm="1">
        <f t="array" ref="EO23">IF('PBA Summary'!$D$2="","",_xll.ASAssetStatistic($A23,"Ann. Information Ratio vs Benchmark 1",'PBA Summary'!$D$2,,,"m",'PBA Summary'!$F$2,'PBA Summary'!$G$2))</f>
        <v>-0.68190799721967665</v>
      </c>
      <c r="EP23" s="33" cm="1">
        <f t="array" ref="EP23">IF('PBA Summary'!$D$3="","",_xll.ASAssetStatistic($A23,"Ann. Information Ratio vs Benchmark 1",'PBA Summary'!$D$3,,,"m",'PBA Summary'!$F$2,'PBA Summary'!$G$2))</f>
        <v>-0.68190799721967665</v>
      </c>
      <c r="EQ23" s="17" cm="1">
        <f t="array" ref="EQ23">IF('PBA Summary'!$D$2="","",_xll.ASAssetStatistic($A23,"Alpha Monthly vs Benchmark 1",'PBA Summary'!$D$2,,,"m",'PBA Summary'!$F$2,'PBA Summary'!$G$2))</f>
        <v>5.0173374312677821E-3</v>
      </c>
      <c r="ER23" s="17" cm="1">
        <f t="array" ref="ER23">IF('PBA Summary'!$D$3="","",_xll.ASAssetStatistic($A23,"Alpha Monthly vs Benchmark 1",'PBA Summary'!$D$3,,,"m",'PBA Summary'!$F$2,'PBA Summary'!$G$2))</f>
        <v>5.0173374312677821E-3</v>
      </c>
      <c r="ES23" s="11" t="str" cm="1">
        <f t="array" ref="ES23">_xll.ASAssetInfo($A23,"Company AUM (m)")</f>
        <v/>
      </c>
      <c r="ET23" s="16" cm="1">
        <f t="array" ref="ET23">_xll.ASAssetStatistic($A23,"Exponential Annualized Volatility",,,,"m",'PBA Summary'!$F$2,'PBA Summary'!$G$2)</f>
        <v>5.1446941615857396E-2</v>
      </c>
      <c r="EU23" s="16" cm="1">
        <f t="array" ref="EU23">_xll.ASAssetStatistic($A23,"Exponential Annualized Volatility Last 1 year",,,,"m",'PBA Summary'!$F$2,'PBA Summary'!$G$2)</f>
        <v>5.3868353376909664E-2</v>
      </c>
      <c r="EV23" s="16" t="str" cm="1">
        <f t="array" ref="EV23">_xll.ASAssetStatistic($A23,"Exponential Annualized Volatility Last 3 years",,,,"m",'PBA Summary'!$F$2,'PBA Summary'!$G$2)</f>
        <v/>
      </c>
      <c r="EW23" s="34" cm="1">
        <f t="array" ref="EW23">IF('PBA Summary'!$D$2="","",_xll.ASAssetStatistic($A23,"Exponential Correlation to Benchmark 1",'PBA Summary'!$D$2,,,"m",'PBA Summary'!$F$2,'PBA Summary'!$G$2))</f>
        <v>9.9151193669895096E-2</v>
      </c>
      <c r="EX23" s="34" cm="1">
        <f t="array" ref="EX23">IF('PBA Summary'!$D$3="","",_xll.ASAssetStatistic($A23,"Exponential Correlation to Benchmark 1",'PBA Summary'!$D$3,,,"m",'PBA Summary'!$F$2,'PBA Summary'!$G$2))</f>
        <v>9.9151193669895096E-2</v>
      </c>
      <c r="EY23" s="34" cm="1">
        <f t="array" ref="EY23">_xll.ASAssetStatistic($A23,"Exponential Annual Sharpe Ratio (Rf)",,,,"m",'PBA Summary'!$F$2,'PBA Summary'!$G$2)</f>
        <v>1.7555620466918029</v>
      </c>
      <c r="EZ23" s="34" cm="1">
        <f t="array" ref="EZ23">_xll.ASAssetStatistic($A23,"Exponential Normal Monthly VaR 99%",,,,"m",'PBA Summary'!$F$2,'PBA Summary'!$G$2)</f>
        <v>-2.7125559926807531E-2</v>
      </c>
      <c r="FA23" s="34" cm="1">
        <f t="array" ref="FA23">_xll.ASAssetStatistic($A23,"Exponential Normal Monthly VaR 97%",,,,"m",'PBA Summary'!$F$2,'PBA Summary'!$G$2)</f>
        <v>-2.05084317791373E-2</v>
      </c>
      <c r="FB23" s="34" cm="1">
        <f t="array" ref="FB23">_xll.ASAssetStatistic($A23,"Exponential Normal Monthly VaR 95%",,,,"m",'PBA Summary'!$F$2,'PBA Summary'!$G$2)</f>
        <v>-1.7004380285789638E-2</v>
      </c>
      <c r="FC23" s="34" cm="1">
        <f t="array" ref="FC23">_xll.ASAssetStatistic($A23,"Exponential Normal Monthly VaR 90%",,,,"m",'PBA Summary'!$F$2,'PBA Summary'!$G$2)</f>
        <v>-1.1608816870316129E-2</v>
      </c>
      <c r="FD23" s="34" t="str" cm="1">
        <f t="array" ref="FD23">_xll.ASAssetStatistic($A23,"Exponential Normal weekly VaR 99%",,,,"m",'PBA Summary'!$F$2,'PBA Summary'!$G$2)</f>
        <v/>
      </c>
      <c r="FE23" s="34" t="str" cm="1">
        <f t="array" ref="FE23">_xll.ASAssetStatistic($A23,"Exponential Normal weekly VaR 97%",,,,"m",'PBA Summary'!$F$2,'PBA Summary'!$G$2)</f>
        <v/>
      </c>
      <c r="FF23" s="34" t="str" cm="1">
        <f t="array" ref="FF23">_xll.ASAssetStatistic($A23,"Exponential Normal weekly VaR 95%",,,,"m",'PBA Summary'!$F$2,'PBA Summary'!$G$2)</f>
        <v/>
      </c>
      <c r="FG23" s="34" t="str" cm="1">
        <f t="array" ref="FG23">_xll.ASAssetStatistic($A23,"Exponential Normal weekly VaR 90%",,,,"m",'PBA Summary'!$F$2,'PBA Summary'!$G$2)</f>
        <v/>
      </c>
      <c r="FH23" s="34" t="str" cm="1">
        <f t="array" ref="FH23">_xll.ASAssetStatistic($A23,"Exponential Normal daily VaR 99%",,,,"m",'PBA Summary'!$F$2,'PBA Summary'!$G$2)</f>
        <v/>
      </c>
      <c r="FI23" s="34" t="str" cm="1">
        <f t="array" ref="FI23">_xll.ASAssetStatistic($A23,"Exponential Normal daily VaR 97%",,,,"m",'PBA Summary'!$F$2,'PBA Summary'!$G$2)</f>
        <v/>
      </c>
      <c r="FJ23" s="34" t="str" cm="1">
        <f t="array" ref="FJ23">_xll.ASAssetStatistic($A23,"Exponential Normal daily VaR 95%",,,,"m",'PBA Summary'!$F$2,'PBA Summary'!$G$2)</f>
        <v/>
      </c>
      <c r="FK23" s="34" t="str" cm="1">
        <f t="array" ref="FK23">_xll.ASAssetStatistic($A23,"Exponential Normal daily VaR 90%",,,,"m",'PBA Summary'!$F$2,'PBA Summary'!$G$2)</f>
        <v/>
      </c>
      <c r="FL23" s="34" cm="1">
        <f t="array" ref="FL23">_xll.ASAssetStatistic($A23,"Bias Ratio",,,,"m",'PBA Summary'!$F$2,'PBA Summary'!$G$2)</f>
        <v>1.25</v>
      </c>
      <c r="FM23" s="11" t="str" cm="1">
        <f t="array" ref="FM23">_xll.ASAssetInfo($A23,"Manager's Biography")</f>
        <v/>
      </c>
      <c r="FN23" s="11" cm="1">
        <f t="array" ref="FN23">_xll.ASAssetInfo($A23,"Investment Min")</f>
        <v>200000</v>
      </c>
      <c r="FO23" s="11" t="str" cm="1">
        <f t="array" ref="FO23">_xll.ASAssetInfo($A23,"Auditor")</f>
        <v>KPMG</v>
      </c>
      <c r="FP23" s="11" t="str" cm="1">
        <f t="array" ref="FP23">_xll.ASAssetInfo($A23,"Custodian")</f>
        <v/>
      </c>
      <c r="FQ23" s="11" t="str" cm="1">
        <f t="array" ref="FQ23">_xll.ASAssetInfo($A23,"Administrator")</f>
        <v>Morgan Stanley</v>
      </c>
      <c r="FR23" s="14" t="str" cm="1">
        <f t="array" ref="FR23">_xll.ASAssetInfo($A23,"Proxy 1 Start Date")</f>
        <v/>
      </c>
      <c r="FS23" s="14" t="str" cm="1">
        <f t="array" ref="FS23">_xll.ASAssetInfo($A23,"Proxy 1 End Date")</f>
        <v/>
      </c>
      <c r="FT23" s="14" t="str" cm="1">
        <f t="array" ref="FT23">_xll.ASAssetInfo($A23,"Proxy 2 Start Date")</f>
        <v/>
      </c>
      <c r="FU23" s="14" t="str" cm="1">
        <f t="array" ref="FU23">_xll.ASAssetInfo($A23,"Proxy 2 End Date")</f>
        <v/>
      </c>
      <c r="FV23" s="14" t="str" cm="1">
        <f t="array" ref="FV23">_xll.ASAssetInfo($A23,"Proxy 3 Start Date")</f>
        <v/>
      </c>
      <c r="FW23" s="14" t="str" cm="1">
        <f t="array" ref="FW23">_xll.ASAssetInfo($A23,"Proxy 3 End Date")</f>
        <v/>
      </c>
      <c r="FX23" s="14" t="str" cm="1">
        <f t="array" ref="FX23">_xll.ASAssetInfo($A23,"Fund Domicile")</f>
        <v/>
      </c>
      <c r="FY23" s="14" t="str" cm="1">
        <f t="array" ref="FY23">_xll.ASAssetInfo($A23,"Fund Contact")</f>
        <v/>
      </c>
      <c r="FZ23" s="14" t="str" cm="1">
        <f t="array" ref="FZ23">_xll.ASAssetInfo($A23,"Fund Contact Email")</f>
        <v/>
      </c>
      <c r="GA23" s="14" t="str" cm="1">
        <f t="array" ref="GA23">_xll.ASAssetInfo($A23,"Fund Contact Number")</f>
        <v/>
      </c>
      <c r="GB23" s="14" t="str" cm="1">
        <f t="array" ref="GB23">_xll.ASAssetInfo($A23,"City")</f>
        <v/>
      </c>
      <c r="GC23" s="14" t="str" cm="1">
        <f t="array" ref="GC23">_xll.ASAssetInfo($A23,"Leverage")</f>
        <v/>
      </c>
      <c r="GD23" s="14" t="str" cm="1">
        <f t="array" ref="GD23">_xll.ASAssetInfo($A23,"Lockup 1 Duration")</f>
        <v>0 Months</v>
      </c>
      <c r="GE23" s="14" t="str" cm="1">
        <f t="array" ref="GE23">_xll.ASAssetInfo($A23,"Lockup 2 Duration")</f>
        <v>0 Months</v>
      </c>
      <c r="GF23" s="14" t="str" cm="1">
        <f t="array" ref="GF23">_xll.ASAssetInfo($A23,"Lockup 3 Duration")</f>
        <v>0 Months</v>
      </c>
      <c r="GG23" s="31" t="str" cm="1">
        <f t="array" ref="GG23">_xll.ASAssetInfo($A23,"Fund Level Gate")</f>
        <v/>
      </c>
      <c r="GH23" s="31" t="str" cm="1">
        <f t="array" ref="GH23">_xll.ASAssetInfo($A23,"Fund Level Gate Frequency")</f>
        <v>Unknown</v>
      </c>
      <c r="GI23" s="35" cm="1">
        <f t="array" ref="GI23">_xll.ASAssetInfo($A23,"Payment 2 (%)")</f>
        <v>0</v>
      </c>
      <c r="GJ23" s="35" t="str" cm="1">
        <f t="array" ref="GJ23">_xll.ASAssetInfo($A23,"Payment 2 (days)")</f>
        <v/>
      </c>
      <c r="GK23" s="35" t="str" cm="1">
        <f t="array" ref="GK23">_xll.ASAssetInfo($A23,"Payment 2 (Paid After)")</f>
        <v>NAV Date</v>
      </c>
      <c r="GL23" s="35" cm="1">
        <f t="array" ref="GL23">_xll.ASAssetInfo($A23,"Payment 3 (%)")</f>
        <v>0</v>
      </c>
      <c r="GM23" s="36" t="str" cm="1">
        <f t="array" ref="GM23">_xll.ASAssetInfo($A23,"Payment 3 (Days)")</f>
        <v/>
      </c>
      <c r="GN23" s="35" t="str" cm="1">
        <f t="array" ref="GN23">_xll.ASAssetInfo($A23,"Payment 3 (Paid After)")</f>
        <v>NAV Date</v>
      </c>
      <c r="GO23" s="35" cm="1">
        <f t="array" ref="GO23">_xll.ASAssetInfo($A23,"Payment 4 (%)")</f>
        <v>0</v>
      </c>
      <c r="GP23" s="36" t="str" cm="1">
        <f t="array" ref="GP23">_xll.ASAssetInfo($A23,"Payment 4 (days)")</f>
        <v/>
      </c>
      <c r="GQ23" s="35" t="str" cm="1">
        <f t="array" ref="GQ23">_xll.ASAssetInfo($A23,"Payment 4 (Paid After)")</f>
        <v>NAV Date</v>
      </c>
      <c r="GR23" s="11" cm="1">
        <f t="array" ref="GR23">_xll.ASAssetInfo($A23,"Payment 1 (%)")</f>
        <v>1</v>
      </c>
      <c r="GS23" s="35" cm="1">
        <f t="array" ref="GS23">_xll.ASAssetInfo($A23,"Lockup 1 Fee")</f>
        <v>0</v>
      </c>
      <c r="GT23" s="35" cm="1">
        <f t="array" ref="GT23">_xll.ASAssetInfo($A23,"Lockup 2 Fee")</f>
        <v>0</v>
      </c>
      <c r="GU23" s="35" cm="1">
        <f t="array" ref="GU23">_xll.ASAssetInfo($A23,"Lockup 3 Fee")</f>
        <v>0</v>
      </c>
      <c r="GV23" s="35" t="str" cm="1">
        <f t="array" ref="GV23">_xll.ASAssetInfo($A23,"Lockup 1 type")</f>
        <v>None</v>
      </c>
      <c r="GW23" s="35" t="str" cm="1">
        <f t="array" ref="GW23">_xll.ASAssetInfo($A23,"Lockup 2 type")</f>
        <v>None</v>
      </c>
      <c r="GX23" s="35" t="str" cm="1">
        <f t="array" ref="GX23">_xll.ASAssetInfo($A23,"Lockup 3 type")</f>
        <v>None</v>
      </c>
      <c r="GY23" s="35" t="str" cm="1">
        <f t="array" ref="GY23">_xll.ASAssetInfo($A23,"Redemption 1 type")</f>
        <v>Calendar</v>
      </c>
      <c r="GZ23" s="35" t="str" cm="1">
        <f t="array" ref="GZ23">_xll.ASAssetInfo($A23,"Redemption 2 type")</f>
        <v>Calendar</v>
      </c>
      <c r="HA23" s="35"/>
      <c r="HB23" s="35"/>
      <c r="HC23" s="35"/>
      <c r="HD23" s="35"/>
      <c r="HE23" s="35"/>
      <c r="HF23" s="35"/>
      <c r="HG23" s="35" t="str" cm="1">
        <f t="array" ref="HG23">_xll.ASAssetInfo($A23,"Redemption 3 Frequency")</f>
        <v>Unknown</v>
      </c>
      <c r="HH23" s="35" t="str" cm="1">
        <f t="array" ref="HH23">_xll.ASAssetInfo($A23,"Asset Calendar")</f>
        <v>[Default]</v>
      </c>
      <c r="HI23" s="16" cm="1">
        <f t="array" ref="HI23">_xll.ASAssetStatistic($A23,"Max Second Drawdown",,,,"m",'PBA Summary'!$F$2,'PBA Summary'!$G$2)</f>
        <v>-3.0297300317153608E-3</v>
      </c>
      <c r="HJ23" s="37" cm="1">
        <f t="array" ref="HJ23">_xll.ASAssetStatistic($A23,"Date Max Second Drawdown",,,,"m",'PBA Summary'!$F$2,'PBA Summary'!$G$2)</f>
        <v>43496</v>
      </c>
      <c r="HK23" s="37"/>
      <c r="HL23" s="37" t="str" cm="1">
        <f t="array" ref="HL23">_xll.ASAssetInfo($A23,HL$1)</f>
        <v/>
      </c>
      <c r="HM23" s="34" t="str" cm="1">
        <f t="array" ref="HM23">_xll.ASAssetInfo($A23,HM$1)</f>
        <v/>
      </c>
      <c r="HN23" s="37" t="str" cm="1">
        <f t="array" ref="HN23">_xll.ASAssetInfo($A23,HN$1)</f>
        <v/>
      </c>
      <c r="HO23" s="15" cm="1">
        <f t="array" ref="HO23">_xll.ASAssetInfo($A23,HO$1)</f>
        <v>0</v>
      </c>
      <c r="HP23" s="15" t="str" cm="1">
        <f t="array" ref="HP23">_xll.ASAssetInfo($A23,HP$1)</f>
        <v/>
      </c>
      <c r="HQ23" s="34" t="str" cm="1">
        <f t="array" ref="HQ23">_xll.ASAssetInfo($A23,HQ$1)</f>
        <v/>
      </c>
      <c r="HR23" s="37" t="str" cm="1">
        <f t="array" ref="HR23">_xll.ASAssetInfo($A23,HR$1)</f>
        <v/>
      </c>
      <c r="HS23" s="37" t="str" cm="1">
        <f t="array" ref="HS23">_xll.ASAssetInfo($A23,HS$1)</f>
        <v/>
      </c>
      <c r="HT23" s="37" t="str" cm="1">
        <f t="array" ref="HT23">_xll.ASAssetInfo($A23,HT$1)</f>
        <v/>
      </c>
      <c r="HU23" s="37" t="str" cm="1">
        <f t="array" ref="HU23">_xll.ASAssetInfo($A23,HU$1)</f>
        <v>Asia Pacific</v>
      </c>
      <c r="HV23" s="37" t="str" cm="1">
        <f t="array" ref="HV23">_xll.ASAssetInfo($A23,HV$1)</f>
        <v/>
      </c>
      <c r="HW23" s="37" t="str" cm="1">
        <f t="array" ref="HW23">_xll.ASAssetInfo($A23,HW$1)</f>
        <v/>
      </c>
    </row>
    <row r="24" spans="1:231" s="11" customFormat="1" x14ac:dyDescent="0.25">
      <c r="A24" t="s">
        <v>15</v>
      </c>
      <c r="B24" cm="1">
        <f t="array" ref="B24">_xll.ASPortfolioWeights('PBA Summary'!$C$2,"OR",$A24)</f>
        <v>0</v>
      </c>
      <c r="C24" cm="1">
        <f t="array" ref="C24">_xll.ASAssetStatistic($A24,"Annualized Return since inception",,,,"m",_xll.ASAssetInfo($A24,"Start Date"),_xll.ASAssetInfo($A24,"Last Return Date"))</f>
        <v>0.14676869446659957</v>
      </c>
      <c r="D24" cm="1">
        <f t="array" ref="D24">_xll.ASAssetStatistic($A24,"Annualized Return",,,,"m",'PBA Summary'!$F$2,'PBA Summary'!$G$2)</f>
        <v>0.21224950782113994</v>
      </c>
      <c r="E24" s="19" cm="1">
        <f t="array" ref="E24">_xll.ASAssetStatistic($A24,"Equilibrium Annual Return",,,,"m",'PBA Summary'!$F$2,'PBA Summary'!$G$2)</f>
        <v>8.1320738832335149E-2</v>
      </c>
      <c r="F24" cm="1">
        <f t="array" ref="F24">_xll.ASAssetStatistic($A24,"Annualized Volatility (Inception)",,,,"m",_xll.ASAssetInfo($A24,"Start Date"),_xll.ASAssetInfo($A24,"Last Return Date"))</f>
        <v>0.12163571180614399</v>
      </c>
      <c r="G24" cm="1">
        <f t="array" ref="G24">_xll.ASAssetStatistic($A24,"Annualized Volatility",,,,"m",'PBA Summary'!$F$2,'PBA Summary'!$G$2)</f>
        <v>0.12098877244724394</v>
      </c>
      <c r="H24" s="20" cm="1">
        <f t="array" ref="H24">_xll.ASAssetStatistic($A24,"Skewness",,,,"m",'PBA Summary'!$F$2,'PBA Summary'!$G$2)</f>
        <v>-0.83965382768588637</v>
      </c>
      <c r="I24" s="20" cm="1">
        <f t="array" ref="I24">_xll.ASAssetStatistic($A24,"Excess kurtosis",,,,"m",'PBA Summary'!$F$2,'PBA Summary'!$G$2)</f>
        <v>1.3115622459190082</v>
      </c>
      <c r="J24" s="19" cm="1">
        <f t="array" ref="J24">_xll.ASAssetStatistic($A24,"Return Last 1 month",,,,"m",'PBA Summary'!$F$2,'PBA Summary'!$G$2)</f>
        <v>1.72726931592182E-2</v>
      </c>
      <c r="K24" s="19" cm="1">
        <f t="array" ref="K24">_xll.ASAssetStatistic($A24,"Return Last 3 months",,,,"m",'PBA Summary'!$F$2,'PBA Summary'!$G$2)</f>
        <v>6.1935428271480797E-2</v>
      </c>
      <c r="L24" s="19" cm="1">
        <f t="array" ref="L24">_xll.ASAssetStatistic($A24,"Return Last 1 year",,,,"m",'PBA Summary'!$F$2,'PBA Summary'!$G$2)</f>
        <v>0.23439549031036067</v>
      </c>
      <c r="M24" s="19" cm="1">
        <f t="array" ref="M24">_xll.ASAssetStatistic($A24,"Year-to-date Return",,,,"m",'PBA Summary'!$F$2,'PBA Summary'!$G$2)</f>
        <v>1.72726931592182E-2</v>
      </c>
      <c r="N24" s="19" cm="1">
        <f t="array" ref="N24">_xll.ASAssetStatistic($A24,"Annualized Return",,,,"m",EOMONTH('PBA Summary'!$G$2,-2),'PBA Summary'!$G$2)</f>
        <v>0.27172274814839281</v>
      </c>
      <c r="O24" s="19" t="str" cm="1">
        <f t="array" ref="O24">_xll.ASAssetStatistic($A24,"Annualized Return Last 3 years",,,,"m",'PBA Summary'!$F$2,'PBA Summary'!$G$2)</f>
        <v/>
      </c>
      <c r="P24" s="19" t="str" cm="1">
        <f t="array" ref="P24">_xll.ASAssetStatistic($A24,"Annualized Return Last 5 years",,,,"m",'PBA Summary'!$F$2,'PBA Summary'!$G$2)</f>
        <v/>
      </c>
      <c r="Q24" s="19" cm="1">
        <f t="array" ref="Q24">_xll.ASAssetStatistic($A24,"Annualized Volatility Last 1 year",,,,"m",'PBA Summary'!$F$2,'PBA Summary'!$G$2)</f>
        <v>8.4953224878898212E-2</v>
      </c>
      <c r="R24" s="19" t="str" cm="1">
        <f t="array" ref="R24">_xll.ASAssetStatistic($A24,"Annualized Volatility Last 3 years",,,,"m",'PBA Summary'!$F$2,'PBA Summary'!$G$2)</f>
        <v/>
      </c>
      <c r="S24" s="19" t="str" cm="1">
        <f t="array" ref="S24">_xll.ASAssetStatistic($A24,"Annualized Volatility Last 5 years",,,,"m",'PBA Summary'!$F$2,'PBA Summary'!$G$2)</f>
        <v/>
      </c>
      <c r="T24" s="19" cm="1">
        <f t="array" ref="T24">_xll.ASAssetStatistic($A24,"Normal monthly VaR 99%",,,,"m",'PBA Summary'!$F$2,'PBA Summary'!$G$2)</f>
        <v>-6.4511725668079722E-2</v>
      </c>
      <c r="U24" s="19" cm="1">
        <f t="array" ref="U24">_xll.ASAssetStatistic($A24,"Modified monthly VaR 99%",,,,"m",'PBA Summary'!$F$2,'PBA Summary'!$G$2)</f>
        <v>-8.7518223385523577E-2</v>
      </c>
      <c r="V24" s="19" cm="1">
        <f t="array" ref="V24">_xll.ASAssetStatistic($A24,"Conditional monthly VaR 99%",,,,"m",'PBA Summary'!$F$2,'PBA Summary'!$G$2)</f>
        <v>-6.7951226170435475E-2</v>
      </c>
      <c r="W24" s="19" cm="1">
        <f t="array" ref="W24">_xll.ASAssetStatistic($A24,"Normal monthly VaR 97%",,,,"m",'PBA Summary'!$F$2,'PBA Summary'!$G$2)</f>
        <v>-4.8950096802157797E-2</v>
      </c>
      <c r="X24" s="19" cm="1">
        <f t="array" ref="X24">_xll.ASAssetStatistic($A24,"Modified monthly VaR 97%",,,,"m",'PBA Summary'!$F$2,'PBA Summary'!$G$2)</f>
        <v>-6.0612066161156247E-2</v>
      </c>
      <c r="Y24" s="19" cm="1">
        <f t="array" ref="Y24">_xll.ASAssetStatistic($A24,"Conditional monthly VaR 97%",,,,"m",'PBA Summary'!$F$2,'PBA Summary'!$G$2)</f>
        <v>-6.7951226170435475E-2</v>
      </c>
      <c r="Z24" s="19" cm="1">
        <f t="array" ref="Z24">_xll.ASAssetStatistic($A24,"Normal monthly VaR 95%",,,,"m",'PBA Summary'!$F$2,'PBA Summary'!$G$2)</f>
        <v>-4.0709550805515068E-2</v>
      </c>
      <c r="AA24" s="19" cm="1">
        <f t="array" ref="AA24">_xll.ASAssetStatistic($A24,"Modified monthly VaR 95%",,,,"m",'PBA Summary'!$F$2,'PBA Summary'!$G$2)</f>
        <v>-4.7658769248330943E-2</v>
      </c>
      <c r="AB24" s="19" cm="1">
        <f t="array" ref="AB24">_xll.ASAssetStatistic($A24,"Conditional monthly VaR 95%",,,,"m",'PBA Summary'!$F$2,'PBA Summary'!$G$2)</f>
        <v>-6.7951226170435475E-2</v>
      </c>
      <c r="AC24" s="66" cm="1">
        <f t="array" ref="AC24">_xll.ASAssetStatistic($A24,"Correlation to Benchmark 1","MSCI ACWI Index",,,"m",'PBA Summary'!$F$2,'PBA Summary'!$G$2)</f>
        <v>0.83646446382906547</v>
      </c>
      <c r="AD24" s="38" cm="1">
        <f t="array" ref="AD24">IF('PBA Summary'!$D$3="","",_xll.ASAssetStatistic($A24,"Correlation to Benchmark 1",'PBA Summary'!$D$3,,,"m",'PBA Summary'!$F$2,'PBA Summary'!$G$2))</f>
        <v>0.86465398505669622</v>
      </c>
      <c r="AE24" s="21" cm="1">
        <f t="array" ref="AE24">IF('PBA Summary'!$D$2="","",_xll.ASAssetStatistic($A24,"Bull correlation to Benchmark 1",'PBA Summary'!$D$2,,,"m",'PBA Summary'!$F$2,'PBA Summary'!$G$2))</f>
        <v>0.63757772223013665</v>
      </c>
      <c r="AF24" s="21" cm="1">
        <f t="array" ref="AF24">IF('PBA Summary'!$D$2="","",_xll.ASAssetStatistic($A24,"Bear correlation to Benchmark 1",'PBA Summary'!$D$2,,,"m",'PBA Summary'!$F$2,'PBA Summary'!$G$2))</f>
        <v>0.94589021427847153</v>
      </c>
      <c r="AG24" s="21" cm="1">
        <f t="array" ref="AG24">IF('PBA Summary'!$D$3="","",_xll.ASAssetStatistic($A24,"Bull correlation to Benchmark 1",'PBA Summary'!$D$3,,,"m",'PBA Summary'!$F$2,'PBA Summary'!$G$2))</f>
        <v>0.63757772223013665</v>
      </c>
      <c r="AH24" s="21" cm="1">
        <f t="array" ref="AH24">IF('PBA Summary'!$D$3="","",_xll.ASAssetStatistic($A24,"Bear correlation to Benchmark 1",'PBA Summary'!$D$3,,,"m",'PBA Summary'!$F$2,'PBA Summary'!$G$2))</f>
        <v>0.94589021427847153</v>
      </c>
      <c r="AI24" s="24" cm="1">
        <f t="array" ref="AI24">IF('PBA Summary'!$D$2="","",_xll.ASAssetStatistic($A24,"Beta to Benchmark 1",'PBA Summary'!$D$2,,,"m",'PBA Summary'!$F$2,'PBA Summary'!$G$2))</f>
        <v>0.68141415394539129</v>
      </c>
      <c r="AJ24" s="24" t="str" cm="1">
        <f t="array" ref="AJ24">IF('PBA Summary'!$D$2="","",_xll.ASAssetStatistic($A24,"Beta to Benchmark 1 Last 3 years",'PBA Summary'!$D$2,,,"m",'PBA Summary'!$F$2,'PBA Summary'!$G$2))</f>
        <v/>
      </c>
      <c r="AK24" s="24" t="str" cm="1">
        <f t="array" ref="AK24">IF('PBA Summary'!$D$2="","",_xll.ASAssetStatistic($A24,"Beta to Benchmark 1 Last 5 years",'PBA Summary'!$D$2,,,"m",'PBA Summary'!$F$2,'PBA Summary'!$G$2))</f>
        <v/>
      </c>
      <c r="AL24" s="25" cm="1">
        <f t="array" ref="AL24">IF('PBA Summary'!$D$3="","",_xll.ASAssetStatistic($A24,"Beta to Benchmark 1",'PBA Summary'!$D$3,,,"m",'PBA Summary'!$F$2,'PBA Summary'!$G$2))</f>
        <v>0.68141415394539129</v>
      </c>
      <c r="AM24" s="25" t="str" cm="1">
        <f t="array" ref="AM24">IF('PBA Summary'!$D$3="","",_xll.ASAssetStatistic($A24,"Beta to Benchmark 1 Last 3 years",'PBA Summary'!$D$3,,,"m",'PBA Summary'!$F$2,'PBA Summary'!$G$2))</f>
        <v/>
      </c>
      <c r="AN24" s="25" t="str" cm="1">
        <f t="array" ref="AN24">IF('PBA Summary'!$D$3="","",_xll.ASAssetStatistic($A24,"Beta to Benchmark 1 Last 5 years",'PBA Summary'!$D$3,,,"m",'PBA Summary'!$F$2,'PBA Summary'!$G$2))</f>
        <v/>
      </c>
      <c r="AO24" s="25" cm="1">
        <f t="array" ref="AO24">IF('PBA Summary'!$D$2="","",_xll.ASAssetStatistic($A24,"Bull Beta to Benchmark 1",'PBA Summary'!$D$2,,,"m",'PBA Summary'!$F$2,'PBA Summary'!$G$2))</f>
        <v>0.737870819256773</v>
      </c>
      <c r="AP24" s="25" cm="1">
        <f t="array" ref="AP24">IF('PBA Summary'!$D$2="","",_xll.ASAssetStatistic($A24,"Bear Beta to Benchmark 1",'PBA Summary'!$D$2,,,"m",'PBA Summary'!$F$2,'PBA Summary'!$G$2))</f>
        <v>0.82113360761236143</v>
      </c>
      <c r="AQ24" s="25" cm="1">
        <f t="array" ref="AQ24">IF('PBA Summary'!$D$3="","",_xll.ASAssetStatistic($A24,"Bull Beta to Benchmark 1",'PBA Summary'!$D$3,,,"m",'PBA Summary'!$F$2,'PBA Summary'!$G$2))</f>
        <v>0.737870819256773</v>
      </c>
      <c r="AR24" s="25" cm="1">
        <f t="array" ref="AR24">IF('PBA Summary'!$D$3="","",_xll.ASAssetStatistic($A24,"Bear Beta to Benchmark 1",'PBA Summary'!$D$3,,,"m",'PBA Summary'!$F$2,'PBA Summary'!$G$2))</f>
        <v>0.82113360761236143</v>
      </c>
      <c r="AS24" s="25" cm="1">
        <f t="array" ref="AS24">_xll.ASAssetStatistic($A24,"Annual Sharpe Ratio (Rf)",,,'PBA Summary'!$H$2,"m",'PBA Summary'!$F$2,'PBA Summary'!$G$2)</f>
        <v>1.7336278695826863</v>
      </c>
      <c r="AT24" s="25" t="str" cm="1">
        <f t="array" ref="AT24">_xll.ASAssetStatistic($A24,"Annual Sharpe Ratio (Rf) Last 3 years",,,'PBA Summary'!$H$2,"m",'PBA Summary'!$F$2,'PBA Summary'!$G$2)</f>
        <v/>
      </c>
      <c r="AU24" s="25" t="str" cm="1">
        <f t="array" ref="AU24">_xll.ASAssetStatistic($A24,"Annual Sharpe Ratio (Rf) Last 5 years",,,'PBA Summary'!$H$2,"m",'PBA Summary'!$F$2,'PBA Summary'!$G$2)</f>
        <v/>
      </c>
      <c r="AV24" s="18" cm="1">
        <f t="array" ref="AV24">_xll.ASAssetStatistic($A24,"Ann. Downside Deviation (vs 0%)",,,'PBA Summary'!$H$2,"m",'PBA Summary'!$F$2,'PBA Summary'!$G$2)</f>
        <v>6.6057963939100225E-2</v>
      </c>
      <c r="AW24" s="18" cm="1">
        <f t="array" ref="AW24">_xll.ASAssetStatistic($A24,"Ann. Downside Deviation (vs Rf)",,,'PBA Summary'!$H$2,"m",'PBA Summary'!$F$2,'PBA Summary'!$G$2)</f>
        <v>6.6342589092774407E-2</v>
      </c>
      <c r="AX24" s="39" cm="1">
        <f t="array" ref="AX24">_xll.ASAssetStatistic($A24,"Annual Treynor ratio",,,'PBA Summary'!$H$2,"m",'PBA Summary'!$F$2,'PBA Summary'!$G$2)</f>
        <v>0.28956300673420593</v>
      </c>
      <c r="AY24" s="26" cm="1">
        <f t="array" ref="AY24">_xll.ASAssetStatistic($A24,"Annual Sortino Ratio (vs 0%)",,,'PBA Summary'!$H$2,"m",'PBA Summary'!$F$2,'PBA Summary'!$G$2)</f>
        <v>3.2130797736487273</v>
      </c>
      <c r="AZ24" s="26" cm="1">
        <f t="array" ref="AZ24">_xll.ASAssetStatistic($A24,"Annual Sortino Ratio (vs Rf)",,,'PBA Summary'!$H$2,"m",'PBA Summary'!$F$2,'PBA Summary'!$G$2)</f>
        <v>3.1616117291989205</v>
      </c>
      <c r="BA24" s="26" cm="1">
        <f t="array" ref="BA24">_xll.ASAssetStatistic($A24,"Sterling ratio",,,'PBA Summary'!$H$2,"m",'PBA Summary'!$F$2,'PBA Summary'!$G$2)</f>
        <v>1.7020208406331911</v>
      </c>
      <c r="BB24" s="26" cm="1">
        <f t="array" ref="BB24">_xll.ASAssetStatistic($A24,"Calmar ratio",,,'PBA Summary'!$H$2,"m",'PBA Summary'!$F$2,'PBA Summary'!$G$2)</f>
        <v>3.1235567006366458</v>
      </c>
      <c r="BC24" s="26" cm="1">
        <f t="array" ref="BC24">_xll.ASAssetStatistic($A24,"Hurst index",,,'PBA Summary'!$H$2,"m",'PBA Summary'!$F$2,'PBA Summary'!$G$2)</f>
        <v>0.45887751934972415</v>
      </c>
      <c r="BD24" s="26" cm="1">
        <f t="array" ref="BD24">_xll.ASAssetStatistic($A24,"Omega (Threshold 1)",,,'PBA Summary'!$H$2,"m",'PBA Summary'!$F$2,'PBA Summary'!$G$2)</f>
        <v>3.226630919445534</v>
      </c>
      <c r="BE24" s="26" cm="1">
        <f t="array" ref="BE24">_xll.ASAssetStatistic($A24,"Omega (Threshold 2)",,,'PBA Summary'!$H$2,"m",'PBA Summary'!$F$2,'PBA Summary'!$G$2)</f>
        <v>2.3263113329147322</v>
      </c>
      <c r="BF24" s="26" cm="1">
        <f t="array" ref="BF24">_xll.ASAssetStatistic($A24,"Omega (Threshold 3)",,,'PBA Summary'!$H$2,"m",'PBA Summary'!$F$2,'PBA Summary'!$G$2)</f>
        <v>1.654391637565225</v>
      </c>
      <c r="BG24" s="26" cm="1">
        <f t="array" ref="BG24">_xll.ASAssetStatistic($A24,"Omega (Threshold 4)",,,'PBA Summary'!$H$2,"m",'PBA Summary'!$F$2,'PBA Summary'!$G$2)</f>
        <v>1.1453658227359966</v>
      </c>
      <c r="BH24" s="26" cm="1">
        <f t="array" ref="BH24">_xll.ASAssetStatistic($A24,"Omega (Threshold 5)",,,'PBA Summary'!$H$2,"m",'PBA Summary'!$F$2,'PBA Summary'!$G$2)</f>
        <v>0.77001320552976615</v>
      </c>
      <c r="BI24" s="26" t="str" cm="1">
        <f t="array" ref="BI24">_xll.ASAssetStatistic($A24,"Autocorrelated (illiquid)",,,'PBA Summary'!$H$2,"m",'PBA Summary'!$F$2,'PBA Summary'!$G$2)</f>
        <v>No</v>
      </c>
      <c r="BJ24" s="27" cm="1">
        <f t="array" ref="BJ24">_xll.ASAssetStatistic($A24,"% months in Run Up",,,'PBA Summary'!$H$2,"m",'PBA Summary'!$F$2,'PBA Summary'!$G$2)</f>
        <v>0.73333333333333339</v>
      </c>
      <c r="BK24" s="27" cm="1">
        <f t="array" ref="BK24">_xll.ASAssetStatistic($A24,"% months in Drawdown",,,'PBA Summary'!$H$2,"m",'PBA Summary'!$F$2,'PBA Summary'!$G$2)</f>
        <v>0.26666666666666666</v>
      </c>
      <c r="BL24" s="18" cm="1">
        <f t="array" ref="BL24">IF('PBA Summary'!$D$2="","",_xll.ASAssetStatistic($A24,"Bull Beta to Benchmark 1",'PBA Summary'!$D$2,,,"m",'PBA Summary'!$F$2,'PBA Summary'!$G$2))</f>
        <v>0.737870819256773</v>
      </c>
      <c r="BM24" s="18" cm="1">
        <f t="array" ref="BM24">IF('PBA Summary'!$D$2="","",_xll.ASAssetStatistic($A24,"Average return during bear Benchmark 1",'PBA Summary'!$D$2,,,"m",'PBA Summary'!$F$2,'PBA Summary'!$G$2))</f>
        <v>-1.8766892112557748E-2</v>
      </c>
      <c r="BN24" s="18" cm="1">
        <f t="array" ref="BN24">IF('PBA Summary'!$D$3="","",_xll.ASAssetStatistic($A24,"Average return during bull Benchmark 1",'PBA Summary'!$D$3,,,"m",'PBA Summary'!$F$2,'PBA Summary'!$G$2))</f>
        <v>2.9650707269453149E-2</v>
      </c>
      <c r="BO24" s="18" cm="1">
        <f t="array" ref="BO24">IF('PBA Summary'!$D$3="","",_xll.ASAssetStatistic($A24,"Average return during bear Benchmark 1",'PBA Summary'!$D$3,,,"m",'PBA Summary'!$F$2,'PBA Summary'!$G$2))</f>
        <v>-1.8766892112557748E-2</v>
      </c>
      <c r="BP24" s="27" cm="1">
        <f t="array" ref="BP24">_xll.ASAssetStatistic($A24,"Maximum consecutive gain",,,'PBA Summary'!$H$2,"m",'PBA Summary'!$F$2,'PBA Summary'!$G$2)</f>
        <v>0.20074686973713063</v>
      </c>
      <c r="BQ24" s="27" cm="1">
        <f t="array" ref="BQ24">_xll.ASAssetStatistic($A24,"Maximum consecutive loss",,,'PBA Summary'!$H$2,"m",'PBA Summary'!$F$2,'PBA Summary'!$G$2)</f>
        <v>-6.7951226170435475E-2</v>
      </c>
      <c r="BR24" s="27" cm="1">
        <f t="array" ref="BR24">_xll.ASAssetStatistic($A24,"Max monthly gain",,,'PBA Summary'!$H$2,"m",'PBA Summary'!$F$2,'PBA Summary'!$G$2)</f>
        <v>7.2055844377730383E-2</v>
      </c>
      <c r="BS24" s="27" cm="1">
        <f t="array" ref="BS24">_xll.ASAssetStatistic($A24,"Max monthly loss",,,'PBA Summary'!$H$2,"m",'PBA Summary'!$F$2,'PBA Summary'!$G$2)</f>
        <v>-6.7951226170435475E-2</v>
      </c>
      <c r="BT24" s="27" cm="1">
        <f t="array" ref="BT24">_xll.ASAssetStatistic($A24,"Max drawdown",,,'PBA Summary'!$H$2,"m",'PBA Summary'!$F$2,'PBA Summary'!$G$2)</f>
        <v>-6.7951226170435475E-2</v>
      </c>
      <c r="BU24" s="28" cm="1">
        <f t="array" ref="BU24">_xll.ASAssetStatistic($A24,"Date Max drawdown",,,'PBA Summary'!$H$2,"m",'PBA Summary'!$F$2,'PBA Summary'!$G$2)</f>
        <v>43465</v>
      </c>
      <c r="BV24" s="28" cm="1">
        <f t="array" ref="BV24">_xll.ASAssetStatistic($A24,"Start Date Max Drawdown",,,'PBA Summary'!$H$2,"m",'PBA Summary'!$F$2,'PBA Summary'!$G$2)</f>
        <v>43465</v>
      </c>
      <c r="BW24" s="28" cm="1">
        <f t="array" ref="BW24">_xll.ASAssetStatistic($A24,"End Date Max Drawdown",,,'PBA Summary'!$H$2,"m",'PBA Summary'!$F$2,'PBA Summary'!$G$2)</f>
        <v>43496</v>
      </c>
      <c r="BX24" s="29" cm="1">
        <f t="array" ref="BX24">_xll.ASAssetStatistic($A24,"Max Time-under-water (months)",,,'PBA Summary'!$H$2,"m",'PBA Summary'!$F$2,'PBA Summary'!$G$2)</f>
        <v>2</v>
      </c>
      <c r="BY24" s="27" cm="1">
        <f t="array" ref="BY24">_xll.ASAssetStatistic($A24,"Max possible drawdown 99%",,,'PBA Summary'!$H$2,"m",'PBA Summary'!$F$2,'PBA Summary'!$G$2)</f>
        <v>-9.8596090830464625E-2</v>
      </c>
      <c r="BZ24" s="27" cm="1">
        <f t="array" ref="BZ24">_xll.ASAssetStatistic($A24,"Max possible drawdown 99.9%",,,'PBA Summary'!$H$2,"m",'PBA Summary'!$F$2,'PBA Summary'!$G$2)</f>
        <v>-0.17397732011603881</v>
      </c>
      <c r="CA24" s="30" cm="1">
        <f t="array" ref="CA24">_xll.ASAssetStatistic($A24,"Max Possible Time-under-water 99% (months)",,,'PBA Summary'!$H$2,"m",'PBA Summary'!$F$2,'PBA Summary'!$G$2)</f>
        <v>23.560318875687578</v>
      </c>
      <c r="CB24" s="30" cm="1">
        <f t="array" ref="CB24">_xll.ASAssetStatistic($A24,"Max Possible Time-under-water 99.9% (months)",,,'PBA Summary'!$H$2,"m",'PBA Summary'!$F$2,'PBA Summary'!$G$2)</f>
        <v>41.573262231254056</v>
      </c>
      <c r="CC24" s="17" cm="1">
        <f t="array" ref="CC24">_xll.ASPortfolioReturnAttribution('PBA Summary'!$C$2,"OR",A24,"Last 1m",'PBA Summary'!$F$2,'PBA Summary'!$G$2)</f>
        <v>0</v>
      </c>
      <c r="CD24" s="11" t="str" cm="1">
        <f t="array" ref="CD24">_xll.ASAssetInfo($A24,"Strategy")</f>
        <v>Funds - Equities Long Only</v>
      </c>
      <c r="CE24" s="14" cm="1">
        <f t="array" ref="CE24">_xll.ASAssetInfo($A24,"Start Date")</f>
        <v>41367</v>
      </c>
      <c r="CF24" s="14" t="str" cm="1">
        <f t="array" ref="CF24">_xll.ASAssetRatings($A24,"Quantitative",0,0,0,0,0,'PBA Summary'!$F$2,'PBA Summary'!$G$2)</f>
        <v/>
      </c>
      <c r="CG24" s="14" t="str" cm="1">
        <f t="array" ref="CG24">_xll.ASAssetRatings($A24,"Qualitative",0,0,0,0,0,'PBA Summary'!$F$2,'PBA Summary'!$G$2)</f>
        <v/>
      </c>
      <c r="CH24" s="14" t="str" cm="1">
        <f t="array" ref="CH24">_xll.ASAssetRatings($A24,"Final",0,0,0,0,0,'PBA Summary'!$F$2,'PBA Summary'!$G$2)</f>
        <v/>
      </c>
      <c r="CI24" s="14" cm="1">
        <f t="array" ref="CI24">_xll.ASAssetInfo($A24,"Last Return Date")</f>
        <v>44134</v>
      </c>
      <c r="CJ24" s="14" t="str" cm="1">
        <f t="array" ref="CJ24">_xll.ASAssetInfo($A24,"Company Name")</f>
        <v>Fundsmith LLP/United Kingdom</v>
      </c>
      <c r="CK24" s="14" t="str" cm="1">
        <f t="array" ref="CK24">_xll.ASAssetInfo($A24,"Manager Name")</f>
        <v>Terence Charles Smith</v>
      </c>
      <c r="CL24" s="14" t="str" cm="1">
        <f t="array" ref="CL24">_xll.ASAssetInfo($A24,"Address")</f>
        <v>Fundsmith LLP. 33 Cavendish Square. London W1G 0PW. United Kingdom</v>
      </c>
      <c r="CM24" s="14" t="str" cm="1">
        <f t="array" ref="CM24">_xll.ASAssetInfo($A24,"Phone Number")</f>
        <v/>
      </c>
      <c r="CN24" s="14" t="str" cm="1">
        <f t="array" ref="CN24">_xll.ASAssetInfo($A24,"Email")</f>
        <v/>
      </c>
      <c r="CO24" s="14" t="str" cm="1">
        <f t="array" ref="CO24">_xll.ASAssetInfo($A24,"Asset Type")</f>
        <v>Equities</v>
      </c>
      <c r="CP24" s="14" t="str" cm="1">
        <f t="array" ref="CP24">_xll.ASAssetInfo($A24,"Proprietary ID")</f>
        <v/>
      </c>
      <c r="CQ24" s="14" t="str" cm="1">
        <f t="array" ref="CQ24">_xll.ASAssetInfo($A24,"Country")</f>
        <v>United Kingdom</v>
      </c>
      <c r="CR24" s="14" t="str" cm="1">
        <f t="array" ref="CR24">_xll.ASAssetInfo($A24,"Currency")</f>
        <v>USD</v>
      </c>
      <c r="CS24" s="14" t="str" cm="1">
        <f t="array" ref="CS24">_xll.ASAssetInfo($A24,"Sub-Strategy")</f>
        <v>Bottom up equities</v>
      </c>
      <c r="CT24" s="31" cm="1">
        <f t="array" ref="CT24">_xll.ASAssetInfo($A24,"Fund AUM (m)")</f>
        <v>5112.4399999999996</v>
      </c>
      <c r="CU24" s="31" t="str" cm="1">
        <f t="array" ref="CU24">_xll.ASAssetInfo($A24,"Status")</f>
        <v>Open</v>
      </c>
      <c r="CV24" s="31" t="str" cm="1">
        <f t="array" ref="CV24">_xll.ASAssetInfo($A24,"Redemption 1 Frequency")</f>
        <v>Daily</v>
      </c>
      <c r="CW24" s="31" t="str" cm="1">
        <f t="array" ref="CW24">_xll.ASAssetInfo($A24,"Redemption 2 Frequency")</f>
        <v>Unknown</v>
      </c>
      <c r="CX24" s="31" t="str" cm="1">
        <f t="array" ref="CX24">_xll.ASAssetInfo($A24,"Redemption 3 Frequency")</f>
        <v>Unknown</v>
      </c>
      <c r="CY24" s="31" t="str" cm="1">
        <f t="array" ref="CY24">_xll.ASAssetInfo($A24,"Notice Period")</f>
        <v/>
      </c>
      <c r="CZ24" s="15" cm="1">
        <f t="array" ref="CZ24">_xll.ASAssetInfo($A24,"Performance Fee")</f>
        <v>0</v>
      </c>
      <c r="DA24" s="15" cm="1">
        <f t="array" ref="DA24">_xll.ASAssetInfo($A24,"Management Fee")</f>
        <v>9.0000000000000011E-3</v>
      </c>
      <c r="DB24" s="15" t="str" cm="1">
        <f t="array" ref="DB24">_xll.ASAssetInfo($A24,"ISIN")</f>
        <v>LU0893933373</v>
      </c>
      <c r="DC24" s="16" cm="1">
        <f t="array" ref="DC24">_xll.ASAssetStatistic($A24,"Return during " &amp;YEAR(EOMONTH('PBA Summary'!$G$2,-60)),,,,"M",DATE(YEAR(EOMONTH('PBA Summary'!$G$2,-60)),1,31),DATE(YEAR(EOMONTH('PBA Summary'!$G$2,-60)),12,31))</f>
        <v>9.6788175313322178E-2</v>
      </c>
      <c r="DD24" s="16" cm="1">
        <f t="array" ref="DD24">_xll.ASAssetStatistic($A24,"Return during " &amp;YEAR(EOMONTH('PBA Summary'!$G$2,-48)),,,,"M",DATE(YEAR(EOMONTH('PBA Summary'!$G$2,-48)),1,31),DATE(YEAR(EOMONTH('PBA Summary'!$G$2,-48)),12,31))</f>
        <v>6.2352224090236996E-2</v>
      </c>
      <c r="DE24" s="16" cm="1">
        <f t="array" ref="DE24">_xll.ASAssetStatistic($A24,"Return during " &amp;YEAR(EOMONTH('PBA Summary'!$G$2,-36)),,,,"M",DATE(YEAR(EOMONTH('PBA Summary'!$G$2,-36)),1,31),DATE(YEAR(EOMONTH('PBA Summary'!$G$2,-36)),12,31))</f>
        <v>0.33824697678524274</v>
      </c>
      <c r="DF24" s="16" cm="1">
        <f t="array" ref="DF24">_xll.ASAssetStatistic($A24,"Return during " &amp;YEAR(EOMONTH('PBA Summary'!$G$2,-24)),,,,"M",DATE(YEAR(EOMONTH('PBA Summary'!$G$2,-24)),1,31),DATE(YEAR(EOMONTH('PBA Summary'!$G$2,-24)),12,31))</f>
        <v>-3.4859178154474035E-2</v>
      </c>
      <c r="DG24" s="16" cm="1">
        <f t="array" ref="DG24">_xll.ASAssetStatistic($A24,"Return during " &amp;YEAR(EOMONTH('PBA Summary'!$G$2,-12)),,,,"M",DATE(YEAR(EOMONTH('PBA Summary'!$G$2,-12)),1,31),DATE(YEAR(EOMONTH('PBA Summary'!$G$2,-12)),12,31))</f>
        <v>0.30087134802665294</v>
      </c>
      <c r="DH24" s="11" t="str" cm="1">
        <f t="array" ref="DH24">_xll.ASAssetInfo($A24,"Prime Broker")</f>
        <v/>
      </c>
      <c r="DI24" s="16" cm="1">
        <f t="array" ref="DI24">_xll.ASAssetStatistic($A24,"Return",,,,"m",'PBA Summary'!$F$2,'PBA Summary'!$G$2)</f>
        <v>0.27200852094105743</v>
      </c>
      <c r="DJ24" s="33" cm="1">
        <f t="array" ref="DJ24">IF('PBA Summary'!$D$2="","",_xll.ASAssetStatistic($A24,"Ann. Information Ratio vs Benchmark 1",'PBA Summary'!$D$2,,,"m",'PBA Summary'!$F$2,'PBA Summary'!$G$2))</f>
        <v>0.51190741661571049</v>
      </c>
      <c r="DK24" s="33" cm="1">
        <f t="array" ref="DK24">IF('PBA Summary'!$D$3="","",_xll.ASAssetStatistic($A24,"Ann. Information Ratio vs Benchmark 1",'PBA Summary'!$D$3,,,"m",'PBA Summary'!$F$2,'PBA Summary'!$G$2))</f>
        <v>0.51190741661571049</v>
      </c>
      <c r="DL24" s="33" cm="1">
        <f t="array" ref="DL24">IF('PBA Summary'!$D$2="","",_xll.ASAssetStatistic($A24,"Ann. Tracking Error vs Benchmark 1",'PBA Summary'!$D$2,,,"m",'PBA Summary'!$F$2,'PBA Summary'!$G$2))</f>
        <v>7.8016399642151638E-2</v>
      </c>
      <c r="DM24" s="33" cm="1">
        <f t="array" ref="DM24">IF('PBA Summary'!$D$3="","",_xll.ASAssetStatistic($A24,"Ann. Tracking Error vs Benchmark 1",'PBA Summary'!$D$3,,,"m",'PBA Summary'!$F$2,'PBA Summary'!$G$2))</f>
        <v>7.8016399642151638E-2</v>
      </c>
      <c r="DN24" s="33" cm="1">
        <f t="array" ref="DN24">IF('PBA Summary'!$D$2="","",_xll.ASAssetStatistic($A24,"R² vs Benchmark 1",'PBA Summary'!$D$2,,,"m",'PBA Summary'!$F$2,'PBA Summary'!$G$2))</f>
        <v>0.74762651387442547</v>
      </c>
      <c r="DO24" s="33" cm="1">
        <f t="array" ref="DO24">IF('PBA Summary'!$D$3="","",_xll.ASAssetStatistic($A24,"R² vs Benchmark 1",'PBA Summary'!$D$3,,,"m",'PBA Summary'!$F$2,'PBA Summary'!$G$2))</f>
        <v>0.74762651387442547</v>
      </c>
      <c r="DP24" s="11" t="str" cm="1">
        <f t="array" ref="DP24">_xll.ASAssetInfo($A24,"On-/Offshore")</f>
        <v>Onshore</v>
      </c>
      <c r="DQ24" s="16" cm="1">
        <f t="array" ref="DQ24">_xll.ASAssetStatistic($A24,"Quarter-to-date",,,,"m",'PBA Summary'!$F$2,'PBA Summary'!$G$2)</f>
        <v>1.72726931592182E-2</v>
      </c>
      <c r="DR24" s="16" cm="1">
        <f t="array" ref="DR24">_xll.ASAssetStatistic($A24,"Annualized Return Since inception",,,,"m",'PBA Summary'!$F$2,'PBA Summary'!$G$2)</f>
        <v>0.14676869446659957</v>
      </c>
      <c r="DS24" s="16" cm="1">
        <f t="array" ref="DS24">IF('PBA Summary'!$D$2="","",_xll.ASAssetStatistic($A24,"Ann. Bear Market Return vs Benchmark 1",'PBA Summary'!$D$2,,,"m",'PBA Summary'!$F$2,'PBA Summary'!$G$2))</f>
        <v>-0.20827408928489854</v>
      </c>
      <c r="DT24" s="16" cm="1">
        <f t="array" ref="DT24">IF('PBA Summary'!$D$2="","",_xll.ASAssetStatistic($A24,"Ann. Bull Market Return vs Benchmark 1",'PBA Summary'!$D$2,,,"m",'PBA Summary'!$F$2,'PBA Summary'!$G$2))</f>
        <v>0.41537324910313811</v>
      </c>
      <c r="DU24" s="16" cm="1">
        <f t="array" ref="DU24">IF('PBA Summary'!$D$3="","",_xll.ASAssetStatistic($A24,"Ann. Bear Market Return vs Benchmark 1",'PBA Summary'!$D$3,,,"m",'PBA Summary'!$F$2,'PBA Summary'!$G$2))</f>
        <v>-0.20827408928489854</v>
      </c>
      <c r="DV24" s="16" cm="1">
        <f t="array" ref="DV24">IF('PBA Summary'!$D$3="","",_xll.ASAssetStatistic($A24,"Ann. Bull Market Return vs Benchmark 1",'PBA Summary'!$D$3,,,"m",'PBA Summary'!$F$2,'PBA Summary'!$G$2))</f>
        <v>0.41537324910313811</v>
      </c>
      <c r="DW24" s="17" cm="1">
        <f t="array" ref="DW24">_xll.ASAssetStatistic($A24,"Average Positive Return",,,,"m",'PBA Summary'!$F$2,'PBA Summary'!$G$2)</f>
        <v>3.3077916994562223E-2</v>
      </c>
      <c r="DX24" s="17" cm="1">
        <f t="array" ref="DX24">_xll.ASAssetStatistic($A24,"Average Negative Return",,,,"m",'PBA Summary'!$F$2,'PBA Summary'!$G$2)</f>
        <v>-2.8191718856607706E-2</v>
      </c>
      <c r="DY24" s="16" cm="1">
        <f t="array" ref="DY24">IF('PBA Summary'!$D$2="","",_xll.ASAssetStatistic($A24,"Outperformance vs Benchmark 1",'PBA Summary'!$D$2,,,"m",'PBA Summary'!$F$2,'PBA Summary'!$G$2))</f>
        <v>5.2164876132338778E-2</v>
      </c>
      <c r="DZ24" s="16" cm="1">
        <f t="array" ref="DZ24">IF('PBA Summary'!$D$3="","",_xll.ASAssetStatistic($A24,"Outperformance vs Benchmark 1",'PBA Summary'!$D$3,,,"m",'PBA Summary'!$F$2,'PBA Summary'!$G$2))</f>
        <v>5.2164876132338778E-2</v>
      </c>
      <c r="EA24" s="16" cm="1">
        <f t="array" ref="EA24">IF('PBA Summary'!$D$2="","",_xll.ASAssetStatistic($A24,"Annual Outperformance vs Benchmark 1",'PBA Summary'!$D$2,,,"m",'PBA Summary'!$F$2,'PBA Summary'!$G$2))</f>
        <v>3.9937173594472686E-2</v>
      </c>
      <c r="EB24" s="16" cm="1">
        <f t="array" ref="EB24">IF('PBA Summary'!$D$3="","",_xll.ASAssetStatistic($A24,"Annual Outperformance vs Benchmark 1",'PBA Summary'!$D$3,,,"m",'PBA Summary'!$F$2,'PBA Summary'!$G$2))</f>
        <v>3.9937173594472686E-2</v>
      </c>
      <c r="EC24" s="32" cm="1">
        <f t="array" ref="EC24">_xll.ASAssetStatistic($A24,"Rachev Ratio 99%",,,,"m",'PBA Summary'!$F$2,'PBA Summary'!$G$2)</f>
        <v>-1.0604053589408333</v>
      </c>
      <c r="ED24" s="32" cm="1">
        <f t="array" ref="ED24">_xll.ASAssetStatistic($A24,"Rachev Ratio 97%",,,,"m",'PBA Summary'!$F$2,'PBA Summary'!$G$2)</f>
        <v>-1.0604053589408333</v>
      </c>
      <c r="EE24" s="32" cm="1">
        <f t="array" ref="EE24">_xll.ASAssetStatistic($A24,"Rachev Ratio 95%",,,,"m",'PBA Summary'!$F$2,'PBA Summary'!$G$2)</f>
        <v>-1.0604053589408333</v>
      </c>
      <c r="EF24" s="32" cm="1">
        <f t="array" ref="EF24">_xll.ASAssetStatistic($A24,"Rachev Ratio 90%",,,,"m",'PBA Summary'!$F$2,'PBA Summary'!$G$2)</f>
        <v>-1.4712937372972288</v>
      </c>
      <c r="EG24" s="34" cm="1">
        <f t="array" ref="EG24">IF('PBA Summary'!$D$2="","",_xll.ASAssetStatistic($A24,"Annual Up Capture vs Benchmark 1",'PBA Summary'!$D$2,,,"m",'PBA Summary'!$F$2,'PBA Summary'!$G$2))</f>
        <v>0.82055866077634965</v>
      </c>
      <c r="EH24" s="34" cm="1">
        <f t="array" ref="EH24">IF('PBA Summary'!$D$3="","",_xll.ASAssetStatistic($A24,"Annual Up Capture vs Benchmark 1",'PBA Summary'!$D$3,,,"m",'PBA Summary'!$F$2,'PBA Summary'!$G$2))</f>
        <v>0.82055866077634965</v>
      </c>
      <c r="EI24" s="34" cm="1">
        <f t="array" ref="EI24">IF('PBA Summary'!$D$2="","",_xll.ASAssetStatistic($A24,"Annual Down Capture vs Benchmark 1",'PBA Summary'!$D$2,,,"m",'PBA Summary'!$F$2,'PBA Summary'!$G$2))</f>
        <v>0.50610475928508825</v>
      </c>
      <c r="EJ24" s="34" cm="1">
        <f t="array" ref="EJ24">IF('PBA Summary'!$D$3="","",_xll.ASAssetStatistic($A24,"Annual Down Capture vs Benchmark 1",'PBA Summary'!$D$3,,,"m",'PBA Summary'!$F$2,'PBA Summary'!$G$2))</f>
        <v>0.50610475928508825</v>
      </c>
      <c r="EK24" s="16" cm="1">
        <f t="array" ref="EK24">IF('PBA Summary'!$D$2="","",_xll.ASAssetStatistic($A24,"Ann. Tracking Error vs Benchmark 1",'PBA Summary'!$D$2,,,"m",'PBA Summary'!$F$2,'PBA Summary'!$G$2))</f>
        <v>7.8016399642151638E-2</v>
      </c>
      <c r="EL24" s="16" cm="1">
        <f t="array" ref="EL24">IF('PBA Summary'!$D$3="","",_xll.ASAssetStatistic($A24,"Ann. Tracking Error vs Benchmark 1",'PBA Summary'!$D$3,,,"m",'PBA Summary'!$F$2,'PBA Summary'!$G$2))</f>
        <v>7.8016399642151638E-2</v>
      </c>
      <c r="EM24" s="16" cm="1">
        <f t="array" ref="EM24">IF('PBA Summary'!$D$2="","",_xll.ASAssetStatistic($A24,"Annual Jensen Alpha vs Benchmark 1 (Rf)",'PBA Summary'!$D$2,,,"m",'PBA Summary'!$F$2,'PBA Summary'!$G$2))</f>
        <v>9.4036979764583459E-2</v>
      </c>
      <c r="EN24" s="16" cm="1">
        <f t="array" ref="EN24">IF('PBA Summary'!$D$3="","",_xll.ASAssetStatistic($A24,"Annual Jensen Alpha vs Benchmark 1 (Rf)",'PBA Summary'!$D$3,,,"m",'PBA Summary'!$F$2,'PBA Summary'!$G$2))</f>
        <v>9.4036979764583459E-2</v>
      </c>
      <c r="EO24" s="33" cm="1">
        <f t="array" ref="EO24">IF('PBA Summary'!$D$2="","",_xll.ASAssetStatistic($A24,"Ann. Information Ratio vs Benchmark 1",'PBA Summary'!$D$2,,,"m",'PBA Summary'!$F$2,'PBA Summary'!$G$2))</f>
        <v>0.51190741661571049</v>
      </c>
      <c r="EP24" s="33" cm="1">
        <f t="array" ref="EP24">IF('PBA Summary'!$D$3="","",_xll.ASAssetStatistic($A24,"Ann. Information Ratio vs Benchmark 1",'PBA Summary'!$D$3,,,"m",'PBA Summary'!$F$2,'PBA Summary'!$G$2))</f>
        <v>0.51190741661571049</v>
      </c>
      <c r="EQ24" s="17" cm="1">
        <f t="array" ref="EQ24">IF('PBA Summary'!$D$2="","",_xll.ASAssetStatistic($A24,"Alpha Monthly vs Benchmark 1",'PBA Summary'!$D$2,,,"m",'PBA Summary'!$F$2,'PBA Summary'!$G$2))</f>
        <v>7.0172867270082862E-3</v>
      </c>
      <c r="ER24" s="17" cm="1">
        <f t="array" ref="ER24">IF('PBA Summary'!$D$3="","",_xll.ASAssetStatistic($A24,"Alpha Monthly vs Benchmark 1",'PBA Summary'!$D$3,,,"m",'PBA Summary'!$F$2,'PBA Summary'!$G$2))</f>
        <v>7.0172867270082862E-3</v>
      </c>
      <c r="ES24" s="11" t="str" cm="1">
        <f t="array" ref="ES24">_xll.ASAssetInfo($A24,"Company AUM (m)")</f>
        <v/>
      </c>
      <c r="ET24" s="16" cm="1">
        <f t="array" ref="ET24">_xll.ASAssetStatistic($A24,"Exponential Annualized Volatility",,,,"m",'PBA Summary'!$F$2,'PBA Summary'!$G$2)</f>
        <v>9.8225585718333064E-2</v>
      </c>
      <c r="EU24" s="16" cm="1">
        <f t="array" ref="EU24">_xll.ASAssetStatistic($A24,"Exponential Annualized Volatility Last 1 year",,,,"m",'PBA Summary'!$F$2,'PBA Summary'!$G$2)</f>
        <v>7.6149464634404779E-2</v>
      </c>
      <c r="EV24" s="16" t="str" cm="1">
        <f t="array" ref="EV24">_xll.ASAssetStatistic($A24,"Exponential Annualized Volatility Last 3 years",,,,"m",'PBA Summary'!$F$2,'PBA Summary'!$G$2)</f>
        <v/>
      </c>
      <c r="EW24" s="34" cm="1">
        <f t="array" ref="EW24">IF('PBA Summary'!$D$2="","",_xll.ASAssetStatistic($A24,"Exponential Correlation to Benchmark 1",'PBA Summary'!$D$2,,,"m",'PBA Summary'!$F$2,'PBA Summary'!$G$2))</f>
        <v>0.73540241867050127</v>
      </c>
      <c r="EX24" s="34" cm="1">
        <f t="array" ref="EX24">IF('PBA Summary'!$D$3="","",_xll.ASAssetStatistic($A24,"Exponential Correlation to Benchmark 1",'PBA Summary'!$D$3,,,"m",'PBA Summary'!$F$2,'PBA Summary'!$G$2))</f>
        <v>0.73540241867050127</v>
      </c>
      <c r="EY24" s="34" cm="1">
        <f t="array" ref="EY24">_xll.ASAssetStatistic($A24,"Exponential Annual Sharpe Ratio (Rf)",,,,"m",'PBA Summary'!$F$2,'PBA Summary'!$G$2)</f>
        <v>2.1179095115909252</v>
      </c>
      <c r="EZ24" s="34" cm="1">
        <f t="array" ref="EZ24">_xll.ASAssetStatistic($A24,"Exponential Normal Monthly VaR 99%",,,,"m",'PBA Summary'!$F$2,'PBA Summary'!$G$2)</f>
        <v>-4.9915105902318624E-2</v>
      </c>
      <c r="FA24" s="34" cm="1">
        <f t="array" ref="FA24">_xll.ASAssetStatistic($A24,"Exponential Normal Monthly VaR 97%",,,,"m",'PBA Summary'!$F$2,'PBA Summary'!$G$2)</f>
        <v>-3.7281288076346286E-2</v>
      </c>
      <c r="FB24" s="34" cm="1">
        <f t="array" ref="FB24">_xll.ASAssetStatistic($A24,"Exponential Normal Monthly VaR 95%",,,,"m",'PBA Summary'!$F$2,'PBA Summary'!$G$2)</f>
        <v>-3.0591142860499573E-2</v>
      </c>
      <c r="FC24" s="34" cm="1">
        <f t="array" ref="FC24">_xll.ASAssetStatistic($A24,"Exponential Normal Monthly VaR 90%",,,,"m",'PBA Summary'!$F$2,'PBA Summary'!$G$2)</f>
        <v>-2.0289609666892989E-2</v>
      </c>
      <c r="FD24" s="34" t="str" cm="1">
        <f t="array" ref="FD24">_xll.ASAssetStatistic($A24,"Exponential Normal weekly VaR 99%",,,,"m",'PBA Summary'!$F$2,'PBA Summary'!$G$2)</f>
        <v/>
      </c>
      <c r="FE24" s="34" t="str" cm="1">
        <f t="array" ref="FE24">_xll.ASAssetStatistic($A24,"Exponential Normal weekly VaR 97%",,,,"m",'PBA Summary'!$F$2,'PBA Summary'!$G$2)</f>
        <v/>
      </c>
      <c r="FF24" s="34" t="str" cm="1">
        <f t="array" ref="FF24">_xll.ASAssetStatistic($A24,"Exponential Normal weekly VaR 95%",,,,"m",'PBA Summary'!$F$2,'PBA Summary'!$G$2)</f>
        <v/>
      </c>
      <c r="FG24" s="34" t="str" cm="1">
        <f t="array" ref="FG24">_xll.ASAssetStatistic($A24,"Exponential Normal weekly VaR 90%",,,,"m",'PBA Summary'!$F$2,'PBA Summary'!$G$2)</f>
        <v/>
      </c>
      <c r="FH24" s="34" t="str" cm="1">
        <f t="array" ref="FH24">_xll.ASAssetStatistic($A24,"Exponential Normal daily VaR 99%",,,,"m",'PBA Summary'!$F$2,'PBA Summary'!$G$2)</f>
        <v/>
      </c>
      <c r="FI24" s="34" t="str" cm="1">
        <f t="array" ref="FI24">_xll.ASAssetStatistic($A24,"Exponential Normal daily VaR 97%",,,,"m",'PBA Summary'!$F$2,'PBA Summary'!$G$2)</f>
        <v/>
      </c>
      <c r="FJ24" s="34" t="str" cm="1">
        <f t="array" ref="FJ24">_xll.ASAssetStatistic($A24,"Exponential Normal daily VaR 95%",,,,"m",'PBA Summary'!$F$2,'PBA Summary'!$G$2)</f>
        <v/>
      </c>
      <c r="FK24" s="34" t="str" cm="1">
        <f t="array" ref="FK24">_xll.ASAssetStatistic($A24,"Exponential Normal daily VaR 90%",,,,"m",'PBA Summary'!$F$2,'PBA Summary'!$G$2)</f>
        <v/>
      </c>
      <c r="FL24" s="34" cm="1">
        <f t="array" ref="FL24">_xll.ASAssetStatistic($A24,"Bias Ratio",,,,"m",'PBA Summary'!$F$2,'PBA Summary'!$G$2)</f>
        <v>1.75</v>
      </c>
      <c r="FM24" s="11" t="str" cm="1">
        <f t="array" ref="FM24">_xll.ASAssetInfo($A24,"Manager's Biography")</f>
        <v/>
      </c>
      <c r="FN24" s="11" cm="1">
        <f t="array" ref="FN24">_xll.ASAssetInfo($A24,"Investment Min")</f>
        <v>6000000</v>
      </c>
      <c r="FO24" s="11" t="str" cm="1">
        <f t="array" ref="FO24">_xll.ASAssetInfo($A24,"Auditor")</f>
        <v>Deloitte SA</v>
      </c>
      <c r="FP24" s="11" t="str" cm="1">
        <f t="array" ref="FP24">_xll.ASAssetInfo($A24,"Custodian")</f>
        <v>State Street Bank Luxembourg SCA</v>
      </c>
      <c r="FQ24" s="11" t="str" cm="1">
        <f t="array" ref="FQ24">_xll.ASAssetInfo($A24,"Administrator")</f>
        <v>State Street Bank Luxembourg SCA</v>
      </c>
      <c r="FR24" s="14" t="str" cm="1">
        <f t="array" ref="FR24">_xll.ASAssetInfo($A24,"Proxy 1 Start Date")</f>
        <v/>
      </c>
      <c r="FS24" s="14" t="str" cm="1">
        <f t="array" ref="FS24">_xll.ASAssetInfo($A24,"Proxy 1 End Date")</f>
        <v/>
      </c>
      <c r="FT24" s="14" t="str" cm="1">
        <f t="array" ref="FT24">_xll.ASAssetInfo($A24,"Proxy 2 Start Date")</f>
        <v/>
      </c>
      <c r="FU24" s="14" t="str" cm="1">
        <f t="array" ref="FU24">_xll.ASAssetInfo($A24,"Proxy 2 End Date")</f>
        <v/>
      </c>
      <c r="FV24" s="14" t="str" cm="1">
        <f t="array" ref="FV24">_xll.ASAssetInfo($A24,"Proxy 3 Start Date")</f>
        <v/>
      </c>
      <c r="FW24" s="14" t="str" cm="1">
        <f t="array" ref="FW24">_xll.ASAssetInfo($A24,"Proxy 3 End Date")</f>
        <v/>
      </c>
      <c r="FX24" s="14" t="str" cm="1">
        <f t="array" ref="FX24">_xll.ASAssetInfo($A24,"Fund Domicile")</f>
        <v>LU</v>
      </c>
      <c r="FY24" s="14" t="str" cm="1">
        <f t="array" ref="FY24">_xll.ASAssetInfo($A24,"Fund Contact")</f>
        <v/>
      </c>
      <c r="FZ24" s="14" t="str" cm="1">
        <f t="array" ref="FZ24">_xll.ASAssetInfo($A24,"Fund Contact Email")</f>
        <v/>
      </c>
      <c r="GA24" s="14" t="str" cm="1">
        <f t="array" ref="GA24">_xll.ASAssetInfo($A24,"Fund Contact Number")</f>
        <v/>
      </c>
      <c r="GB24" s="14" t="str" cm="1">
        <f t="array" ref="GB24">_xll.ASAssetInfo($A24,"City")</f>
        <v>London</v>
      </c>
      <c r="GC24" s="14" t="str" cm="1">
        <f t="array" ref="GC24">_xll.ASAssetInfo($A24,"Leverage")</f>
        <v>N</v>
      </c>
      <c r="GD24" s="14" t="str" cm="1">
        <f t="array" ref="GD24">_xll.ASAssetInfo($A24,"Lockup 1 Duration")</f>
        <v>0 Months</v>
      </c>
      <c r="GE24" s="14" t="str" cm="1">
        <f t="array" ref="GE24">_xll.ASAssetInfo($A24,"Lockup 2 Duration")</f>
        <v>0 Months</v>
      </c>
      <c r="GF24" s="14" t="str" cm="1">
        <f t="array" ref="GF24">_xll.ASAssetInfo($A24,"Lockup 3 Duration")</f>
        <v>0 Months</v>
      </c>
      <c r="GG24" s="31" t="str" cm="1">
        <f t="array" ref="GG24">_xll.ASAssetInfo($A24,"Fund Level Gate")</f>
        <v/>
      </c>
      <c r="GH24" s="31" t="str" cm="1">
        <f t="array" ref="GH24">_xll.ASAssetInfo($A24,"Fund Level Gate Frequency")</f>
        <v>Unknown</v>
      </c>
      <c r="GI24" s="35" cm="1">
        <f t="array" ref="GI24">_xll.ASAssetInfo($A24,"Payment 2 (%)")</f>
        <v>0</v>
      </c>
      <c r="GJ24" s="35" t="str" cm="1">
        <f t="array" ref="GJ24">_xll.ASAssetInfo($A24,"Payment 2 (days)")</f>
        <v/>
      </c>
      <c r="GK24" s="35" t="str" cm="1">
        <f t="array" ref="GK24">_xll.ASAssetInfo($A24,"Payment 2 (Paid After)")</f>
        <v>NAV Date</v>
      </c>
      <c r="GL24" s="35" cm="1">
        <f t="array" ref="GL24">_xll.ASAssetInfo($A24,"Payment 3 (%)")</f>
        <v>0</v>
      </c>
      <c r="GM24" s="36" t="str" cm="1">
        <f t="array" ref="GM24">_xll.ASAssetInfo($A24,"Payment 3 (Days)")</f>
        <v/>
      </c>
      <c r="GN24" s="35" t="str" cm="1">
        <f t="array" ref="GN24">_xll.ASAssetInfo($A24,"Payment 3 (Paid After)")</f>
        <v>NAV Date</v>
      </c>
      <c r="GO24" s="35" cm="1">
        <f t="array" ref="GO24">_xll.ASAssetInfo($A24,"Payment 4 (%)")</f>
        <v>0</v>
      </c>
      <c r="GP24" s="36" t="str" cm="1">
        <f t="array" ref="GP24">_xll.ASAssetInfo($A24,"Payment 4 (days)")</f>
        <v/>
      </c>
      <c r="GQ24" s="35" t="str" cm="1">
        <f t="array" ref="GQ24">_xll.ASAssetInfo($A24,"Payment 4 (Paid After)")</f>
        <v>NAV Date</v>
      </c>
      <c r="GR24" s="11" cm="1">
        <f t="array" ref="GR24">_xll.ASAssetInfo($A24,"Payment 1 (%)")</f>
        <v>1</v>
      </c>
      <c r="GS24" s="35" cm="1">
        <f t="array" ref="GS24">_xll.ASAssetInfo($A24,"Lockup 1 Fee")</f>
        <v>0</v>
      </c>
      <c r="GT24" s="35" cm="1">
        <f t="array" ref="GT24">_xll.ASAssetInfo($A24,"Lockup 2 Fee")</f>
        <v>0</v>
      </c>
      <c r="GU24" s="35" cm="1">
        <f t="array" ref="GU24">_xll.ASAssetInfo($A24,"Lockup 3 Fee")</f>
        <v>0</v>
      </c>
      <c r="GV24" s="35" t="str" cm="1">
        <f t="array" ref="GV24">_xll.ASAssetInfo($A24,"Lockup 1 type")</f>
        <v>None</v>
      </c>
      <c r="GW24" s="35" t="str" cm="1">
        <f t="array" ref="GW24">_xll.ASAssetInfo($A24,"Lockup 2 type")</f>
        <v>None</v>
      </c>
      <c r="GX24" s="35" t="str" cm="1">
        <f t="array" ref="GX24">_xll.ASAssetInfo($A24,"Lockup 3 type")</f>
        <v>None</v>
      </c>
      <c r="GY24" s="35" t="str" cm="1">
        <f t="array" ref="GY24">_xll.ASAssetInfo($A24,"Redemption 1 type")</f>
        <v>Calendar</v>
      </c>
      <c r="GZ24" s="35" t="str" cm="1">
        <f t="array" ref="GZ24">_xll.ASAssetInfo($A24,"Redemption 2 type")</f>
        <v>Calendar</v>
      </c>
      <c r="HA24" s="35"/>
      <c r="HB24" s="35"/>
      <c r="HC24" s="35"/>
      <c r="HD24" s="35"/>
      <c r="HE24" s="35"/>
      <c r="HF24" s="35"/>
      <c r="HG24" s="35" t="str" cm="1">
        <f t="array" ref="HG24">_xll.ASAssetInfo($A24,"Redemption 3 Frequency")</f>
        <v>Unknown</v>
      </c>
      <c r="HH24" s="35" t="str" cm="1">
        <f t="array" ref="HH24">_xll.ASAssetInfo($A24,"Asset Calendar")</f>
        <v>[Default]</v>
      </c>
      <c r="HI24" s="16" cm="1">
        <f t="array" ref="HI24">_xll.ASAssetStatistic($A24,"Max Second Drawdown",,,,"m",'PBA Summary'!$F$2,'PBA Summary'!$G$2)</f>
        <v>-2.4704411810949511E-2</v>
      </c>
      <c r="HJ24" s="37" cm="1">
        <f t="array" ref="HJ24">_xll.ASAssetStatistic($A24,"Date Max Second Drawdown",,,,"m",'PBA Summary'!$F$2,'PBA Summary'!$G$2)</f>
        <v>43738</v>
      </c>
      <c r="HK24" s="37"/>
      <c r="HL24" s="37" t="str" cm="1">
        <f t="array" ref="HL24">_xll.ASAssetInfo($A24,HL$1)</f>
        <v/>
      </c>
      <c r="HM24" s="34" t="str" cm="1">
        <f t="array" ref="HM24">_xll.ASAssetInfo($A24,HM$1)</f>
        <v/>
      </c>
      <c r="HN24" s="37" t="str" cm="1">
        <f t="array" ref="HN24">_xll.ASAssetInfo($A24,HN$1)</f>
        <v/>
      </c>
      <c r="HO24" s="15" cm="1">
        <f t="array" ref="HO24">_xll.ASAssetInfo($A24,HO$1)</f>
        <v>0</v>
      </c>
      <c r="HP24" s="15" t="str" cm="1">
        <f t="array" ref="HP24">_xll.ASAssetInfo($A24,HP$1)</f>
        <v/>
      </c>
      <c r="HQ24" s="34" t="str" cm="1">
        <f t="array" ref="HQ24">_xll.ASAssetInfo($A24,HQ$1)</f>
        <v/>
      </c>
      <c r="HR24" s="37" t="str" cm="1">
        <f t="array" ref="HR24">_xll.ASAssetInfo($A24,HR$1)</f>
        <v/>
      </c>
      <c r="HS24" s="37" t="str" cm="1">
        <f t="array" ref="HS24">_xll.ASAssetInfo($A24,HS$1)</f>
        <v/>
      </c>
      <c r="HT24" s="37" t="str" cm="1">
        <f t="array" ref="HT24">_xll.ASAssetInfo($A24,HT$1)</f>
        <v/>
      </c>
      <c r="HU24" s="37" t="str" cm="1">
        <f t="array" ref="HU24">_xll.ASAssetInfo($A24,HU$1)</f>
        <v>Global</v>
      </c>
      <c r="HV24" s="37" t="str" cm="1">
        <f t="array" ref="HV24">_xll.ASAssetInfo($A24,HV$1)</f>
        <v/>
      </c>
      <c r="HW24" s="37" t="str" cm="1">
        <f t="array" ref="HW24">_xll.ASAssetInfo($A24,HW$1)</f>
        <v/>
      </c>
    </row>
    <row r="25" spans="1:231" s="11" customFormat="1" x14ac:dyDescent="0.25">
      <c r="A25" t="s">
        <v>16</v>
      </c>
      <c r="B25" cm="1">
        <f t="array" ref="B25">_xll.ASPortfolioWeights('PBA Summary'!$C$2,"OR",$A25)</f>
        <v>0</v>
      </c>
      <c r="C25" cm="1">
        <f t="array" ref="C25">_xll.ASAssetStatistic($A25,"Annualized Return since inception",,,,"m",_xll.ASAssetInfo($A25,"Start Date"),_xll.ASAssetInfo($A25,"Last Return Date"))</f>
        <v>7.2250114452474534E-2</v>
      </c>
      <c r="D25" cm="1">
        <f t="array" ref="D25">_xll.ASAssetStatistic($A25,"Annualized Return",,,,"m",'PBA Summary'!$F$2,'PBA Summary'!$G$2)</f>
        <v>5.53291098408355E-2</v>
      </c>
      <c r="E25" s="19" cm="1">
        <f t="array" ref="E25">_xll.ASAssetStatistic($A25,"Equilibrium Annual Return",,,,"m",'PBA Summary'!$F$2,'PBA Summary'!$G$2)</f>
        <v>1.4082707549484708E-2</v>
      </c>
      <c r="F25" cm="1">
        <f t="array" ref="F25">_xll.ASAssetStatistic($A25,"Annualized Volatility (Inception)",,,,"m",_xll.ASAssetInfo($A25,"Start Date"),_xll.ASAssetInfo($A25,"Last Return Date"))</f>
        <v>1.9515524179867742E-2</v>
      </c>
      <c r="G25" cm="1">
        <f t="array" ref="G25">_xll.ASAssetStatistic($A25,"Annualized Volatility",,,,"m",'PBA Summary'!$F$2,'PBA Summary'!$G$2)</f>
        <v>1.5630746166021833E-2</v>
      </c>
      <c r="H25" s="20" cm="1">
        <f t="array" ref="H25">_xll.ASAssetStatistic($A25,"Skewness",,,,"m",'PBA Summary'!$F$2,'PBA Summary'!$G$2)</f>
        <v>-5.4526469082748687E-3</v>
      </c>
      <c r="I25" s="20" cm="1">
        <f t="array" ref="I25">_xll.ASAssetStatistic($A25,"Excess kurtosis",,,,"m",'PBA Summary'!$F$2,'PBA Summary'!$G$2)</f>
        <v>-0.98106983460402142</v>
      </c>
      <c r="J25" s="19" cm="1">
        <f t="array" ref="J25">_xll.ASAssetStatistic($A25,"Return Last 1 month",,,,"m",'PBA Summary'!$F$2,'PBA Summary'!$G$2)</f>
        <v>9.4398646929809704E-3</v>
      </c>
      <c r="K25" s="19" cm="1">
        <f t="array" ref="K25">_xll.ASAssetStatistic($A25,"Return Last 3 months",,,,"m",'PBA Summary'!$F$2,'PBA Summary'!$G$2)</f>
        <v>2.8561820894895007E-2</v>
      </c>
      <c r="L25" s="19" cm="1">
        <f t="array" ref="L25">_xll.ASAssetStatistic($A25,"Return Last 1 year",,,,"m",'PBA Summary'!$F$2,'PBA Summary'!$G$2)</f>
        <v>5.2035712750254648E-2</v>
      </c>
      <c r="M25" s="19" cm="1">
        <f t="array" ref="M25">_xll.ASAssetStatistic($A25,"Year-to-date Return",,,,"m",'PBA Summary'!$F$2,'PBA Summary'!$G$2)</f>
        <v>9.4398646929809704E-3</v>
      </c>
      <c r="N25" s="19" cm="1">
        <f t="array" ref="N25">_xll.ASAssetStatistic($A25,"Annualized Return",,,,"m",EOMONTH('PBA Summary'!$G$2,-2),'PBA Summary'!$G$2)</f>
        <v>0.11923581512595716</v>
      </c>
      <c r="O25" s="19" t="str" cm="1">
        <f t="array" ref="O25">_xll.ASAssetStatistic($A25,"Annualized Return Last 3 years",,,,"m",'PBA Summary'!$F$2,'PBA Summary'!$G$2)</f>
        <v/>
      </c>
      <c r="P25" s="19" t="str" cm="1">
        <f t="array" ref="P25">_xll.ASAssetStatistic($A25,"Annualized Return Last 5 years",,,,"m",'PBA Summary'!$F$2,'PBA Summary'!$G$2)</f>
        <v/>
      </c>
      <c r="Q25" s="19" cm="1">
        <f t="array" ref="Q25">_xll.ASAssetStatistic($A25,"Annualized Volatility Last 1 year",,,,"m",'PBA Summary'!$F$2,'PBA Summary'!$G$2)</f>
        <v>1.7291514060819409E-2</v>
      </c>
      <c r="R25" s="19" t="str" cm="1">
        <f t="array" ref="R25">_xll.ASAssetStatistic($A25,"Annualized Volatility Last 3 years",,,,"m",'PBA Summary'!$F$2,'PBA Summary'!$G$2)</f>
        <v/>
      </c>
      <c r="S25" s="19" t="str" cm="1">
        <f t="array" ref="S25">_xll.ASAssetStatistic($A25,"Annualized Volatility Last 5 years",,,,"m",'PBA Summary'!$F$2,'PBA Summary'!$G$2)</f>
        <v/>
      </c>
      <c r="T25" s="19" cm="1">
        <f t="array" ref="T25">_xll.ASAssetStatistic($A25,"Normal monthly VaR 99%",,,,"m",'PBA Summary'!$F$2,'PBA Summary'!$G$2)</f>
        <v>-5.9896984740320999E-3</v>
      </c>
      <c r="U25" s="19" cm="1">
        <f t="array" ref="U25">_xll.ASAssetStatistic($A25,"Modified monthly VaR 99%",,,,"m",'PBA Summary'!$F$2,'PBA Summary'!$G$2)</f>
        <v>-4.9728099176359862E-3</v>
      </c>
      <c r="V25" s="19" cm="1">
        <f t="array" ref="V25">_xll.ASAssetStatistic($A25,"Conditional monthly VaR 99%",,,,"m",'PBA Summary'!$F$2,'PBA Summary'!$G$2)</f>
        <v>-2.8758094937570977E-3</v>
      </c>
      <c r="W25" s="19" cm="1">
        <f t="array" ref="W25">_xll.ASAssetStatistic($A25,"Normal monthly VaR 97%",,,,"m",'PBA Summary'!$F$2,'PBA Summary'!$G$2)</f>
        <v>-3.9792650609720044E-3</v>
      </c>
      <c r="X25" s="19" cm="1">
        <f t="array" ref="X25">_xll.ASAssetStatistic($A25,"Modified monthly VaR 97%",,,,"m",'PBA Summary'!$F$2,'PBA Summary'!$G$2)</f>
        <v>-3.8032302788049976E-3</v>
      </c>
      <c r="Y25" s="19" cm="1">
        <f t="array" ref="Y25">_xll.ASAssetStatistic($A25,"Conditional monthly VaR 97%",,,,"m",'PBA Summary'!$F$2,'PBA Summary'!$G$2)</f>
        <v>-2.8758094937570977E-3</v>
      </c>
      <c r="Z25" s="19" cm="1">
        <f t="array" ref="Z25">_xll.ASAssetStatistic($A25,"Normal monthly VaR 95%",,,,"m",'PBA Summary'!$F$2,'PBA Summary'!$G$2)</f>
        <v>-2.9146548484903917E-3</v>
      </c>
      <c r="AA25" s="19" cm="1">
        <f t="array" ref="AA25">_xll.ASAssetStatistic($A25,"Modified monthly VaR 95%",,,,"m",'PBA Summary'!$F$2,'PBA Summary'!$G$2)</f>
        <v>-3.0109819903817508E-3</v>
      </c>
      <c r="AB25" s="19" cm="1">
        <f t="array" ref="AB25">_xll.ASAssetStatistic($A25,"Conditional monthly VaR 95%",,,,"m",'PBA Summary'!$F$2,'PBA Summary'!$G$2)</f>
        <v>-2.8758094937570977E-3</v>
      </c>
      <c r="AC25" s="66" cm="1">
        <f t="array" ref="AC25">_xll.ASAssetStatistic($A25,"Correlation to Benchmark 1","MSCI ACWI Index",,,"m",'PBA Summary'!$F$2,'PBA Summary'!$G$2)</f>
        <v>6.2486141191238256E-2</v>
      </c>
      <c r="AD25" s="38" cm="1">
        <f t="array" ref="AD25">IF('PBA Summary'!$D$3="","",_xll.ASAssetStatistic($A25,"Correlation to Benchmark 1",'PBA Summary'!$D$3,,,"m",'PBA Summary'!$F$2,'PBA Summary'!$G$2))</f>
        <v>7.6029679170079759E-2</v>
      </c>
      <c r="AE25" s="21" cm="1">
        <f t="array" ref="AE25">IF('PBA Summary'!$D$2="","",_xll.ASAssetStatistic($A25,"Bull correlation to Benchmark 1",'PBA Summary'!$D$2,,,"m",'PBA Summary'!$F$2,'PBA Summary'!$G$2))</f>
        <v>0.51151758148846938</v>
      </c>
      <c r="AF25" s="21" cm="1">
        <f t="array" ref="AF25">IF('PBA Summary'!$D$2="","",_xll.ASAssetStatistic($A25,"Bear correlation to Benchmark 1",'PBA Summary'!$D$2,,,"m",'PBA Summary'!$F$2,'PBA Summary'!$G$2))</f>
        <v>0.46106116974009009</v>
      </c>
      <c r="AG25" s="21" cm="1">
        <f t="array" ref="AG25">IF('PBA Summary'!$D$3="","",_xll.ASAssetStatistic($A25,"Bull correlation to Benchmark 1",'PBA Summary'!$D$3,,,"m",'PBA Summary'!$F$2,'PBA Summary'!$G$2))</f>
        <v>0.51151758148846938</v>
      </c>
      <c r="AH25" s="21" cm="1">
        <f t="array" ref="AH25">IF('PBA Summary'!$D$3="","",_xll.ASAssetStatistic($A25,"Bear correlation to Benchmark 1",'PBA Summary'!$D$3,,,"m",'PBA Summary'!$F$2,'PBA Summary'!$G$2))</f>
        <v>0.46106116974009009</v>
      </c>
      <c r="AI25" s="24" cm="1">
        <f t="array" ref="AI25">IF('PBA Summary'!$D$2="","",_xll.ASAssetStatistic($A25,"Beta to Benchmark 1",'PBA Summary'!$D$2,,,"m",'PBA Summary'!$F$2,'PBA Summary'!$G$2))</f>
        <v>7.7408134403908176E-3</v>
      </c>
      <c r="AJ25" s="24" t="str" cm="1">
        <f t="array" ref="AJ25">IF('PBA Summary'!$D$2="","",_xll.ASAssetStatistic($A25,"Beta to Benchmark 1 Last 3 years",'PBA Summary'!$D$2,,,"m",'PBA Summary'!$F$2,'PBA Summary'!$G$2))</f>
        <v/>
      </c>
      <c r="AK25" s="24" t="str" cm="1">
        <f t="array" ref="AK25">IF('PBA Summary'!$D$2="","",_xll.ASAssetStatistic($A25,"Beta to Benchmark 1 Last 5 years",'PBA Summary'!$D$2,,,"m",'PBA Summary'!$F$2,'PBA Summary'!$G$2))</f>
        <v/>
      </c>
      <c r="AL25" s="25" cm="1">
        <f t="array" ref="AL25">IF('PBA Summary'!$D$3="","",_xll.ASAssetStatistic($A25,"Beta to Benchmark 1",'PBA Summary'!$D$3,,,"m",'PBA Summary'!$F$2,'PBA Summary'!$G$2))</f>
        <v>7.7408134403908176E-3</v>
      </c>
      <c r="AM25" s="25" t="str" cm="1">
        <f t="array" ref="AM25">IF('PBA Summary'!$D$3="","",_xll.ASAssetStatistic($A25,"Beta to Benchmark 1 Last 3 years",'PBA Summary'!$D$3,,,"m",'PBA Summary'!$F$2,'PBA Summary'!$G$2))</f>
        <v/>
      </c>
      <c r="AN25" s="25" t="str" cm="1">
        <f t="array" ref="AN25">IF('PBA Summary'!$D$3="","",_xll.ASAssetStatistic($A25,"Beta to Benchmark 1 Last 5 years",'PBA Summary'!$D$3,,,"m",'PBA Summary'!$F$2,'PBA Summary'!$G$2))</f>
        <v/>
      </c>
      <c r="AO25" s="25" cm="1">
        <f t="array" ref="AO25">IF('PBA Summary'!$D$2="","",_xll.ASAssetStatistic($A25,"Bull Beta to Benchmark 1",'PBA Summary'!$D$2,,,"m",'PBA Summary'!$F$2,'PBA Summary'!$G$2))</f>
        <v>0.11000100771695021</v>
      </c>
      <c r="AP25" s="25" cm="1">
        <f t="array" ref="AP25">IF('PBA Summary'!$D$2="","",_xll.ASAssetStatistic($A25,"Bear Beta to Benchmark 1",'PBA Summary'!$D$2,,,"m",'PBA Summary'!$F$2,'PBA Summary'!$G$2))</f>
        <v>4.5929980677391943E-2</v>
      </c>
      <c r="AQ25" s="25" cm="1">
        <f t="array" ref="AQ25">IF('PBA Summary'!$D$3="","",_xll.ASAssetStatistic($A25,"Bull Beta to Benchmark 1",'PBA Summary'!$D$3,,,"m",'PBA Summary'!$F$2,'PBA Summary'!$G$2))</f>
        <v>0.11000100771695021</v>
      </c>
      <c r="AR25" s="25" cm="1">
        <f t="array" ref="AR25">IF('PBA Summary'!$D$3="","",_xll.ASAssetStatistic($A25,"Bear Beta to Benchmark 1",'PBA Summary'!$D$3,,,"m",'PBA Summary'!$F$2,'PBA Summary'!$G$2))</f>
        <v>4.5929980677391943E-2</v>
      </c>
      <c r="AS25" s="25" cm="1">
        <f t="array" ref="AS25">_xll.ASAssetStatistic($A25,"Annual Sharpe Ratio (Rf)",,,'PBA Summary'!$H$2,"m",'PBA Summary'!$F$2,'PBA Summary'!$G$2)</f>
        <v>3.3798200853440759</v>
      </c>
      <c r="AT25" s="25" t="str" cm="1">
        <f t="array" ref="AT25">_xll.ASAssetStatistic($A25,"Annual Sharpe Ratio (Rf) Last 3 years",,,'PBA Summary'!$H$2,"m",'PBA Summary'!$F$2,'PBA Summary'!$G$2)</f>
        <v/>
      </c>
      <c r="AU25" s="25" t="str" cm="1">
        <f t="array" ref="AU25">_xll.ASAssetStatistic($A25,"Annual Sharpe Ratio (Rf) Last 5 years",,,'PBA Summary'!$H$2,"m",'PBA Summary'!$F$2,'PBA Summary'!$G$2)</f>
        <v/>
      </c>
      <c r="AV25" s="18" cm="1">
        <f t="array" ref="AV25">_xll.ASAssetStatistic($A25,"Ann. Downside Deviation (vs 0%)",,,'PBA Summary'!$H$2,"m",'PBA Summary'!$F$2,'PBA Summary'!$G$2)</f>
        <v>2.6828885943004479E-3</v>
      </c>
      <c r="AW25" s="18" cm="1">
        <f t="array" ref="AW25">_xll.ASAssetStatistic($A25,"Ann. Downside Deviation (vs Rf)",,,'PBA Summary'!$H$2,"m",'PBA Summary'!$F$2,'PBA Summary'!$G$2)</f>
        <v>2.9259562182062326E-3</v>
      </c>
      <c r="AX25" s="39" cm="1">
        <f t="array" ref="AX25">_xll.ASAssetStatistic($A25,"Annual Treynor ratio",,,'PBA Summary'!$H$2,"m",'PBA Summary'!$F$2,'PBA Summary'!$G$2)</f>
        <v>1.9971393181048542</v>
      </c>
      <c r="AY25" s="26" cm="1">
        <f t="array" ref="AY25">_xll.ASAssetStatistic($A25,"Annual Sortino Ratio (vs 0%)",,,'PBA Summary'!$H$2,"m",'PBA Summary'!$F$2,'PBA Summary'!$G$2)</f>
        <v>20.6229621156753</v>
      </c>
      <c r="AZ25" s="26" cm="1">
        <f t="array" ref="AZ25">_xll.ASAssetStatistic($A25,"Annual Sortino Ratio (vs Rf)",,,'PBA Summary'!$H$2,"m",'PBA Summary'!$F$2,'PBA Summary'!$G$2)</f>
        <v>18.055331625304554</v>
      </c>
      <c r="BA25" s="26" cm="1">
        <f t="array" ref="BA25">_xll.ASAssetStatistic($A25,"Sterling ratio",,,'PBA Summary'!$H$2,"m",'PBA Summary'!$F$2,'PBA Summary'!$G$2)</f>
        <v>0.53341576363084109</v>
      </c>
      <c r="BB25" s="26" cm="1">
        <f t="array" ref="BB25">_xll.ASAssetStatistic($A25,"Calmar ratio",,,'PBA Summary'!$H$2,"m",'PBA Summary'!$F$2,'PBA Summary'!$G$2)</f>
        <v>14.849269059937667</v>
      </c>
      <c r="BC25" s="26" cm="1">
        <f t="array" ref="BC25">_xll.ASAssetStatistic($A25,"Hurst index",,,'PBA Summary'!$H$2,"m",'PBA Summary'!$F$2,'PBA Summary'!$G$2)</f>
        <v>0.50883612931656774</v>
      </c>
      <c r="BD25" s="26" cm="1">
        <f t="array" ref="BD25">_xll.ASAssetStatistic($A25,"Omega (Threshold 1)",,,'PBA Summary'!$H$2,"m",'PBA Summary'!$F$2,'PBA Summary'!$G$2)</f>
        <v>19.133020848364257</v>
      </c>
      <c r="BE25" s="26" cm="1">
        <f t="array" ref="BE25">_xll.ASAssetStatistic($A25,"Omega (Threshold 2)",,,'PBA Summary'!$H$2,"m",'PBA Summary'!$F$2,'PBA Summary'!$G$2)</f>
        <v>0.76883342209154182</v>
      </c>
      <c r="BF25" s="26" cm="1">
        <f t="array" ref="BF25">_xll.ASAssetStatistic($A25,"Omega (Threshold 3)",,,'PBA Summary'!$H$2,"m",'PBA Summary'!$F$2,'PBA Summary'!$G$2)</f>
        <v>3.1105650717653397E-2</v>
      </c>
      <c r="BG25" s="26" cm="1">
        <f t="array" ref="BG25">_xll.ASAssetStatistic($A25,"Omega (Threshold 4)",,,'PBA Summary'!$H$2,"m",'PBA Summary'!$F$2,'PBA Summary'!$G$2)</f>
        <v>0</v>
      </c>
      <c r="BH25" s="26" cm="1">
        <f t="array" ref="BH25">_xll.ASAssetStatistic($A25,"Omega (Threshold 5)",,,'PBA Summary'!$H$2,"m",'PBA Summary'!$F$2,'PBA Summary'!$G$2)</f>
        <v>0</v>
      </c>
      <c r="BI25" s="26" t="str" cm="1">
        <f t="array" ref="BI25">_xll.ASAssetStatistic($A25,"Autocorrelated (illiquid)",,,'PBA Summary'!$H$2,"m",'PBA Summary'!$F$2,'PBA Summary'!$G$2)</f>
        <v>No</v>
      </c>
      <c r="BJ25" s="27" cm="1">
        <f t="array" ref="BJ25">_xll.ASAssetStatistic($A25,"% months in Run Up",,,'PBA Summary'!$H$2,"m",'PBA Summary'!$F$2,'PBA Summary'!$G$2)</f>
        <v>0.8666666666666667</v>
      </c>
      <c r="BK25" s="27" cm="1">
        <f t="array" ref="BK25">_xll.ASAssetStatistic($A25,"% months in Drawdown",,,'PBA Summary'!$H$2,"m",'PBA Summary'!$F$2,'PBA Summary'!$G$2)</f>
        <v>0.13333333333333333</v>
      </c>
      <c r="BL25" s="18" cm="1">
        <f t="array" ref="BL25">IF('PBA Summary'!$D$2="","",_xll.ASAssetStatistic($A25,"Bull Beta to Benchmark 1",'PBA Summary'!$D$2,,,"m",'PBA Summary'!$F$2,'PBA Summary'!$G$2))</f>
        <v>0.11000100771695021</v>
      </c>
      <c r="BM25" s="18" cm="1">
        <f t="array" ref="BM25">IF('PBA Summary'!$D$2="","",_xll.ASAssetStatistic($A25,"Average return during bear Benchmark 1",'PBA Summary'!$D$2,,,"m",'PBA Summary'!$F$2,'PBA Summary'!$G$2))</f>
        <v>6.2558309791402866E-3</v>
      </c>
      <c r="BN25" s="18" cm="1">
        <f t="array" ref="BN25">IF('PBA Summary'!$D$3="","",_xll.ASAssetStatistic($A25,"Average return during bull Benchmark 1",'PBA Summary'!$D$3,,,"m",'PBA Summary'!$F$2,'PBA Summary'!$G$2))</f>
        <v>3.8714247895035099E-3</v>
      </c>
      <c r="BO25" s="18" cm="1">
        <f t="array" ref="BO25">IF('PBA Summary'!$D$3="","",_xll.ASAssetStatistic($A25,"Average return during bear Benchmark 1",'PBA Summary'!$D$3,,,"m",'PBA Summary'!$F$2,'PBA Summary'!$G$2))</f>
        <v>6.2558309791402866E-3</v>
      </c>
      <c r="BP25" s="27" cm="1">
        <f t="array" ref="BP25">_xll.ASAssetStatistic($A25,"Maximum consecutive gain",,,'PBA Summary'!$H$2,"m",'PBA Summary'!$F$2,'PBA Summary'!$G$2)</f>
        <v>5.597031027488919E-2</v>
      </c>
      <c r="BQ25" s="27" cm="1">
        <f t="array" ref="BQ25">_xll.ASAssetStatistic($A25,"Maximum consecutive loss",,,'PBA Summary'!$H$2,"m",'PBA Summary'!$F$2,'PBA Summary'!$G$2)</f>
        <v>-3.726049384485175E-3</v>
      </c>
      <c r="BR25" s="27" cm="1">
        <f t="array" ref="BR25">_xll.ASAssetStatistic($A25,"Max monthly gain",,,'PBA Summary'!$H$2,"m",'PBA Summary'!$F$2,'PBA Summary'!$G$2)</f>
        <v>1.2645103437646688E-2</v>
      </c>
      <c r="BS25" s="27" cm="1">
        <f t="array" ref="BS25">_xll.ASAssetStatistic($A25,"Max monthly loss",,,'PBA Summary'!$H$2,"m",'PBA Summary'!$F$2,'PBA Summary'!$G$2)</f>
        <v>-2.8758094937570977E-3</v>
      </c>
      <c r="BT25" s="27" cm="1">
        <f t="array" ref="BT25">_xll.ASAssetStatistic($A25,"Max drawdown",,,'PBA Summary'!$H$2,"m",'PBA Summary'!$F$2,'PBA Summary'!$G$2)</f>
        <v>-3.726049384485175E-3</v>
      </c>
      <c r="BU25" s="28" cm="1">
        <f t="array" ref="BU25">_xll.ASAssetStatistic($A25,"Date Max drawdown",,,'PBA Summary'!$H$2,"m",'PBA Summary'!$F$2,'PBA Summary'!$G$2)</f>
        <v>43555</v>
      </c>
      <c r="BV25" s="28" cm="1">
        <f t="array" ref="BV25">_xll.ASAssetStatistic($A25,"Start Date Max Drawdown",,,'PBA Summary'!$H$2,"m",'PBA Summary'!$F$2,'PBA Summary'!$G$2)</f>
        <v>43524</v>
      </c>
      <c r="BW25" s="28" cm="1">
        <f t="array" ref="BW25">_xll.ASAssetStatistic($A25,"End Date Max Drawdown",,,'PBA Summary'!$H$2,"m",'PBA Summary'!$F$2,'PBA Summary'!$G$2)</f>
        <v>43555</v>
      </c>
      <c r="BX25" s="29" cm="1">
        <f t="array" ref="BX25">_xll.ASAssetStatistic($A25,"Max Time-under-water (months)",,,'PBA Summary'!$H$2,"m",'PBA Summary'!$F$2,'PBA Summary'!$G$2)</f>
        <v>2</v>
      </c>
      <c r="BY25" s="27" cm="1">
        <f t="array" ref="BY25">_xll.ASAssetStatistic($A25,"Max possible drawdown 99%",,,'PBA Summary'!$H$2,"m",'PBA Summary'!$F$2,'PBA Summary'!$G$2)</f>
        <v>-6.1115907985998608E-3</v>
      </c>
      <c r="BZ25" s="27" cm="1">
        <f t="array" ref="BZ25">_xll.ASAssetStatistic($A25,"Max possible drawdown 99.9%",,,'PBA Summary'!$H$2,"m",'PBA Summary'!$F$2,'PBA Summary'!$G$2)</f>
        <v>-1.0784182007931182E-2</v>
      </c>
      <c r="CA25" s="30" cm="1">
        <f t="array" ref="CA25">_xll.ASAssetStatistic($A25,"Max Possible Time-under-water 99% (months)",,,'PBA Summary'!$H$2,"m",'PBA Summary'!$F$2,'PBA Summary'!$G$2)</f>
        <v>5.4237670480384965</v>
      </c>
      <c r="CB25" s="30" cm="1">
        <f t="array" ref="CB25">_xll.ASAssetStatistic($A25,"Max Possible Time-under-water 99.9% (months)",,,'PBA Summary'!$H$2,"m",'PBA Summary'!$F$2,'PBA Summary'!$G$2)</f>
        <v>9.570485482775906</v>
      </c>
      <c r="CC25" s="17" cm="1">
        <f t="array" ref="CC25">_xll.ASPortfolioReturnAttribution('PBA Summary'!$C$2,"OR",A25,"Last 1m",'PBA Summary'!$F$2,'PBA Summary'!$G$2)</f>
        <v>0</v>
      </c>
      <c r="CD25" s="11" t="str" cm="1">
        <f t="array" ref="CD25">_xll.ASAssetInfo($A25,"Strategy")</f>
        <v>Funds - Macro Arbitrage</v>
      </c>
      <c r="CE25" s="14" cm="1">
        <f t="array" ref="CE25">_xll.ASAssetInfo($A25,"Start Date")</f>
        <v>41851</v>
      </c>
      <c r="CF25" s="14" t="str" cm="1">
        <f t="array" ref="CF25">_xll.ASAssetRatings($A25,"Quantitative",0,0,0,0,0,'PBA Summary'!$F$2,'PBA Summary'!$G$2)</f>
        <v/>
      </c>
      <c r="CG25" s="14" t="str" cm="1">
        <f t="array" ref="CG25">_xll.ASAssetRatings($A25,"Qualitative",0,0,0,0,0,'PBA Summary'!$F$2,'PBA Summary'!$G$2)</f>
        <v/>
      </c>
      <c r="CH25" s="14" t="str" cm="1">
        <f t="array" ref="CH25">_xll.ASAssetRatings($A25,"Final",0,0,0,0,0,'PBA Summary'!$F$2,'PBA Summary'!$G$2)</f>
        <v/>
      </c>
      <c r="CI25" s="14" cm="1">
        <f t="array" ref="CI25">_xll.ASAssetInfo($A25,"Last Return Date")</f>
        <v>44135</v>
      </c>
      <c r="CJ25" s="14" t="str" cm="1">
        <f t="array" ref="CJ25">_xll.ASAssetInfo($A25,"Company Name")</f>
        <v>Ariana Investment Management P</v>
      </c>
      <c r="CK25" s="14" t="str" cm="1">
        <f t="array" ref="CK25">_xll.ASAssetInfo($A25,"Manager Name")</f>
        <v>Mukesh Dave</v>
      </c>
      <c r="CL25" s="14" t="str" cm="1">
        <f t="array" ref="CL25">_xll.ASAssetInfo($A25,"Address")</f>
        <v>Ariana Investment Management. Singapore. 20, Cecil Street, 17-05 PLUS. Ariana Investment Management Pte Ltd. SG 049705</v>
      </c>
      <c r="CM25" s="14" t="str" cm="1">
        <f t="array" ref="CM25">_xll.ASAssetInfo($A25,"Phone Number")</f>
        <v/>
      </c>
      <c r="CN25" s="14" t="str" cm="1">
        <f t="array" ref="CN25">_xll.ASAssetInfo($A25,"Email")</f>
        <v/>
      </c>
      <c r="CO25" s="14" t="str" cm="1">
        <f t="array" ref="CO25">_xll.ASAssetInfo($A25,"Asset Type")</f>
        <v>Alternatives</v>
      </c>
      <c r="CP25" s="14" t="str" cm="1">
        <f t="array" ref="CP25">_xll.ASAssetInfo($A25,"Proprietary ID")</f>
        <v/>
      </c>
      <c r="CQ25" s="14" t="str" cm="1">
        <f t="array" ref="CQ25">_xll.ASAssetInfo($A25,"Country")</f>
        <v>Singapore</v>
      </c>
      <c r="CR25" s="14" t="str" cm="1">
        <f t="array" ref="CR25">_xll.ASAssetInfo($A25,"Currency")</f>
        <v>USD</v>
      </c>
      <c r="CS25" s="14" t="str" cm="1">
        <f t="array" ref="CS25">_xll.ASAssetInfo($A25,"Sub-Strategy")</f>
        <v>Macro</v>
      </c>
      <c r="CT25" s="31" cm="1">
        <f t="array" ref="CT25">_xll.ASAssetInfo($A25,"Fund AUM (m)")</f>
        <v>71.599999999999994</v>
      </c>
      <c r="CU25" s="31" t="str" cm="1">
        <f t="array" ref="CU25">_xll.ASAssetInfo($A25,"Status")</f>
        <v>Open</v>
      </c>
      <c r="CV25" s="31" t="str" cm="1">
        <f t="array" ref="CV25">_xll.ASAssetInfo($A25,"Redemption 1 Frequency")</f>
        <v>Monthly</v>
      </c>
      <c r="CW25" s="31" t="str" cm="1">
        <f t="array" ref="CW25">_xll.ASAssetInfo($A25,"Redemption 2 Frequency")</f>
        <v>Unknown</v>
      </c>
      <c r="CX25" s="31" t="str" cm="1">
        <f t="array" ref="CX25">_xll.ASAssetInfo($A25,"Redemption 3 Frequency")</f>
        <v>Unknown</v>
      </c>
      <c r="CY25" s="31" t="str" cm="1">
        <f t="array" ref="CY25">_xll.ASAssetInfo($A25,"Notice Period")</f>
        <v>3 Days</v>
      </c>
      <c r="CZ25" s="15" cm="1">
        <f t="array" ref="CZ25">_xll.ASAssetInfo($A25,"Performance Fee")</f>
        <v>0.15</v>
      </c>
      <c r="DA25" s="15" cm="1">
        <f t="array" ref="DA25">_xll.ASAssetInfo($A25,"Management Fee")</f>
        <v>1.4999999999999999E-2</v>
      </c>
      <c r="DB25" s="15" t="str" cm="1">
        <f t="array" ref="DB25">_xll.ASAssetInfo($A25,"ISIN")</f>
        <v>KYG047761039</v>
      </c>
      <c r="DC25" s="16" cm="1">
        <f t="array" ref="DC25">_xll.ASAssetStatistic($A25,"Return during " &amp;YEAR(EOMONTH('PBA Summary'!$G$2,-60)),,,,"M",DATE(YEAR(EOMONTH('PBA Summary'!$G$2,-60)),1,31),DATE(YEAR(EOMONTH('PBA Summary'!$G$2,-60)),12,31))</f>
        <v>5.1412553694260898E-2</v>
      </c>
      <c r="DD25" s="16" cm="1">
        <f t="array" ref="DD25">_xll.ASAssetStatistic($A25,"Return during " &amp;YEAR(EOMONTH('PBA Summary'!$G$2,-48)),,,,"M",DATE(YEAR(EOMONTH('PBA Summary'!$G$2,-48)),1,31),DATE(YEAR(EOMONTH('PBA Summary'!$G$2,-48)),12,31))</f>
        <v>8.5522424727709323E-2</v>
      </c>
      <c r="DE25" s="16" cm="1">
        <f t="array" ref="DE25">_xll.ASAssetStatistic($A25,"Return during " &amp;YEAR(EOMONTH('PBA Summary'!$G$2,-36)),,,,"M",DATE(YEAR(EOMONTH('PBA Summary'!$G$2,-36)),1,31),DATE(YEAR(EOMONTH('PBA Summary'!$G$2,-36)),12,31))</f>
        <v>7.5473595976529362E-2</v>
      </c>
      <c r="DF25" s="16" cm="1">
        <f t="array" ref="DF25">_xll.ASAssetStatistic($A25,"Return during " &amp;YEAR(EOMONTH('PBA Summary'!$G$2,-24)),,,,"M",DATE(YEAR(EOMONTH('PBA Summary'!$G$2,-24)),1,31),DATE(YEAR(EOMONTH('PBA Summary'!$G$2,-24)),12,31))</f>
        <v>8.2281144781144677E-2</v>
      </c>
      <c r="DG25" s="16" cm="1">
        <f t="array" ref="DG25">_xll.ASAssetStatistic($A25,"Return during " &amp;YEAR(EOMONTH('PBA Summary'!$G$2,-12)),,,,"M",DATE(YEAR(EOMONTH('PBA Summary'!$G$2,-12)),1,31),DATE(YEAR(EOMONTH('PBA Summary'!$G$2,-12)),12,31))</f>
        <v>4.7428723687716667E-2</v>
      </c>
      <c r="DH25" s="11" t="str" cm="1">
        <f t="array" ref="DH25">_xll.ASAssetInfo($A25,"Prime Broker")</f>
        <v/>
      </c>
      <c r="DI25" s="16" cm="1">
        <f t="array" ref="DI25">_xll.ASAssetStatistic($A25,"Return",,,,"m",'PBA Summary'!$F$2,'PBA Summary'!$G$2)</f>
        <v>6.9633256108756036E-2</v>
      </c>
      <c r="DJ25" s="33" cm="1">
        <f t="array" ref="DJ25">IF('PBA Summary'!$D$2="","",_xll.ASAssetStatistic($A25,"Ann. Information Ratio vs Benchmark 1",'PBA Summary'!$D$2,,,"m",'PBA Summary'!$F$2,'PBA Summary'!$G$2))</f>
        <v>-0.76394314425254828</v>
      </c>
      <c r="DK25" s="33" cm="1">
        <f t="array" ref="DK25">IF('PBA Summary'!$D$3="","",_xll.ASAssetStatistic($A25,"Ann. Information Ratio vs Benchmark 1",'PBA Summary'!$D$3,,,"m",'PBA Summary'!$F$2,'PBA Summary'!$G$2))</f>
        <v>-0.76394314425254828</v>
      </c>
      <c r="DL25" s="33" cm="1">
        <f t="array" ref="DL25">IF('PBA Summary'!$D$2="","",_xll.ASAssetStatistic($A25,"Ann. Tracking Error vs Benchmark 1",'PBA Summary'!$D$2,,,"m",'PBA Summary'!$F$2,'PBA Summary'!$G$2))</f>
        <v>0.15313079941346897</v>
      </c>
      <c r="DM25" s="33" cm="1">
        <f t="array" ref="DM25">IF('PBA Summary'!$D$3="","",_xll.ASAssetStatistic($A25,"Ann. Tracking Error vs Benchmark 1",'PBA Summary'!$D$3,,,"m",'PBA Summary'!$F$2,'PBA Summary'!$G$2))</f>
        <v>0.15313079941346897</v>
      </c>
      <c r="DN25" s="33" cm="1">
        <f t="array" ref="DN25">IF('PBA Summary'!$D$2="","",_xll.ASAssetStatistic($A25,"R² vs Benchmark 1",'PBA Summary'!$D$2,,,"m",'PBA Summary'!$F$2,'PBA Summary'!$G$2))</f>
        <v>5.7805121147052599E-3</v>
      </c>
      <c r="DO25" s="33" cm="1">
        <f t="array" ref="DO25">IF('PBA Summary'!$D$3="","",_xll.ASAssetStatistic($A25,"R² vs Benchmark 1",'PBA Summary'!$D$3,,,"m",'PBA Summary'!$F$2,'PBA Summary'!$G$2))</f>
        <v>5.7805121147052599E-3</v>
      </c>
      <c r="DP25" s="11" t="str" cm="1">
        <f t="array" ref="DP25">_xll.ASAssetInfo($A25,"On-/Offshore")</f>
        <v>Onshore</v>
      </c>
      <c r="DQ25" s="16" cm="1">
        <f t="array" ref="DQ25">_xll.ASAssetStatistic($A25,"Quarter-to-date",,,,"m",'PBA Summary'!$F$2,'PBA Summary'!$G$2)</f>
        <v>9.4398646929809704E-3</v>
      </c>
      <c r="DR25" s="16" cm="1">
        <f t="array" ref="DR25">_xll.ASAssetStatistic($A25,"Annualized Return Since inception",,,,"m",'PBA Summary'!$F$2,'PBA Summary'!$G$2)</f>
        <v>7.2250114452474534E-2</v>
      </c>
      <c r="DS25" s="16" cm="1">
        <f t="array" ref="DS25">IF('PBA Summary'!$D$2="","",_xll.ASAssetStatistic($A25,"Ann. Bear Market Return vs Benchmark 1",'PBA Summary'!$D$2,,,"m",'PBA Summary'!$F$2,'PBA Summary'!$G$2))</f>
        <v>7.7624782048928864E-2</v>
      </c>
      <c r="DT25" s="16" cm="1">
        <f t="array" ref="DT25">IF('PBA Summary'!$D$2="","",_xll.ASAssetStatistic($A25,"Ann. Bull Market Return vs Benchmark 1",'PBA Summary'!$D$2,,,"m",'PBA Summary'!$F$2,'PBA Summary'!$G$2))</f>
        <v>4.7336468201516935E-2</v>
      </c>
      <c r="DU25" s="16" cm="1">
        <f t="array" ref="DU25">IF('PBA Summary'!$D$3="","",_xll.ASAssetStatistic($A25,"Ann. Bear Market Return vs Benchmark 1",'PBA Summary'!$D$3,,,"m",'PBA Summary'!$F$2,'PBA Summary'!$G$2))</f>
        <v>7.7624782048928864E-2</v>
      </c>
      <c r="DV25" s="16" cm="1">
        <f t="array" ref="DV25">IF('PBA Summary'!$D$3="","",_xll.ASAssetStatistic($A25,"Ann. Bull Market Return vs Benchmark 1",'PBA Summary'!$D$3,,,"m",'PBA Summary'!$F$2,'PBA Summary'!$G$2))</f>
        <v>4.7336468201516935E-2</v>
      </c>
      <c r="DW25" s="17" cm="1">
        <f t="array" ref="DW25">_xll.ASAssetStatistic($A25,"Average Positive Return",,,,"m",'PBA Summary'!$F$2,'PBA Summary'!$G$2)</f>
        <v>5.4874998588874636E-3</v>
      </c>
      <c r="DX25" s="17" cm="1">
        <f t="array" ref="DX25">_xll.ASAssetStatistic($A25,"Average Negative Return",,,,"m",'PBA Summary'!$F$2,'PBA Summary'!$G$2)</f>
        <v>-1.8642507822186349E-3</v>
      </c>
      <c r="DY25" s="16" cm="1">
        <f t="array" ref="DY25">IF('PBA Summary'!$D$2="","",_xll.ASAssetStatistic($A25,"Outperformance vs Benchmark 1",'PBA Summary'!$D$2,,,"m",'PBA Summary'!$F$2,'PBA Summary'!$G$2))</f>
        <v>-0.15021038869996262</v>
      </c>
      <c r="DZ25" s="16" cm="1">
        <f t="array" ref="DZ25">IF('PBA Summary'!$D$3="","",_xll.ASAssetStatistic($A25,"Outperformance vs Benchmark 1",'PBA Summary'!$D$3,,,"m",'PBA Summary'!$F$2,'PBA Summary'!$G$2))</f>
        <v>-0.15021038869996262</v>
      </c>
      <c r="EA25" s="16" cm="1">
        <f t="array" ref="EA25">IF('PBA Summary'!$D$2="","",_xll.ASAssetStatistic($A25,"Annual Outperformance vs Benchmark 1",'PBA Summary'!$D$2,,,"m",'PBA Summary'!$F$2,'PBA Summary'!$G$2))</f>
        <v>-0.11698322438583175</v>
      </c>
      <c r="EB25" s="16" cm="1">
        <f t="array" ref="EB25">IF('PBA Summary'!$D$3="","",_xll.ASAssetStatistic($A25,"Annual Outperformance vs Benchmark 1",'PBA Summary'!$D$3,,,"m",'PBA Summary'!$F$2,'PBA Summary'!$G$2))</f>
        <v>-0.11698322438583175</v>
      </c>
      <c r="EC25" s="32" cm="1">
        <f t="array" ref="EC25">_xll.ASAssetStatistic($A25,"Rachev Ratio 99%",,,,"m",'PBA Summary'!$F$2,'PBA Summary'!$G$2)</f>
        <v>-4.3970587986085645</v>
      </c>
      <c r="ED25" s="32" cm="1">
        <f t="array" ref="ED25">_xll.ASAssetStatistic($A25,"Rachev Ratio 97%",,,,"m",'PBA Summary'!$F$2,'PBA Summary'!$G$2)</f>
        <v>-4.3970587986085645</v>
      </c>
      <c r="EE25" s="32" cm="1">
        <f t="array" ref="EE25">_xll.ASAssetStatistic($A25,"Rachev Ratio 95%",,,,"m",'PBA Summary'!$F$2,'PBA Summary'!$G$2)</f>
        <v>-4.3970587986085645</v>
      </c>
      <c r="EF25" s="32" cm="1">
        <f t="array" ref="EF25">_xll.ASAssetStatistic($A25,"Rachev Ratio 90%",,,,"m",'PBA Summary'!$F$2,'PBA Summary'!$G$2)</f>
        <v>-5.9232825168361884</v>
      </c>
      <c r="EG25" s="34" cm="1">
        <f t="array" ref="EG25">IF('PBA Summary'!$D$2="","",_xll.ASAssetStatistic($A25,"Annual Up Capture vs Benchmark 1",'PBA Summary'!$D$2,,,"m",'PBA Summary'!$F$2,'PBA Summary'!$G$2))</f>
        <v>9.351191738318794E-2</v>
      </c>
      <c r="EH25" s="34" cm="1">
        <f t="array" ref="EH25">IF('PBA Summary'!$D$3="","",_xll.ASAssetStatistic($A25,"Annual Up Capture vs Benchmark 1",'PBA Summary'!$D$3,,,"m",'PBA Summary'!$F$2,'PBA Summary'!$G$2))</f>
        <v>9.351191738318794E-2</v>
      </c>
      <c r="EI25" s="34" cm="1">
        <f t="array" ref="EI25">IF('PBA Summary'!$D$2="","",_xll.ASAssetStatistic($A25,"Annual Down Capture vs Benchmark 1",'PBA Summary'!$D$2,,,"m",'PBA Summary'!$F$2,'PBA Summary'!$G$2))</f>
        <v>-0.1886277441822867</v>
      </c>
      <c r="EJ25" s="34" cm="1">
        <f t="array" ref="EJ25">IF('PBA Summary'!$D$3="","",_xll.ASAssetStatistic($A25,"Annual Down Capture vs Benchmark 1",'PBA Summary'!$D$3,,,"m",'PBA Summary'!$F$2,'PBA Summary'!$G$2))</f>
        <v>-0.1886277441822867</v>
      </c>
      <c r="EK25" s="16" cm="1">
        <f t="array" ref="EK25">IF('PBA Summary'!$D$2="","",_xll.ASAssetStatistic($A25,"Ann. Tracking Error vs Benchmark 1",'PBA Summary'!$D$2,,,"m",'PBA Summary'!$F$2,'PBA Summary'!$G$2))</f>
        <v>0.15313079941346897</v>
      </c>
      <c r="EL25" s="16" cm="1">
        <f t="array" ref="EL25">IF('PBA Summary'!$D$3="","",_xll.ASAssetStatistic($A25,"Ann. Tracking Error vs Benchmark 1",'PBA Summary'!$D$3,,,"m",'PBA Summary'!$F$2,'PBA Summary'!$G$2))</f>
        <v>0.15313079941346897</v>
      </c>
      <c r="EM25" s="16" cm="1">
        <f t="array" ref="EM25">IF('PBA Summary'!$D$2="","",_xll.ASAssetStatistic($A25,"Annual Jensen Alpha vs Benchmark 1 (Rf)",'PBA Summary'!$D$2,,,"m",'PBA Summary'!$F$2,'PBA Summary'!$G$2))</f>
        <v>5.1514624241709571E-2</v>
      </c>
      <c r="EN25" s="16" cm="1">
        <f t="array" ref="EN25">IF('PBA Summary'!$D$3="","",_xll.ASAssetStatistic($A25,"Annual Jensen Alpha vs Benchmark 1 (Rf)",'PBA Summary'!$D$3,,,"m",'PBA Summary'!$F$2,'PBA Summary'!$G$2))</f>
        <v>5.1514624241709571E-2</v>
      </c>
      <c r="EO25" s="33" cm="1">
        <f t="array" ref="EO25">IF('PBA Summary'!$D$2="","",_xll.ASAssetStatistic($A25,"Ann. Information Ratio vs Benchmark 1",'PBA Summary'!$D$2,,,"m",'PBA Summary'!$F$2,'PBA Summary'!$G$2))</f>
        <v>-0.76394314425254828</v>
      </c>
      <c r="EP25" s="33" cm="1">
        <f t="array" ref="EP25">IF('PBA Summary'!$D$3="","",_xll.ASAssetStatistic($A25,"Ann. Information Ratio vs Benchmark 1",'PBA Summary'!$D$3,,,"m",'PBA Summary'!$F$2,'PBA Summary'!$G$2))</f>
        <v>-0.76394314425254828</v>
      </c>
      <c r="EQ25" s="17" cm="1">
        <f t="array" ref="EQ25">IF('PBA Summary'!$D$2="","",_xll.ASAssetStatistic($A25,"Alpha Monthly vs Benchmark 1",'PBA Summary'!$D$2,,,"m",'PBA Summary'!$F$2,'PBA Summary'!$G$2))</f>
        <v>4.3968245630515712E-3</v>
      </c>
      <c r="ER25" s="17" cm="1">
        <f t="array" ref="ER25">IF('PBA Summary'!$D$3="","",_xll.ASAssetStatistic($A25,"Alpha Monthly vs Benchmark 1",'PBA Summary'!$D$3,,,"m",'PBA Summary'!$F$2,'PBA Summary'!$G$2))</f>
        <v>4.3968245630515712E-3</v>
      </c>
      <c r="ES25" s="11" t="str" cm="1">
        <f t="array" ref="ES25">_xll.ASAssetInfo($A25,"Company AUM (m)")</f>
        <v/>
      </c>
      <c r="ET25" s="16" cm="1">
        <f t="array" ref="ET25">_xll.ASAssetStatistic($A25,"Exponential Annualized Volatility",,,,"m",'PBA Summary'!$F$2,'PBA Summary'!$G$2)</f>
        <v>1.6157958264097116E-2</v>
      </c>
      <c r="EU25" s="16" cm="1">
        <f t="array" ref="EU25">_xll.ASAssetStatistic($A25,"Exponential Annualized Volatility Last 1 year",,,,"m",'PBA Summary'!$F$2,'PBA Summary'!$G$2)</f>
        <v>1.7033254220900743E-2</v>
      </c>
      <c r="EV25" s="16" t="str" cm="1">
        <f t="array" ref="EV25">_xll.ASAssetStatistic($A25,"Exponential Annualized Volatility Last 3 years",,,,"m",'PBA Summary'!$F$2,'PBA Summary'!$G$2)</f>
        <v/>
      </c>
      <c r="EW25" s="34" cm="1">
        <f t="array" ref="EW25">IF('PBA Summary'!$D$2="","",_xll.ASAssetStatistic($A25,"Exponential Correlation to Benchmark 1",'PBA Summary'!$D$2,,,"m",'PBA Summary'!$F$2,'PBA Summary'!$G$2))</f>
        <v>0.12620644722332505</v>
      </c>
      <c r="EX25" s="34" cm="1">
        <f t="array" ref="EX25">IF('PBA Summary'!$D$3="","",_xll.ASAssetStatistic($A25,"Exponential Correlation to Benchmark 1",'PBA Summary'!$D$3,,,"m",'PBA Summary'!$F$2,'PBA Summary'!$G$2))</f>
        <v>0.12620644722332505</v>
      </c>
      <c r="EY25" s="34" cm="1">
        <f t="array" ref="EY25">_xll.ASAssetStatistic($A25,"Exponential Annual Sharpe Ratio (Rf)",,,,"m",'PBA Summary'!$F$2,'PBA Summary'!$G$2)</f>
        <v>3.8659577556151383</v>
      </c>
      <c r="EZ25" s="34" cm="1">
        <f t="array" ref="EZ25">_xll.ASAssetStatistic($A25,"Exponential Normal Monthly VaR 99%",,,,"m",'PBA Summary'!$F$2,'PBA Summary'!$G$2)</f>
        <v>-5.5920002512787562E-3</v>
      </c>
      <c r="FA25" s="34" cm="1">
        <f t="array" ref="FA25">_xll.ASAssetStatistic($A25,"Exponential Normal Monthly VaR 97%",,,,"m",'PBA Summary'!$F$2,'PBA Summary'!$G$2)</f>
        <v>-3.5137565874166794E-3</v>
      </c>
      <c r="FB25" s="34" cm="1">
        <f t="array" ref="FB25">_xll.ASAssetStatistic($A25,"Exponential Normal Monthly VaR 95%",,,,"m",'PBA Summary'!$F$2,'PBA Summary'!$G$2)</f>
        <v>-2.4132379558619637E-3</v>
      </c>
      <c r="FC25" s="34" cm="1">
        <f t="array" ref="FC25">_xll.ASAssetStatistic($A25,"Exponential Normal Monthly VaR 90%",,,,"m",'PBA Summary'!$F$2,'PBA Summary'!$G$2)</f>
        <v>-7.1865153847153716E-4</v>
      </c>
      <c r="FD25" s="34" t="str" cm="1">
        <f t="array" ref="FD25">_xll.ASAssetStatistic($A25,"Exponential Normal weekly VaR 99%",,,,"m",'PBA Summary'!$F$2,'PBA Summary'!$G$2)</f>
        <v/>
      </c>
      <c r="FE25" s="34" t="str" cm="1">
        <f t="array" ref="FE25">_xll.ASAssetStatistic($A25,"Exponential Normal weekly VaR 97%",,,,"m",'PBA Summary'!$F$2,'PBA Summary'!$G$2)</f>
        <v/>
      </c>
      <c r="FF25" s="34" t="str" cm="1">
        <f t="array" ref="FF25">_xll.ASAssetStatistic($A25,"Exponential Normal weekly VaR 95%",,,,"m",'PBA Summary'!$F$2,'PBA Summary'!$G$2)</f>
        <v/>
      </c>
      <c r="FG25" s="34" t="str" cm="1">
        <f t="array" ref="FG25">_xll.ASAssetStatistic($A25,"Exponential Normal weekly VaR 90%",,,,"m",'PBA Summary'!$F$2,'PBA Summary'!$G$2)</f>
        <v/>
      </c>
      <c r="FH25" s="34" t="str" cm="1">
        <f t="array" ref="FH25">_xll.ASAssetStatistic($A25,"Exponential Normal daily VaR 99%",,,,"m",'PBA Summary'!$F$2,'PBA Summary'!$G$2)</f>
        <v/>
      </c>
      <c r="FI25" s="34" t="str" cm="1">
        <f t="array" ref="FI25">_xll.ASAssetStatistic($A25,"Exponential Normal daily VaR 97%",,,,"m",'PBA Summary'!$F$2,'PBA Summary'!$G$2)</f>
        <v/>
      </c>
      <c r="FJ25" s="34" t="str" cm="1">
        <f t="array" ref="FJ25">_xll.ASAssetStatistic($A25,"Exponential Normal daily VaR 95%",,,,"m",'PBA Summary'!$F$2,'PBA Summary'!$G$2)</f>
        <v/>
      </c>
      <c r="FK25" s="34" t="str" cm="1">
        <f t="array" ref="FK25">_xll.ASAssetStatistic($A25,"Exponential Normal daily VaR 90%",,,,"m",'PBA Summary'!$F$2,'PBA Summary'!$G$2)</f>
        <v/>
      </c>
      <c r="FL25" s="34" cm="1">
        <f t="array" ref="FL25">_xll.ASAssetStatistic($A25,"Bias Ratio",,,,"m",'PBA Summary'!$F$2,'PBA Summary'!$G$2)</f>
        <v>1.6666666666666667</v>
      </c>
      <c r="FM25" s="11" t="str" cm="1">
        <f t="array" ref="FM25">_xll.ASAssetInfo($A25,"Manager's Biography")</f>
        <v/>
      </c>
      <c r="FN25" s="11" cm="1">
        <f t="array" ref="FN25">_xll.ASAssetInfo($A25,"Investment Min")</f>
        <v>100000</v>
      </c>
      <c r="FO25" s="11" t="str" cm="1">
        <f t="array" ref="FO25">_xll.ASAssetInfo($A25,"Auditor")</f>
        <v>RSM Cayman Ltd</v>
      </c>
      <c r="FP25" s="11" t="str" cm="1">
        <f t="array" ref="FP25">_xll.ASAssetInfo($A25,"Custodian")</f>
        <v/>
      </c>
      <c r="FQ25" s="11" t="str" cm="1">
        <f t="array" ref="FQ25">_xll.ASAssetInfo($A25,"Administrator")</f>
        <v>Apex Fund Services Singapore Pte Ltd</v>
      </c>
      <c r="FR25" s="14" t="str" cm="1">
        <f t="array" ref="FR25">_xll.ASAssetInfo($A25,"Proxy 1 Start Date")</f>
        <v/>
      </c>
      <c r="FS25" s="14" t="str" cm="1">
        <f t="array" ref="FS25">_xll.ASAssetInfo($A25,"Proxy 1 End Date")</f>
        <v/>
      </c>
      <c r="FT25" s="14" t="str" cm="1">
        <f t="array" ref="FT25">_xll.ASAssetInfo($A25,"Proxy 2 Start Date")</f>
        <v/>
      </c>
      <c r="FU25" s="14" t="str" cm="1">
        <f t="array" ref="FU25">_xll.ASAssetInfo($A25,"Proxy 2 End Date")</f>
        <v/>
      </c>
      <c r="FV25" s="14" t="str" cm="1">
        <f t="array" ref="FV25">_xll.ASAssetInfo($A25,"Proxy 3 Start Date")</f>
        <v/>
      </c>
      <c r="FW25" s="14" t="str" cm="1">
        <f t="array" ref="FW25">_xll.ASAssetInfo($A25,"Proxy 3 End Date")</f>
        <v/>
      </c>
      <c r="FX25" s="14" t="str" cm="1">
        <f t="array" ref="FX25">_xll.ASAssetInfo($A25,"Fund Domicile")</f>
        <v>KY</v>
      </c>
      <c r="FY25" s="14" t="str" cm="1">
        <f t="array" ref="FY25">_xll.ASAssetInfo($A25,"Fund Contact")</f>
        <v/>
      </c>
      <c r="FZ25" s="14" t="str" cm="1">
        <f t="array" ref="FZ25">_xll.ASAssetInfo($A25,"Fund Contact Email")</f>
        <v/>
      </c>
      <c r="GA25" s="14" t="str" cm="1">
        <f t="array" ref="GA25">_xll.ASAssetInfo($A25,"Fund Contact Number")</f>
        <v/>
      </c>
      <c r="GB25" s="14" t="str" cm="1">
        <f t="array" ref="GB25">_xll.ASAssetInfo($A25,"City")</f>
        <v>Singapore</v>
      </c>
      <c r="GC25" s="14" t="str" cm="1">
        <f t="array" ref="GC25">_xll.ASAssetInfo($A25,"Leverage")</f>
        <v>N</v>
      </c>
      <c r="GD25" s="14" t="str" cm="1">
        <f t="array" ref="GD25">_xll.ASAssetInfo($A25,"Lockup 1 Duration")</f>
        <v>0 Months</v>
      </c>
      <c r="GE25" s="14" t="str" cm="1">
        <f t="array" ref="GE25">_xll.ASAssetInfo($A25,"Lockup 2 Duration")</f>
        <v>0 Months</v>
      </c>
      <c r="GF25" s="14" t="str" cm="1">
        <f t="array" ref="GF25">_xll.ASAssetInfo($A25,"Lockup 3 Duration")</f>
        <v>0 Months</v>
      </c>
      <c r="GG25" s="31" t="str" cm="1">
        <f t="array" ref="GG25">_xll.ASAssetInfo($A25,"Fund Level Gate")</f>
        <v/>
      </c>
      <c r="GH25" s="31" t="str" cm="1">
        <f t="array" ref="GH25">_xll.ASAssetInfo($A25,"Fund Level Gate Frequency")</f>
        <v>Unknown</v>
      </c>
      <c r="GI25" s="35" cm="1">
        <f t="array" ref="GI25">_xll.ASAssetInfo($A25,"Payment 2 (%)")</f>
        <v>0</v>
      </c>
      <c r="GJ25" s="35" t="str" cm="1">
        <f t="array" ref="GJ25">_xll.ASAssetInfo($A25,"Payment 2 (days)")</f>
        <v/>
      </c>
      <c r="GK25" s="35" t="str" cm="1">
        <f t="array" ref="GK25">_xll.ASAssetInfo($A25,"Payment 2 (Paid After)")</f>
        <v>NAV Date</v>
      </c>
      <c r="GL25" s="35" cm="1">
        <f t="array" ref="GL25">_xll.ASAssetInfo($A25,"Payment 3 (%)")</f>
        <v>0</v>
      </c>
      <c r="GM25" s="36" t="str" cm="1">
        <f t="array" ref="GM25">_xll.ASAssetInfo($A25,"Payment 3 (Days)")</f>
        <v/>
      </c>
      <c r="GN25" s="35" t="str" cm="1">
        <f t="array" ref="GN25">_xll.ASAssetInfo($A25,"Payment 3 (Paid After)")</f>
        <v>NAV Date</v>
      </c>
      <c r="GO25" s="35" cm="1">
        <f t="array" ref="GO25">_xll.ASAssetInfo($A25,"Payment 4 (%)")</f>
        <v>0</v>
      </c>
      <c r="GP25" s="36" t="str" cm="1">
        <f t="array" ref="GP25">_xll.ASAssetInfo($A25,"Payment 4 (days)")</f>
        <v/>
      </c>
      <c r="GQ25" s="35" t="str" cm="1">
        <f t="array" ref="GQ25">_xll.ASAssetInfo($A25,"Payment 4 (Paid After)")</f>
        <v>NAV Date</v>
      </c>
      <c r="GR25" s="11" cm="1">
        <f t="array" ref="GR25">_xll.ASAssetInfo($A25,"Payment 1 (%)")</f>
        <v>1</v>
      </c>
      <c r="GS25" s="35" cm="1">
        <f t="array" ref="GS25">_xll.ASAssetInfo($A25,"Lockup 1 Fee")</f>
        <v>0</v>
      </c>
      <c r="GT25" s="35" cm="1">
        <f t="array" ref="GT25">_xll.ASAssetInfo($A25,"Lockup 2 Fee")</f>
        <v>0</v>
      </c>
      <c r="GU25" s="35" cm="1">
        <f t="array" ref="GU25">_xll.ASAssetInfo($A25,"Lockup 3 Fee")</f>
        <v>0</v>
      </c>
      <c r="GV25" s="35" t="str" cm="1">
        <f t="array" ref="GV25">_xll.ASAssetInfo($A25,"Lockup 1 type")</f>
        <v>None</v>
      </c>
      <c r="GW25" s="35" t="str" cm="1">
        <f t="array" ref="GW25">_xll.ASAssetInfo($A25,"Lockup 2 type")</f>
        <v>None</v>
      </c>
      <c r="GX25" s="35" t="str" cm="1">
        <f t="array" ref="GX25">_xll.ASAssetInfo($A25,"Lockup 3 type")</f>
        <v>None</v>
      </c>
      <c r="GY25" s="35" t="str" cm="1">
        <f t="array" ref="GY25">_xll.ASAssetInfo($A25,"Redemption 1 type")</f>
        <v>Calendar</v>
      </c>
      <c r="GZ25" s="35" t="str" cm="1">
        <f t="array" ref="GZ25">_xll.ASAssetInfo($A25,"Redemption 2 type")</f>
        <v>Calendar</v>
      </c>
      <c r="HA25" s="35" t="str" cm="1">
        <f t="array" ref="HA25">_xll.ASAssetInfo($A25,"Redemption 3 type")</f>
        <v>Calendar</v>
      </c>
      <c r="HB25" s="35" t="str" cm="1">
        <f t="array" ref="HB25">_xll.ASAssetInfo($A25,"Redemption 1 Fee")</f>
        <v/>
      </c>
      <c r="HC25" s="35" t="str" cm="1">
        <f t="array" ref="HC25">_xll.ASAssetInfo($A25,"Redemption 2 Fee")</f>
        <v/>
      </c>
      <c r="HD25" s="35" t="str" cm="1">
        <f t="array" ref="HD25">_xll.ASAssetInfo($A25,"Redemption 3 Fee")</f>
        <v/>
      </c>
      <c r="HE25" s="35" t="str" cm="1">
        <f t="array" ref="HE25">_xll.ASAssetInfo($A25,"Redemption 1 Frequency")</f>
        <v>Monthly</v>
      </c>
      <c r="HF25" s="35" t="str" cm="1">
        <f t="array" ref="HF25">_xll.ASAssetInfo($A25,"Redemption 2 Frequency")</f>
        <v>Unknown</v>
      </c>
      <c r="HG25" s="35" t="str" cm="1">
        <f t="array" ref="HG25">_xll.ASAssetInfo($A25,"Redemption 3 Frequency")</f>
        <v>Unknown</v>
      </c>
      <c r="HH25" s="35" t="str" cm="1">
        <f t="array" ref="HH25">_xll.ASAssetInfo($A25,"Asset Calendar")</f>
        <v>[Default]</v>
      </c>
      <c r="HI25" s="16" cm="1">
        <f t="array" ref="HI25">_xll.ASAssetStatistic($A25,"Max Second Drawdown",,,,"m",'PBA Summary'!$F$2,'PBA Summary'!$G$2)</f>
        <v>0</v>
      </c>
      <c r="HJ25" s="37" t="str" cm="1">
        <f t="array" ref="HJ25">_xll.ASAssetStatistic($A25,"Date Max Second Drawdown",,,,"m",'PBA Summary'!$F$2,'PBA Summary'!$G$2)</f>
        <v/>
      </c>
      <c r="HK25" s="37"/>
      <c r="HL25" s="37" t="str" cm="1">
        <f t="array" ref="HL25">_xll.ASAssetInfo($A25,HL$1)</f>
        <v/>
      </c>
      <c r="HM25" s="34" t="str" cm="1">
        <f t="array" ref="HM25">_xll.ASAssetInfo($A25,HM$1)</f>
        <v/>
      </c>
      <c r="HN25" s="37" t="str" cm="1">
        <f t="array" ref="HN25">_xll.ASAssetInfo($A25,HN$1)</f>
        <v/>
      </c>
      <c r="HO25" s="15" cm="1">
        <f t="array" ref="HO25">_xll.ASAssetInfo($A25,HO$1)</f>
        <v>0</v>
      </c>
      <c r="HP25" s="15" t="str" cm="1">
        <f t="array" ref="HP25">_xll.ASAssetInfo($A25,HP$1)</f>
        <v/>
      </c>
      <c r="HQ25" s="34" t="str" cm="1">
        <f t="array" ref="HQ25">_xll.ASAssetInfo($A25,HQ$1)</f>
        <v/>
      </c>
      <c r="HR25" s="37" t="str" cm="1">
        <f t="array" ref="HR25">_xll.ASAssetInfo($A25,HR$1)</f>
        <v/>
      </c>
      <c r="HS25" s="37" t="str" cm="1">
        <f t="array" ref="HS25">_xll.ASAssetInfo($A25,HS$1)</f>
        <v/>
      </c>
      <c r="HT25" s="37" t="str" cm="1">
        <f t="array" ref="HT25">_xll.ASAssetInfo($A25,HT$1)</f>
        <v/>
      </c>
      <c r="HU25" s="37" t="str" cm="1">
        <f t="array" ref="HU25">_xll.ASAssetInfo($A25,HU$1)</f>
        <v>Global</v>
      </c>
      <c r="HV25" s="37" t="str" cm="1">
        <f t="array" ref="HV25">_xll.ASAssetInfo($A25,HV$1)</f>
        <v/>
      </c>
      <c r="HW25" s="37" t="str" cm="1">
        <f t="array" ref="HW25">_xll.ASAssetInfo($A25,HW$1)</f>
        <v/>
      </c>
    </row>
    <row r="26" spans="1:231" s="11" customFormat="1" x14ac:dyDescent="0.25">
      <c r="A26" t="s">
        <v>275</v>
      </c>
      <c r="B26" cm="1">
        <f t="array" ref="B26">_xll.ASPortfolioWeights('PBA Summary'!$C$2,"OR",$A26)</f>
        <v>0</v>
      </c>
      <c r="C26" cm="1">
        <f t="array" ref="C26">_xll.ASAssetStatistic($A26,"Annualized Return since inception",,,,"m",_xll.ASAssetInfo($A26,"Start Date"),_xll.ASAssetInfo($A26,"Last Return Date"))</f>
        <v>0.13049479577832512</v>
      </c>
      <c r="D26" cm="1">
        <f t="array" ref="D26">_xll.ASAssetStatistic($A26,"Annualized Return",,,,"m",'PBA Summary'!$F$2,'PBA Summary'!$G$2)</f>
        <v>0.1819743717431157</v>
      </c>
      <c r="E26" s="19" cm="1">
        <f t="array" ref="E26">_xll.ASAssetStatistic($A26,"Equilibrium Annual Return",,,,"m",'PBA Summary'!$F$2,'PBA Summary'!$G$2)</f>
        <v>7.7867789672747767E-2</v>
      </c>
      <c r="F26" cm="1">
        <f t="array" ref="F26">_xll.ASAssetStatistic($A26,"Annualized Volatility (Inception)",,,,"m",_xll.ASAssetInfo($A26,"Start Date"),_xll.ASAssetInfo($A26,"Last Return Date"))</f>
        <v>0.12518600803751234</v>
      </c>
      <c r="G26" cm="1">
        <f t="array" ref="G26">_xll.ASAssetStatistic($A26,"Annualized Volatility",,,,"m",'PBA Summary'!$F$2,'PBA Summary'!$G$2)</f>
        <v>0.11612449452067911</v>
      </c>
      <c r="H26" s="20" cm="1">
        <f t="array" ref="H26">_xll.ASAssetStatistic($A26,"Skewness",,,,"m",'PBA Summary'!$F$2,'PBA Summary'!$G$2)</f>
        <v>-1.0843160637689155</v>
      </c>
      <c r="I26" s="20" cm="1">
        <f t="array" ref="I26">_xll.ASAssetStatistic($A26,"Excess kurtosis",,,,"m",'PBA Summary'!$F$2,'PBA Summary'!$G$2)</f>
        <v>1.3546407417158695</v>
      </c>
      <c r="J26" s="19" cm="1">
        <f t="array" ref="J26">_xll.ASAssetStatistic($A26,"Return Last 1 month",,,,"m",'PBA Summary'!$F$2,'PBA Summary'!$G$2)</f>
        <v>1.5482195475200466E-3</v>
      </c>
      <c r="K26" s="19" cm="1">
        <f t="array" ref="K26">_xll.ASAssetStatistic($A26,"Return Last 3 months",,,,"m",'PBA Summary'!$F$2,'PBA Summary'!$G$2)</f>
        <v>5.5973882365330629E-2</v>
      </c>
      <c r="L26" s="19" cm="1">
        <f t="array" ref="L26">_xll.ASAssetStatistic($A26,"Return Last 1 year",,,,"m",'PBA Summary'!$F$2,'PBA Summary'!$G$2)</f>
        <v>0.21436357030398256</v>
      </c>
      <c r="M26" s="19" cm="1">
        <f t="array" ref="M26">_xll.ASAssetStatistic($A26,"Year-to-date Return",,,,"m",'PBA Summary'!$F$2,'PBA Summary'!$G$2)</f>
        <v>1.5482195475200466E-3</v>
      </c>
      <c r="N26" s="19" cm="1">
        <f t="array" ref="N26">_xll.ASAssetStatistic($A26,"Annualized Return",,,,"m",EOMONTH('PBA Summary'!$G$2,-2),'PBA Summary'!$G$2)</f>
        <v>0.24340528026523534</v>
      </c>
      <c r="O26" s="19" t="str" cm="1">
        <f t="array" ref="O26">_xll.ASAssetStatistic($A26,"Annualized Return Last 3 years",,,,"m",'PBA Summary'!$F$2,'PBA Summary'!$G$2)</f>
        <v/>
      </c>
      <c r="P26" s="19" t="str" cm="1">
        <f t="array" ref="P26">_xll.ASAssetStatistic($A26,"Annualized Return Last 5 years",,,,"m",'PBA Summary'!$F$2,'PBA Summary'!$G$2)</f>
        <v/>
      </c>
      <c r="Q26" s="19" cm="1">
        <f t="array" ref="Q26">_xll.ASAssetStatistic($A26,"Annualized Volatility Last 1 year",,,,"m",'PBA Summary'!$F$2,'PBA Summary'!$G$2)</f>
        <v>8.711590655193148E-2</v>
      </c>
      <c r="R26" s="19" t="str" cm="1">
        <f t="array" ref="R26">_xll.ASAssetStatistic($A26,"Annualized Volatility Last 3 years",,,,"m",'PBA Summary'!$F$2,'PBA Summary'!$G$2)</f>
        <v/>
      </c>
      <c r="S26" s="19" t="str" cm="1">
        <f t="array" ref="S26">_xll.ASAssetStatistic($A26,"Annualized Volatility Last 5 years",,,,"m",'PBA Summary'!$F$2,'PBA Summary'!$G$2)</f>
        <v/>
      </c>
      <c r="T26" s="19" cm="1">
        <f t="array" ref="T26">_xll.ASAssetStatistic($A26,"Normal monthly VaR 99%",,,,"m",'PBA Summary'!$F$2,'PBA Summary'!$G$2)</f>
        <v>-6.3426296262230814E-2</v>
      </c>
      <c r="U26" s="19" cm="1">
        <f t="array" ref="U26">_xll.ASAssetStatistic($A26,"Modified monthly VaR 99%",,,,"m",'PBA Summary'!$F$2,'PBA Summary'!$G$2)</f>
        <v>-8.5937737212157306E-2</v>
      </c>
      <c r="V26" s="19" cm="1">
        <f t="array" ref="V26">_xll.ASAssetStatistic($A26,"Conditional monthly VaR 99%",,,,"m",'PBA Summary'!$F$2,'PBA Summary'!$G$2)</f>
        <v>-6.5802113352545377E-2</v>
      </c>
      <c r="W26" s="19" cm="1">
        <f t="array" ref="W26">_xll.ASAssetStatistic($A26,"Normal monthly VaR 97%",,,,"m",'PBA Summary'!$F$2,'PBA Summary'!$G$2)</f>
        <v>-4.8490312952196357E-2</v>
      </c>
      <c r="X26" s="19" cm="1">
        <f t="array" ref="X26">_xll.ASAssetStatistic($A26,"Modified monthly VaR 97%",,,,"m",'PBA Summary'!$F$2,'PBA Summary'!$G$2)</f>
        <v>-6.1502246880747916E-2</v>
      </c>
      <c r="Y26" s="19" cm="1">
        <f t="array" ref="Y26">_xll.ASAssetStatistic($A26,"Conditional monthly VaR 97%",,,,"m",'PBA Summary'!$F$2,'PBA Summary'!$G$2)</f>
        <v>-6.5802113352545377E-2</v>
      </c>
      <c r="Z26" s="19" cm="1">
        <f t="array" ref="Z26">_xll.ASAssetStatistic($A26,"Normal monthly VaR 95%",,,,"m",'PBA Summary'!$F$2,'PBA Summary'!$G$2)</f>
        <v>-4.0581072953486536E-2</v>
      </c>
      <c r="AA26" s="19" cm="1">
        <f t="array" ref="AA26">_xll.ASAssetStatistic($A26,"Modified monthly VaR 95%",,,,"m",'PBA Summary'!$F$2,'PBA Summary'!$G$2)</f>
        <v>-4.9256746845992905E-2</v>
      </c>
      <c r="AB26" s="19" cm="1">
        <f t="array" ref="AB26">_xll.ASAssetStatistic($A26,"Conditional monthly VaR 95%",,,,"m",'PBA Summary'!$F$2,'PBA Summary'!$G$2)</f>
        <v>-6.5802113352545377E-2</v>
      </c>
      <c r="AC26" s="66" cm="1">
        <f t="array" ref="AC26">_xll.ASAssetStatistic($A26,"Correlation to Benchmark 1","MSCI ACWI Index",,,"m",'PBA Summary'!$F$2,'PBA Summary'!$G$2)</f>
        <v>0.94241847924441002</v>
      </c>
      <c r="AD26" s="38" cm="1">
        <f t="array" ref="AD26">IF('PBA Summary'!$D$3="","",_xll.ASAssetStatistic($A26,"Correlation to Benchmark 1",'PBA Summary'!$D$3,,,"m",'PBA Summary'!$F$2,'PBA Summary'!$G$2))</f>
        <v>0.96212102108412045</v>
      </c>
      <c r="AE26" s="21" cm="1">
        <f t="array" ref="AE26">IF('PBA Summary'!$D$2="","",_xll.ASAssetStatistic($A26,"Bull correlation to Benchmark 1",'PBA Summary'!$D$2,,,"m",'PBA Summary'!$F$2,'PBA Summary'!$G$2))</f>
        <v>0.85837519685211527</v>
      </c>
      <c r="AF26" s="21" cm="1">
        <f t="array" ref="AF26">IF('PBA Summary'!$D$2="","",_xll.ASAssetStatistic($A26,"Bear correlation to Benchmark 1",'PBA Summary'!$D$2,,,"m",'PBA Summary'!$F$2,'PBA Summary'!$G$2))</f>
        <v>0.98192449437640716</v>
      </c>
      <c r="AG26" s="21" cm="1">
        <f t="array" ref="AG26">IF('PBA Summary'!$D$3="","",_xll.ASAssetStatistic($A26,"Bull correlation to Benchmark 1",'PBA Summary'!$D$3,,,"m",'PBA Summary'!$F$2,'PBA Summary'!$G$2))</f>
        <v>0.85837519685211527</v>
      </c>
      <c r="AH26" s="21" cm="1">
        <f t="array" ref="AH26">IF('PBA Summary'!$D$3="","",_xll.ASAssetStatistic($A26,"Bear correlation to Benchmark 1",'PBA Summary'!$D$3,,,"m",'PBA Summary'!$F$2,'PBA Summary'!$G$2))</f>
        <v>0.98192449437640716</v>
      </c>
      <c r="AI26" s="24" cm="1">
        <f t="array" ref="AI26">IF('PBA Summary'!$D$2="","",_xll.ASAssetStatistic($A26,"Beta to Benchmark 1",'PBA Summary'!$D$2,,,"m",'PBA Summary'!$F$2,'PBA Summary'!$G$2))</f>
        <v>0.72774171937927168</v>
      </c>
      <c r="AJ26" s="24" t="str" cm="1">
        <f t="array" ref="AJ26">IF('PBA Summary'!$D$2="","",_xll.ASAssetStatistic($A26,"Beta to Benchmark 1 Last 3 years",'PBA Summary'!$D$2,,,"m",'PBA Summary'!$F$2,'PBA Summary'!$G$2))</f>
        <v/>
      </c>
      <c r="AK26" s="24" t="str" cm="1">
        <f t="array" ref="AK26">IF('PBA Summary'!$D$2="","",_xll.ASAssetStatistic($A26,"Beta to Benchmark 1 Last 5 years",'PBA Summary'!$D$2,,,"m",'PBA Summary'!$F$2,'PBA Summary'!$G$2))</f>
        <v/>
      </c>
      <c r="AL26" s="25" cm="1">
        <f t="array" ref="AL26">IF('PBA Summary'!$D$3="","",_xll.ASAssetStatistic($A26,"Beta to Benchmark 1",'PBA Summary'!$D$3,,,"m",'PBA Summary'!$F$2,'PBA Summary'!$G$2))</f>
        <v>0.72774171937927168</v>
      </c>
      <c r="AM26" s="25" t="str" cm="1">
        <f t="array" ref="AM26">IF('PBA Summary'!$D$3="","",_xll.ASAssetStatistic($A26,"Beta to Benchmark 1 Last 3 years",'PBA Summary'!$D$3,,,"m",'PBA Summary'!$F$2,'PBA Summary'!$G$2))</f>
        <v/>
      </c>
      <c r="AN26" s="25" t="str" cm="1">
        <f t="array" ref="AN26">IF('PBA Summary'!$D$3="","",_xll.ASAssetStatistic($A26,"Beta to Benchmark 1 Last 5 years",'PBA Summary'!$D$3,,,"m",'PBA Summary'!$F$2,'PBA Summary'!$G$2))</f>
        <v/>
      </c>
      <c r="AO26" s="25" cm="1">
        <f t="array" ref="AO26">IF('PBA Summary'!$D$2="","",_xll.ASAssetStatistic($A26,"Bull Beta to Benchmark 1",'PBA Summary'!$D$2,,,"m",'PBA Summary'!$F$2,'PBA Summary'!$G$2))</f>
        <v>0.77048111816979437</v>
      </c>
      <c r="AP26" s="25" cm="1">
        <f t="array" ref="AP26">IF('PBA Summary'!$D$2="","",_xll.ASAssetStatistic($A26,"Bear Beta to Benchmark 1",'PBA Summary'!$D$2,,,"m",'PBA Summary'!$F$2,'PBA Summary'!$G$2))</f>
        <v>0.79804818654115528</v>
      </c>
      <c r="AQ26" s="25" cm="1">
        <f t="array" ref="AQ26">IF('PBA Summary'!$D$3="","",_xll.ASAssetStatistic($A26,"Bull Beta to Benchmark 1",'PBA Summary'!$D$3,,,"m",'PBA Summary'!$F$2,'PBA Summary'!$G$2))</f>
        <v>0.77048111816979437</v>
      </c>
      <c r="AR26" s="25" cm="1">
        <f t="array" ref="AR26">IF('PBA Summary'!$D$3="","",_xll.ASAssetStatistic($A26,"Bear Beta to Benchmark 1",'PBA Summary'!$D$3,,,"m",'PBA Summary'!$F$2,'PBA Summary'!$G$2))</f>
        <v>0.79804818654115528</v>
      </c>
      <c r="AS26" s="25" cm="1">
        <f t="array" ref="AS26">_xll.ASAssetStatistic($A26,"Annual Sharpe Ratio (Rf)",,,'PBA Summary'!$H$2,"m",'PBA Summary'!$F$2,'PBA Summary'!$G$2)</f>
        <v>1.5455341483631211</v>
      </c>
      <c r="AT26" s="25" t="str" cm="1">
        <f t="array" ref="AT26">_xll.ASAssetStatistic($A26,"Annual Sharpe Ratio (Rf) Last 3 years",,,'PBA Summary'!$H$2,"m",'PBA Summary'!$F$2,'PBA Summary'!$G$2)</f>
        <v/>
      </c>
      <c r="AU26" s="25" t="str" cm="1">
        <f t="array" ref="AU26">_xll.ASAssetStatistic($A26,"Annual Sharpe Ratio (Rf) Last 5 years",,,'PBA Summary'!$H$2,"m",'PBA Summary'!$F$2,'PBA Summary'!$G$2)</f>
        <v/>
      </c>
      <c r="AV26" s="18" cm="1">
        <f t="array" ref="AV26">_xll.ASAssetStatistic($A26,"Ann. Downside Deviation (vs 0%)",,,'PBA Summary'!$H$2,"m",'PBA Summary'!$F$2,'PBA Summary'!$G$2)</f>
        <v>6.9139652271120178E-2</v>
      </c>
      <c r="AW26" s="18" cm="1">
        <f t="array" ref="AW26">_xll.ASAssetStatistic($A26,"Ann. Downside Deviation (vs Rf)",,,'PBA Summary'!$H$2,"m",'PBA Summary'!$F$2,'PBA Summary'!$G$2)</f>
        <v>6.9413161215638647E-2</v>
      </c>
      <c r="AX26" s="39" cm="1">
        <f t="array" ref="AX26">_xll.ASAssetStatistic($A26,"Annual Treynor ratio",,,'PBA Summary'!$H$2,"m",'PBA Summary'!$F$2,'PBA Summary'!$G$2)</f>
        <v>0.24658370160318649</v>
      </c>
      <c r="AY26" s="26" cm="1">
        <f t="array" ref="AY26">_xll.ASAssetStatistic($A26,"Annual Sortino Ratio (vs 0%)",,,'PBA Summary'!$H$2,"m",'PBA Summary'!$F$2,'PBA Summary'!$G$2)</f>
        <v>2.6319827445693837</v>
      </c>
      <c r="AZ26" s="26" cm="1">
        <f t="array" ref="AZ26">_xll.ASAssetStatistic($A26,"Annual Sortino Ratio (vs Rf)",,,'PBA Summary'!$H$2,"m",'PBA Summary'!$F$2,'PBA Summary'!$G$2)</f>
        <v>2.5855957083637402</v>
      </c>
      <c r="BA26" s="26" cm="1">
        <f t="array" ref="BA26">_xll.ASAssetStatistic($A26,"Sterling ratio",,,'PBA Summary'!$H$2,"m",'PBA Summary'!$F$2,'PBA Summary'!$G$2)</f>
        <v>1.3018282631747018</v>
      </c>
      <c r="BB26" s="26" cm="1">
        <f t="array" ref="BB26">_xll.ASAssetStatistic($A26,"Calmar ratio",,,'PBA Summary'!$H$2,"m",'PBA Summary'!$F$2,'PBA Summary'!$G$2)</f>
        <v>2.7654791384610826</v>
      </c>
      <c r="BC26" s="26" cm="1">
        <f t="array" ref="BC26">_xll.ASAssetStatistic($A26,"Hurst index",,,'PBA Summary'!$H$2,"m",'PBA Summary'!$F$2,'PBA Summary'!$G$2)</f>
        <v>0.39437501782728623</v>
      </c>
      <c r="BD26" s="26" cm="1">
        <f t="array" ref="BD26">_xll.ASAssetStatistic($A26,"Omega (Threshold 1)",,,'PBA Summary'!$H$2,"m",'PBA Summary'!$F$2,'PBA Summary'!$G$2)</f>
        <v>2.923907707617734</v>
      </c>
      <c r="BE26" s="26" cm="1">
        <f t="array" ref="BE26">_xll.ASAssetStatistic($A26,"Omega (Threshold 2)",,,'PBA Summary'!$H$2,"m",'PBA Summary'!$F$2,'PBA Summary'!$G$2)</f>
        <v>2.0801224089503694</v>
      </c>
      <c r="BF26" s="26" cm="1">
        <f t="array" ref="BF26">_xll.ASAssetStatistic($A26,"Omega (Threshold 3)",,,'PBA Summary'!$H$2,"m",'PBA Summary'!$F$2,'PBA Summary'!$G$2)</f>
        <v>1.4229858346606008</v>
      </c>
      <c r="BG26" s="26" cm="1">
        <f t="array" ref="BG26">_xll.ASAssetStatistic($A26,"Omega (Threshold 4)",,,'PBA Summary'!$H$2,"m",'PBA Summary'!$F$2,'PBA Summary'!$G$2)</f>
        <v>0.9654141322355323</v>
      </c>
      <c r="BH26" s="26" cm="1">
        <f t="array" ref="BH26">_xll.ASAssetStatistic($A26,"Omega (Threshold 5)",,,'PBA Summary'!$H$2,"m",'PBA Summary'!$F$2,'PBA Summary'!$G$2)</f>
        <v>0.63171067376922341</v>
      </c>
      <c r="BI26" s="26" t="str" cm="1">
        <f t="array" ref="BI26">_xll.ASAssetStatistic($A26,"Autocorrelated (illiquid)",,,'PBA Summary'!$H$2,"m",'PBA Summary'!$F$2,'PBA Summary'!$G$2)</f>
        <v>No</v>
      </c>
      <c r="BJ26" s="27" cm="1">
        <f t="array" ref="BJ26">_xll.ASAssetStatistic($A26,"% months in Run Up",,,'PBA Summary'!$H$2,"m",'PBA Summary'!$F$2,'PBA Summary'!$G$2)</f>
        <v>0.8</v>
      </c>
      <c r="BK26" s="27" cm="1">
        <f t="array" ref="BK26">_xll.ASAssetStatistic($A26,"% months in Drawdown",,,'PBA Summary'!$H$2,"m",'PBA Summary'!$F$2,'PBA Summary'!$G$2)</f>
        <v>0.2</v>
      </c>
      <c r="BL26" s="18" cm="1">
        <f t="array" ref="BL26">IF('PBA Summary'!$D$2="","",_xll.ASAssetStatistic($A26,"Bull Beta to Benchmark 1",'PBA Summary'!$D$2,,,"m",'PBA Summary'!$F$2,'PBA Summary'!$G$2))</f>
        <v>0.77048111816979437</v>
      </c>
      <c r="BM26" s="18" cm="1">
        <f t="array" ref="BM26">IF('PBA Summary'!$D$2="","",_xll.ASAssetStatistic($A26,"Average return during bear Benchmark 1",'PBA Summary'!$D$2,,,"m",'PBA Summary'!$F$2,'PBA Summary'!$G$2))</f>
        <v>-2.4954546198175026E-2</v>
      </c>
      <c r="BN26" s="18" cm="1">
        <f t="array" ref="BN26">IF('PBA Summary'!$D$3="","",_xll.ASAssetStatistic($A26,"Average return during bull Benchmark 1",'PBA Summary'!$D$3,,,"m",'PBA Summary'!$F$2,'PBA Summary'!$G$2))</f>
        <v>2.8926373521140157E-2</v>
      </c>
      <c r="BO26" s="18" cm="1">
        <f t="array" ref="BO26">IF('PBA Summary'!$D$3="","",_xll.ASAssetStatistic($A26,"Average return during bear Benchmark 1",'PBA Summary'!$D$3,,,"m",'PBA Summary'!$F$2,'PBA Summary'!$G$2))</f>
        <v>-2.4954546198175026E-2</v>
      </c>
      <c r="BP26" s="27" cm="1">
        <f t="array" ref="BP26">_xll.ASAssetStatistic($A26,"Maximum consecutive gain",,,'PBA Summary'!$H$2,"m",'PBA Summary'!$F$2,'PBA Summary'!$G$2)</f>
        <v>0.16471722365038421</v>
      </c>
      <c r="BQ26" s="27" cm="1">
        <f t="array" ref="BQ26">_xll.ASAssetStatistic($A26,"Maximum consecutive loss",,,'PBA Summary'!$H$2,"m",'PBA Summary'!$F$2,'PBA Summary'!$G$2)</f>
        <v>-6.5802113352545377E-2</v>
      </c>
      <c r="BR26" s="27" cm="1">
        <f t="array" ref="BR26">_xll.ASAssetStatistic($A26,"Max monthly gain",,,'PBA Summary'!$H$2,"m",'PBA Summary'!$F$2,'PBA Summary'!$G$2)</f>
        <v>6.131105398457537E-2</v>
      </c>
      <c r="BS26" s="27" cm="1">
        <f t="array" ref="BS26">_xll.ASAssetStatistic($A26,"Max monthly loss",,,'PBA Summary'!$H$2,"m",'PBA Summary'!$F$2,'PBA Summary'!$G$2)</f>
        <v>-6.5802113352545377E-2</v>
      </c>
      <c r="BT26" s="27" cm="1">
        <f t="array" ref="BT26">_xll.ASAssetStatistic($A26,"Max drawdown",,,'PBA Summary'!$H$2,"m",'PBA Summary'!$F$2,'PBA Summary'!$G$2)</f>
        <v>-6.5802113352545377E-2</v>
      </c>
      <c r="BU26" s="28" cm="1">
        <f t="array" ref="BU26">_xll.ASAssetStatistic($A26,"Date Max drawdown",,,'PBA Summary'!$H$2,"m",'PBA Summary'!$F$2,'PBA Summary'!$G$2)</f>
        <v>43465</v>
      </c>
      <c r="BV26" s="28" cm="1">
        <f t="array" ref="BV26">_xll.ASAssetStatistic($A26,"Start Date Max Drawdown",,,'PBA Summary'!$H$2,"m",'PBA Summary'!$F$2,'PBA Summary'!$G$2)</f>
        <v>43465</v>
      </c>
      <c r="BW26" s="28" cm="1">
        <f t="array" ref="BW26">_xll.ASAssetStatistic($A26,"End Date Max Drawdown",,,'PBA Summary'!$H$2,"m",'PBA Summary'!$F$2,'PBA Summary'!$G$2)</f>
        <v>43496</v>
      </c>
      <c r="BX26" s="29" cm="1">
        <f t="array" ref="BX26">_xll.ASAssetStatistic($A26,"Max Time-under-water (months)",,,'PBA Summary'!$H$2,"m",'PBA Summary'!$F$2,'PBA Summary'!$G$2)</f>
        <v>2</v>
      </c>
      <c r="BY26" s="27" cm="1">
        <f t="array" ref="BY26">_xll.ASAssetStatistic($A26,"Max possible drawdown 99%",,,'PBA Summary'!$H$2,"m",'PBA Summary'!$F$2,'PBA Summary'!$G$2)</f>
        <v>-0.10443599545825495</v>
      </c>
      <c r="BZ26" s="27" cm="1">
        <f t="array" ref="BZ26">_xll.ASAssetStatistic($A26,"Max possible drawdown 99.9%",,,'PBA Summary'!$H$2,"m",'PBA Summary'!$F$2,'PBA Summary'!$G$2)</f>
        <v>-0.18428209942644003</v>
      </c>
      <c r="CA26" s="30" cm="1">
        <f t="array" ref="CA26">_xll.ASAssetStatistic($A26,"Max Possible Time-under-water 99% (months)",,,'PBA Summary'!$H$2,"m",'PBA Summary'!$F$2,'PBA Summary'!$G$2)</f>
        <v>28.69489636965206</v>
      </c>
      <c r="CB26" s="30" cm="1">
        <f t="array" ref="CB26">_xll.ASAssetStatistic($A26,"Max Possible Time-under-water 99.9% (months)",,,'PBA Summary'!$H$2,"m",'PBA Summary'!$F$2,'PBA Summary'!$G$2)</f>
        <v>50.633459494694144</v>
      </c>
      <c r="CC26" s="17" cm="1">
        <f t="array" ref="CC26">_xll.ASPortfolioReturnAttribution('PBA Summary'!$C$2,"OR",A26,"Last 1m",'PBA Summary'!$F$2,'PBA Summary'!$G$2)</f>
        <v>0</v>
      </c>
      <c r="CD26" s="11" t="str" cm="1">
        <f t="array" ref="CD26">_xll.ASAssetInfo($A26,"Strategy")</f>
        <v>Funds - Equities Long Only</v>
      </c>
      <c r="CE26" s="14" cm="1">
        <f t="array" ref="CE26">_xll.ASAssetInfo($A26,"Start Date")</f>
        <v>42004</v>
      </c>
      <c r="CF26" s="14" t="str" cm="1">
        <f t="array" ref="CF26">_xll.ASAssetRatings($A26,"Quantitative",0,0,0,0,0,'PBA Summary'!$F$2,'PBA Summary'!$G$2)</f>
        <v/>
      </c>
      <c r="CG26" s="14" t="str" cm="1">
        <f t="array" ref="CG26">_xll.ASAssetRatings($A26,"Qualitative",0,0,0,0,0,'PBA Summary'!$F$2,'PBA Summary'!$G$2)</f>
        <v/>
      </c>
      <c r="CH26" s="14" t="str" cm="1">
        <f t="array" ref="CH26">_xll.ASAssetRatings($A26,"Final",0,0,0,0,0,'PBA Summary'!$F$2,'PBA Summary'!$G$2)</f>
        <v/>
      </c>
      <c r="CI26" s="14" cm="1">
        <f t="array" ref="CI26">_xll.ASAssetInfo($A26,"Last Return Date")</f>
        <v>44135</v>
      </c>
      <c r="CJ26" s="14" t="str" cm="1">
        <f t="array" ref="CJ26">_xll.ASAssetInfo($A26,"Company Name")</f>
        <v>GuardCap UCITS Funds plc</v>
      </c>
      <c r="CK26" s="14" t="str" cm="1">
        <f t="array" ref="CK26">_xll.ASAssetInfo($A26,"Manager Name")</f>
        <v>Michael Boyd</v>
      </c>
      <c r="CL26" s="14" t="str" cm="1">
        <f t="array" ref="CL26">_xll.ASAssetInfo($A26,"Address")</f>
        <v>Guard Cap Asset Management Limited. 11 Charles II Street. London. SW1Y 4NS. United Kingdom</v>
      </c>
      <c r="CM26" s="14" t="str" cm="1">
        <f t="array" ref="CM26">_xll.ASAssetInfo($A26,"Phone Number")</f>
        <v>T: 0044 207 907 2400</v>
      </c>
      <c r="CN26" s="14" t="str" cm="1">
        <f t="array" ref="CN26">_xll.ASAssetInfo($A26,"Email")</f>
        <v/>
      </c>
      <c r="CO26" s="14" t="str" cm="1">
        <f t="array" ref="CO26">_xll.ASAssetInfo($A26,"Asset Type")</f>
        <v>Equities</v>
      </c>
      <c r="CP26" s="14" t="str" cm="1">
        <f t="array" ref="CP26">_xll.ASAssetInfo($A26,"Proprietary ID")</f>
        <v/>
      </c>
      <c r="CQ26" s="14" t="str" cm="1">
        <f t="array" ref="CQ26">_xll.ASAssetInfo($A26,"Country")</f>
        <v>United Kingdom</v>
      </c>
      <c r="CR26" s="14" t="str" cm="1">
        <f t="array" ref="CR26">_xll.ASAssetInfo($A26,"Currency")</f>
        <v>USD</v>
      </c>
      <c r="CS26" s="14" t="str" cm="1">
        <f t="array" ref="CS26">_xll.ASAssetInfo($A26,"Sub-Strategy")</f>
        <v/>
      </c>
      <c r="CT26" s="31" cm="1">
        <f t="array" ref="CT26">_xll.ASAssetInfo($A26,"Fund AUM (m)")</f>
        <v>1501.077</v>
      </c>
      <c r="CU26" s="31" t="str" cm="1">
        <f t="array" ref="CU26">_xll.ASAssetInfo($A26,"Status")</f>
        <v>Unknown</v>
      </c>
      <c r="CV26" s="31" t="str" cm="1">
        <f t="array" ref="CV26">_xll.ASAssetInfo($A26,"Redemption 1 Frequency")</f>
        <v>Daily</v>
      </c>
      <c r="CW26" s="31" t="str" cm="1">
        <f t="array" ref="CW26">_xll.ASAssetInfo($A26,"Redemption 2 Frequency")</f>
        <v>Unknown</v>
      </c>
      <c r="CX26" s="31" t="str" cm="1">
        <f t="array" ref="CX26">_xll.ASAssetInfo($A26,"Redemption 3 Frequency")</f>
        <v>Unknown</v>
      </c>
      <c r="CY26" s="31" t="str" cm="1">
        <f t="array" ref="CY26">_xll.ASAssetInfo($A26,"Notice Period")</f>
        <v/>
      </c>
      <c r="CZ26" s="15" t="str" cm="1">
        <f t="array" ref="CZ26">_xll.ASAssetInfo($A26,"Performance Fee")</f>
        <v/>
      </c>
      <c r="DA26" s="15" cm="1">
        <f t="array" ref="DA26">_xll.ASAssetInfo($A26,"Management Fee")</f>
        <v>8.0000000000000002E-3</v>
      </c>
      <c r="DB26" s="15" t="str" cm="1">
        <f t="array" ref="DB26">_xll.ASAssetInfo($A26,"ISIN")</f>
        <v>IE00BSJCNS13</v>
      </c>
      <c r="DC26" s="16" cm="1">
        <f t="array" ref="DC26">_xll.ASAssetStatistic($A26,"Return during " &amp;YEAR(EOMONTH('PBA Summary'!$G$2,-60)),,,,"M",DATE(YEAR(EOMONTH('PBA Summary'!$G$2,-60)),1,31),DATE(YEAR(EOMONTH('PBA Summary'!$G$2,-60)),12,31))</f>
        <v>8.9595375722544057E-2</v>
      </c>
      <c r="DD26" s="16" cm="1">
        <f t="array" ref="DD26">_xll.ASAssetStatistic($A26,"Return during " &amp;YEAR(EOMONTH('PBA Summary'!$G$2,-48)),,,,"M",DATE(YEAR(EOMONTH('PBA Summary'!$G$2,-48)),1,31),DATE(YEAR(EOMONTH('PBA Summary'!$G$2,-48)),12,31))</f>
        <v>6.3843409860057987E-2</v>
      </c>
      <c r="DE26" s="16" cm="1">
        <f t="array" ref="DE26">_xll.ASAssetStatistic($A26,"Return during " &amp;YEAR(EOMONTH('PBA Summary'!$G$2,-36)),,,,"M",DATE(YEAR(EOMONTH('PBA Summary'!$G$2,-36)),1,31),DATE(YEAR(EOMONTH('PBA Summary'!$G$2,-36)),12,31))</f>
        <v>0.32207032929241031</v>
      </c>
      <c r="DF26" s="16" cm="1">
        <f t="array" ref="DF26">_xll.ASAssetStatistic($A26,"Return during " &amp;YEAR(EOMONTH('PBA Summary'!$G$2,-24)),,,,"M",DATE(YEAR(EOMONTH('PBA Summary'!$G$2,-24)),1,31),DATE(YEAR(EOMONTH('PBA Summary'!$G$2,-24)),12,31))</f>
        <v>1.1900890941016984E-2</v>
      </c>
      <c r="DG26" s="16" cm="1">
        <f t="array" ref="DG26">_xll.ASAssetStatistic($A26,"Return during " &amp;YEAR(EOMONTH('PBA Summary'!$G$2,-12)),,,,"M",DATE(YEAR(EOMONTH('PBA Summary'!$G$2,-12)),1,31),DATE(YEAR(EOMONTH('PBA Summary'!$G$2,-12)),12,31))</f>
        <v>0.28682519280205465</v>
      </c>
      <c r="DH26" s="11" t="str" cm="1">
        <f t="array" ref="DH26">_xll.ASAssetInfo($A26,"Prime Broker")</f>
        <v/>
      </c>
      <c r="DI26" s="16" cm="1">
        <f t="array" ref="DI26">_xll.ASAssetStatistic($A26,"Return",,,,"m",'PBA Summary'!$F$2,'PBA Summary'!$G$2)</f>
        <v>0.23242379547689151</v>
      </c>
      <c r="DJ26" s="33" cm="1">
        <f t="array" ref="DJ26">IF('PBA Summary'!$D$2="","",_xll.ASAssetStatistic($A26,"Ann. Information Ratio vs Benchmark 1",'PBA Summary'!$D$2,,,"m",'PBA Summary'!$F$2,'PBA Summary'!$G$2))</f>
        <v>0.18427034918916846</v>
      </c>
      <c r="DK26" s="33" cm="1">
        <f t="array" ref="DK26">IF('PBA Summary'!$D$3="","",_xll.ASAssetStatistic($A26,"Ann. Information Ratio vs Benchmark 1",'PBA Summary'!$D$3,,,"m",'PBA Summary'!$F$2,'PBA Summary'!$G$2))</f>
        <v>0.18427034918916846</v>
      </c>
      <c r="DL26" s="33" cm="1">
        <f t="array" ref="DL26">IF('PBA Summary'!$D$2="","",_xll.ASAssetStatistic($A26,"Ann. Tracking Error vs Benchmark 1",'PBA Summary'!$D$2,,,"m",'PBA Summary'!$F$2,'PBA Summary'!$G$2))</f>
        <v>5.2434032707723295E-2</v>
      </c>
      <c r="DM26" s="33" cm="1">
        <f t="array" ref="DM26">IF('PBA Summary'!$D$3="","",_xll.ASAssetStatistic($A26,"Ann. Tracking Error vs Benchmark 1",'PBA Summary'!$D$3,,,"m",'PBA Summary'!$F$2,'PBA Summary'!$G$2))</f>
        <v>5.2434032707723295E-2</v>
      </c>
      <c r="DN26" s="33" cm="1">
        <f t="array" ref="DN26">IF('PBA Summary'!$D$2="","",_xll.ASAssetStatistic($A26,"R² vs Benchmark 1",'PBA Summary'!$D$2,,,"m",'PBA Summary'!$F$2,'PBA Summary'!$G$2))</f>
        <v>0.92567685921195053</v>
      </c>
      <c r="DO26" s="33" cm="1">
        <f t="array" ref="DO26">IF('PBA Summary'!$D$3="","",_xll.ASAssetStatistic($A26,"R² vs Benchmark 1",'PBA Summary'!$D$3,,,"m",'PBA Summary'!$F$2,'PBA Summary'!$G$2))</f>
        <v>0.92567685921195053</v>
      </c>
      <c r="DP26" s="11" t="str" cm="1">
        <f t="array" ref="DP26">_xll.ASAssetInfo($A26,"On-/Offshore")</f>
        <v>Unknown</v>
      </c>
      <c r="DQ26" s="16" cm="1">
        <f t="array" ref="DQ26">_xll.ASAssetStatistic($A26,"Quarter-to-date",,,,"m",'PBA Summary'!$F$2,'PBA Summary'!$G$2)</f>
        <v>1.5482195475200466E-3</v>
      </c>
      <c r="DR26" s="16" cm="1">
        <f t="array" ref="DR26">_xll.ASAssetStatistic($A26,"Annualized Return Since inception",,,,"m",'PBA Summary'!$F$2,'PBA Summary'!$G$2)</f>
        <v>0.13049479577832512</v>
      </c>
      <c r="DS26" s="16" cm="1">
        <f t="array" ref="DS26">IF('PBA Summary'!$D$2="","",_xll.ASAssetStatistic($A26,"Ann. Bear Market Return vs Benchmark 1",'PBA Summary'!$D$2,,,"m",'PBA Summary'!$F$2,'PBA Summary'!$G$2))</f>
        <v>-0.26561248340958121</v>
      </c>
      <c r="DT26" s="16" cm="1">
        <f t="array" ref="DT26">IF('PBA Summary'!$D$2="","",_xll.ASAssetStatistic($A26,"Ann. Bull Market Return vs Benchmark 1",'PBA Summary'!$D$2,,,"m",'PBA Summary'!$F$2,'PBA Summary'!$G$2))</f>
        <v>0.40528830627707135</v>
      </c>
      <c r="DU26" s="16" cm="1">
        <f t="array" ref="DU26">IF('PBA Summary'!$D$3="","",_xll.ASAssetStatistic($A26,"Ann. Bear Market Return vs Benchmark 1",'PBA Summary'!$D$3,,,"m",'PBA Summary'!$F$2,'PBA Summary'!$G$2))</f>
        <v>-0.26561248340958121</v>
      </c>
      <c r="DV26" s="16" cm="1">
        <f t="array" ref="DV26">IF('PBA Summary'!$D$3="","",_xll.ASAssetStatistic($A26,"Ann. Bull Market Return vs Benchmark 1",'PBA Summary'!$D$3,,,"m",'PBA Summary'!$F$2,'PBA Summary'!$G$2))</f>
        <v>0.40528830627707135</v>
      </c>
      <c r="DW26" s="17" cm="1">
        <f t="array" ref="DW26">_xll.ASAssetStatistic($A26,"Average Positive Return",,,,"m",'PBA Summary'!$F$2,'PBA Summary'!$G$2)</f>
        <v>2.765635746658009E-2</v>
      </c>
      <c r="DX26" s="17" cm="1">
        <f t="array" ref="DX26">_xll.ASAssetStatistic($A26,"Average Negative Return",,,,"m",'PBA Summary'!$F$2,'PBA Summary'!$G$2)</f>
        <v>-3.7834788553039823E-2</v>
      </c>
      <c r="DY26" s="16" cm="1">
        <f t="array" ref="DY26">IF('PBA Summary'!$D$2="","",_xll.ASAssetStatistic($A26,"Outperformance vs Benchmark 1",'PBA Summary'!$D$2,,,"m",'PBA Summary'!$F$2,'PBA Summary'!$G$2))</f>
        <v>1.2580150668172863E-2</v>
      </c>
      <c r="DZ26" s="16" cm="1">
        <f t="array" ref="DZ26">IF('PBA Summary'!$D$3="","",_xll.ASAssetStatistic($A26,"Outperformance vs Benchmark 1",'PBA Summary'!$D$3,,,"m",'PBA Summary'!$F$2,'PBA Summary'!$G$2))</f>
        <v>1.2580150668172863E-2</v>
      </c>
      <c r="EA26" s="16" cm="1">
        <f t="array" ref="EA26">IF('PBA Summary'!$D$2="","",_xll.ASAssetStatistic($A26,"Annual Outperformance vs Benchmark 1",'PBA Summary'!$D$2,,,"m",'PBA Summary'!$F$2,'PBA Summary'!$G$2))</f>
        <v>9.6620375164484518E-3</v>
      </c>
      <c r="EB26" s="16" cm="1">
        <f t="array" ref="EB26">IF('PBA Summary'!$D$3="","",_xll.ASAssetStatistic($A26,"Annual Outperformance vs Benchmark 1",'PBA Summary'!$D$3,,,"m",'PBA Summary'!$F$2,'PBA Summary'!$G$2))</f>
        <v>9.6620375164484518E-3</v>
      </c>
      <c r="EC26" s="32" cm="1">
        <f t="array" ref="EC26">_xll.ASAssetStatistic($A26,"Rachev Ratio 99%",,,,"m",'PBA Summary'!$F$2,'PBA Summary'!$G$2)</f>
        <v>-0.93174901018895184</v>
      </c>
      <c r="ED26" s="32" cm="1">
        <f t="array" ref="ED26">_xll.ASAssetStatistic($A26,"Rachev Ratio 97%",,,,"m",'PBA Summary'!$F$2,'PBA Summary'!$G$2)</f>
        <v>-0.93174901018895184</v>
      </c>
      <c r="EE26" s="32" cm="1">
        <f t="array" ref="EE26">_xll.ASAssetStatistic($A26,"Rachev Ratio 95%",,,,"m",'PBA Summary'!$F$2,'PBA Summary'!$G$2)</f>
        <v>-0.93174901018895184</v>
      </c>
      <c r="EF26" s="32" cm="1">
        <f t="array" ref="EF26">_xll.ASAssetStatistic($A26,"Rachev Ratio 90%",,,,"m",'PBA Summary'!$F$2,'PBA Summary'!$G$2)</f>
        <v>-1.1096822455620412</v>
      </c>
      <c r="EG26" s="34" cm="1">
        <f t="array" ref="EG26">IF('PBA Summary'!$D$2="","",_xll.ASAssetStatistic($A26,"Annual Up Capture vs Benchmark 1",'PBA Summary'!$D$2,,,"m",'PBA Summary'!$F$2,'PBA Summary'!$G$2))</f>
        <v>0.80063612797667816</v>
      </c>
      <c r="EH26" s="34" cm="1">
        <f t="array" ref="EH26">IF('PBA Summary'!$D$3="","",_xll.ASAssetStatistic($A26,"Annual Up Capture vs Benchmark 1",'PBA Summary'!$D$3,,,"m",'PBA Summary'!$F$2,'PBA Summary'!$G$2))</f>
        <v>0.80063612797667816</v>
      </c>
      <c r="EI26" s="34" cm="1">
        <f t="array" ref="EI26">IF('PBA Summary'!$D$2="","",_xll.ASAssetStatistic($A26,"Annual Down Capture vs Benchmark 1",'PBA Summary'!$D$2,,,"m",'PBA Summary'!$F$2,'PBA Summary'!$G$2))</f>
        <v>0.64543670526023345</v>
      </c>
      <c r="EJ26" s="34" cm="1">
        <f t="array" ref="EJ26">IF('PBA Summary'!$D$3="","",_xll.ASAssetStatistic($A26,"Annual Down Capture vs Benchmark 1",'PBA Summary'!$D$3,,,"m",'PBA Summary'!$F$2,'PBA Summary'!$G$2))</f>
        <v>0.64543670526023345</v>
      </c>
      <c r="EK26" s="16" cm="1">
        <f t="array" ref="EK26">IF('PBA Summary'!$D$2="","",_xll.ASAssetStatistic($A26,"Ann. Tracking Error vs Benchmark 1",'PBA Summary'!$D$2,,,"m",'PBA Summary'!$F$2,'PBA Summary'!$G$2))</f>
        <v>5.2434032707723295E-2</v>
      </c>
      <c r="EL26" s="16" cm="1">
        <f t="array" ref="EL26">IF('PBA Summary'!$D$3="","",_xll.ASAssetStatistic($A26,"Ann. Tracking Error vs Benchmark 1",'PBA Summary'!$D$3,,,"m",'PBA Summary'!$F$2,'PBA Summary'!$G$2))</f>
        <v>5.2434032707723295E-2</v>
      </c>
      <c r="EM26" s="16" cm="1">
        <f t="array" ref="EM26">IF('PBA Summary'!$D$2="","",_xll.ASAssetStatistic($A26,"Annual Jensen Alpha vs Benchmark 1 (Rf)",'PBA Summary'!$D$2,,,"m",'PBA Summary'!$F$2,'PBA Summary'!$G$2))</f>
        <v>5.5894851661193332E-2</v>
      </c>
      <c r="EN26" s="16" cm="1">
        <f t="array" ref="EN26">IF('PBA Summary'!$D$3="","",_xll.ASAssetStatistic($A26,"Annual Jensen Alpha vs Benchmark 1 (Rf)",'PBA Summary'!$D$3,,,"m",'PBA Summary'!$F$2,'PBA Summary'!$G$2))</f>
        <v>5.5894851661193332E-2</v>
      </c>
      <c r="EO26" s="33" cm="1">
        <f t="array" ref="EO26">IF('PBA Summary'!$D$2="","",_xll.ASAssetStatistic($A26,"Ann. Information Ratio vs Benchmark 1",'PBA Summary'!$D$2,,,"m",'PBA Summary'!$F$2,'PBA Summary'!$G$2))</f>
        <v>0.18427034918916846</v>
      </c>
      <c r="EP26" s="33" cm="1">
        <f t="array" ref="EP26">IF('PBA Summary'!$D$3="","",_xll.ASAssetStatistic($A26,"Ann. Information Ratio vs Benchmark 1",'PBA Summary'!$D$3,,,"m",'PBA Summary'!$F$2,'PBA Summary'!$G$2))</f>
        <v>0.18427034918916846</v>
      </c>
      <c r="EQ26" s="17" cm="1">
        <f t="array" ref="EQ26">IF('PBA Summary'!$D$2="","",_xll.ASAssetStatistic($A26,"Alpha Monthly vs Benchmark 1",'PBA Summary'!$D$2,,,"m",'PBA Summary'!$F$2,'PBA Summary'!$G$2))</f>
        <v>4.1750900853115783E-3</v>
      </c>
      <c r="ER26" s="17" cm="1">
        <f t="array" ref="ER26">IF('PBA Summary'!$D$3="","",_xll.ASAssetStatistic($A26,"Alpha Monthly vs Benchmark 1",'PBA Summary'!$D$3,,,"m",'PBA Summary'!$F$2,'PBA Summary'!$G$2))</f>
        <v>4.1750900853115783E-3</v>
      </c>
      <c r="ES26" s="11" t="str" cm="1">
        <f t="array" ref="ES26">_xll.ASAssetInfo($A26,"Company AUM (m)")</f>
        <v/>
      </c>
      <c r="ET26" s="16" cm="1">
        <f t="array" ref="ET26">_xll.ASAssetStatistic($A26,"Exponential Annualized Volatility",,,,"m",'PBA Summary'!$F$2,'PBA Summary'!$G$2)</f>
        <v>9.7242371039588632E-2</v>
      </c>
      <c r="EU26" s="16" cm="1">
        <f t="array" ref="EU26">_xll.ASAssetStatistic($A26,"Exponential Annualized Volatility Last 1 year",,,,"m",'PBA Summary'!$F$2,'PBA Summary'!$G$2)</f>
        <v>8.0037346744847776E-2</v>
      </c>
      <c r="EV26" s="16" t="str" cm="1">
        <f t="array" ref="EV26">_xll.ASAssetStatistic($A26,"Exponential Annualized Volatility Last 3 years",,,,"m",'PBA Summary'!$F$2,'PBA Summary'!$G$2)</f>
        <v/>
      </c>
      <c r="EW26" s="34" cm="1">
        <f t="array" ref="EW26">IF('PBA Summary'!$D$2="","",_xll.ASAssetStatistic($A26,"Exponential Correlation to Benchmark 1",'PBA Summary'!$D$2,,,"m",'PBA Summary'!$F$2,'PBA Summary'!$G$2))</f>
        <v>0.86096718469908529</v>
      </c>
      <c r="EX26" s="34" cm="1">
        <f t="array" ref="EX26">IF('PBA Summary'!$D$3="","",_xll.ASAssetStatistic($A26,"Exponential Correlation to Benchmark 1",'PBA Summary'!$D$3,,,"m",'PBA Summary'!$F$2,'PBA Summary'!$G$2))</f>
        <v>0.86096718469908529</v>
      </c>
      <c r="EY26" s="34" cm="1">
        <f t="array" ref="EY26">_xll.ASAssetStatistic($A26,"Exponential Annual Sharpe Ratio (Rf)",,,,"m",'PBA Summary'!$F$2,'PBA Summary'!$G$2)</f>
        <v>1.9951143771145563</v>
      </c>
      <c r="EZ26" s="34" cm="1">
        <f t="array" ref="EZ26">_xll.ASAssetStatistic($A26,"Exponential Normal Monthly VaR 99%",,,,"m",'PBA Summary'!$F$2,'PBA Summary'!$G$2)</f>
        <v>-5.0240922826813902E-2</v>
      </c>
      <c r="FA26" s="34" cm="1">
        <f t="array" ref="FA26">_xll.ASAssetStatistic($A26,"Exponential Normal Monthly VaR 97%",,,,"m",'PBA Summary'!$F$2,'PBA Summary'!$G$2)</f>
        <v>-3.7733566503150129E-2</v>
      </c>
      <c r="FB26" s="34" cm="1">
        <f t="array" ref="FB26">_xll.ASAssetStatistic($A26,"Exponential Normal Monthly VaR 95%",,,,"m",'PBA Summary'!$F$2,'PBA Summary'!$G$2)</f>
        <v>-3.1110388044804E-2</v>
      </c>
      <c r="FC26" s="34" cm="1">
        <f t="array" ref="FC26">_xll.ASAssetStatistic($A26,"Exponential Normal Monthly VaR 90%",,,,"m",'PBA Summary'!$F$2,'PBA Summary'!$G$2)</f>
        <v>-2.0911970740763817E-2</v>
      </c>
      <c r="FD26" s="34" t="str" cm="1">
        <f t="array" ref="FD26">_xll.ASAssetStatistic($A26,"Exponential Normal weekly VaR 99%",,,,"m",'PBA Summary'!$F$2,'PBA Summary'!$G$2)</f>
        <v/>
      </c>
      <c r="FE26" s="34" t="str" cm="1">
        <f t="array" ref="FE26">_xll.ASAssetStatistic($A26,"Exponential Normal weekly VaR 97%",,,,"m",'PBA Summary'!$F$2,'PBA Summary'!$G$2)</f>
        <v/>
      </c>
      <c r="FF26" s="34" t="str" cm="1">
        <f t="array" ref="FF26">_xll.ASAssetStatistic($A26,"Exponential Normal weekly VaR 95%",,,,"m",'PBA Summary'!$F$2,'PBA Summary'!$G$2)</f>
        <v/>
      </c>
      <c r="FG26" s="34" t="str" cm="1">
        <f t="array" ref="FG26">_xll.ASAssetStatistic($A26,"Exponential Normal weekly VaR 90%",,,,"m",'PBA Summary'!$F$2,'PBA Summary'!$G$2)</f>
        <v/>
      </c>
      <c r="FH26" s="34" t="str" cm="1">
        <f t="array" ref="FH26">_xll.ASAssetStatistic($A26,"Exponential Normal daily VaR 99%",,,,"m",'PBA Summary'!$F$2,'PBA Summary'!$G$2)</f>
        <v/>
      </c>
      <c r="FI26" s="34" t="str" cm="1">
        <f t="array" ref="FI26">_xll.ASAssetStatistic($A26,"Exponential Normal daily VaR 97%",,,,"m",'PBA Summary'!$F$2,'PBA Summary'!$G$2)</f>
        <v/>
      </c>
      <c r="FJ26" s="34" t="str" cm="1">
        <f t="array" ref="FJ26">_xll.ASAssetStatistic($A26,"Exponential Normal daily VaR 95%",,,,"m",'PBA Summary'!$F$2,'PBA Summary'!$G$2)</f>
        <v/>
      </c>
      <c r="FK26" s="34" t="str" cm="1">
        <f t="array" ref="FK26">_xll.ASAssetStatistic($A26,"Exponential Normal daily VaR 90%",,,,"m",'PBA Summary'!$F$2,'PBA Summary'!$G$2)</f>
        <v/>
      </c>
      <c r="FL26" s="34" cm="1">
        <f t="array" ref="FL26">_xll.ASAssetStatistic($A26,"Bias Ratio",,,,"m",'PBA Summary'!$F$2,'PBA Summary'!$G$2)</f>
        <v>4.5</v>
      </c>
      <c r="FM26" s="11" t="str" cm="1">
        <f t="array" ref="FM26">_xll.ASAssetInfo($A26,"Manager's Biography")</f>
        <v/>
      </c>
      <c r="FN26" s="11" cm="1">
        <f t="array" ref="FN26">_xll.ASAssetInfo($A26,"Investment Min")</f>
        <v>500000</v>
      </c>
      <c r="FO26" s="11" t="str" cm="1">
        <f t="array" ref="FO26">_xll.ASAssetInfo($A26,"Auditor")</f>
        <v>KPMG/Ireland</v>
      </c>
      <c r="FP26" s="11" t="str" cm="1">
        <f t="array" ref="FP26">_xll.ASAssetInfo($A26,"Custodian")</f>
        <v>RBC Investor Services Bank SA/Ireland</v>
      </c>
      <c r="FQ26" s="11" t="str" cm="1">
        <f t="array" ref="FQ26">_xll.ASAssetInfo($A26,"Administrator")</f>
        <v>RBC Investor Services Ireland Ltd</v>
      </c>
      <c r="FR26" s="14" t="str" cm="1">
        <f t="array" ref="FR26">_xll.ASAssetInfo($A26,"Proxy 1 Start Date")</f>
        <v/>
      </c>
      <c r="FS26" s="14" t="str" cm="1">
        <f t="array" ref="FS26">_xll.ASAssetInfo($A26,"Proxy 1 End Date")</f>
        <v/>
      </c>
      <c r="FT26" s="14" t="str" cm="1">
        <f t="array" ref="FT26">_xll.ASAssetInfo($A26,"Proxy 2 Start Date")</f>
        <v/>
      </c>
      <c r="FU26" s="14" t="str" cm="1">
        <f t="array" ref="FU26">_xll.ASAssetInfo($A26,"Proxy 2 End Date")</f>
        <v/>
      </c>
      <c r="FV26" s="14" t="str" cm="1">
        <f t="array" ref="FV26">_xll.ASAssetInfo($A26,"Proxy 3 Start Date")</f>
        <v/>
      </c>
      <c r="FW26" s="14" t="str" cm="1">
        <f t="array" ref="FW26">_xll.ASAssetInfo($A26,"Proxy 3 End Date")</f>
        <v/>
      </c>
      <c r="FX26" s="14" t="str" cm="1">
        <f t="array" ref="FX26">_xll.ASAssetInfo($A26,"Fund Domicile")</f>
        <v>IE</v>
      </c>
      <c r="FY26" s="14" t="str" cm="1">
        <f t="array" ref="FY26">_xll.ASAssetInfo($A26,"Fund Contact")</f>
        <v/>
      </c>
      <c r="FZ26" s="14" t="str" cm="1">
        <f t="array" ref="FZ26">_xll.ASAssetInfo($A26,"Fund Contact Email")</f>
        <v/>
      </c>
      <c r="GA26" s="14" t="str" cm="1">
        <f t="array" ref="GA26">_xll.ASAssetInfo($A26,"Fund Contact Number")</f>
        <v/>
      </c>
      <c r="GB26" s="14" t="str" cm="1">
        <f t="array" ref="GB26">_xll.ASAssetInfo($A26,"City")</f>
        <v>London</v>
      </c>
      <c r="GC26" s="14" t="str" cm="1">
        <f t="array" ref="GC26">_xll.ASAssetInfo($A26,"Leverage")</f>
        <v>N</v>
      </c>
      <c r="GD26" s="14" t="str" cm="1">
        <f t="array" ref="GD26">_xll.ASAssetInfo($A26,"Lockup 1 Duration")</f>
        <v>0 Months</v>
      </c>
      <c r="GE26" s="14" t="str" cm="1">
        <f t="array" ref="GE26">_xll.ASAssetInfo($A26,"Lockup 2 Duration")</f>
        <v>0 Months</v>
      </c>
      <c r="GF26" s="14" t="str" cm="1">
        <f t="array" ref="GF26">_xll.ASAssetInfo($A26,"Lockup 3 Duration")</f>
        <v>0 Months</v>
      </c>
      <c r="GG26" s="31" t="str" cm="1">
        <f t="array" ref="GG26">_xll.ASAssetInfo($A26,"Fund Level Gate")</f>
        <v/>
      </c>
      <c r="GH26" s="31" t="str" cm="1">
        <f t="array" ref="GH26">_xll.ASAssetInfo($A26,"Fund Level Gate Frequency")</f>
        <v>Unknown</v>
      </c>
      <c r="GI26" s="35" cm="1">
        <f t="array" ref="GI26">_xll.ASAssetInfo($A26,"Payment 2 (%)")</f>
        <v>0</v>
      </c>
      <c r="GJ26" s="35" t="str" cm="1">
        <f t="array" ref="GJ26">_xll.ASAssetInfo($A26,"Payment 2 (days)")</f>
        <v/>
      </c>
      <c r="GK26" s="35" t="str" cm="1">
        <f t="array" ref="GK26">_xll.ASAssetInfo($A26,"Payment 2 (Paid After)")</f>
        <v>NAV Date</v>
      </c>
      <c r="GL26" s="35" cm="1">
        <f t="array" ref="GL26">_xll.ASAssetInfo($A26,"Payment 3 (%)")</f>
        <v>0</v>
      </c>
      <c r="GM26" s="36" t="str" cm="1">
        <f t="array" ref="GM26">_xll.ASAssetInfo($A26,"Payment 3 (Days)")</f>
        <v/>
      </c>
      <c r="GN26" s="35" t="str" cm="1">
        <f t="array" ref="GN26">_xll.ASAssetInfo($A26,"Payment 3 (Paid After)")</f>
        <v>NAV Date</v>
      </c>
      <c r="GO26" s="35" cm="1">
        <f t="array" ref="GO26">_xll.ASAssetInfo($A26,"Payment 4 (%)")</f>
        <v>0</v>
      </c>
      <c r="GP26" s="36" t="str" cm="1">
        <f t="array" ref="GP26">_xll.ASAssetInfo($A26,"Payment 4 (days)")</f>
        <v/>
      </c>
      <c r="GQ26" s="35" t="str" cm="1">
        <f t="array" ref="GQ26">_xll.ASAssetInfo($A26,"Payment 4 (Paid After)")</f>
        <v>NAV Date</v>
      </c>
      <c r="GR26" s="11" cm="1">
        <f t="array" ref="GR26">_xll.ASAssetInfo($A26,"Payment 1 (%)")</f>
        <v>1</v>
      </c>
      <c r="GS26" s="35" cm="1">
        <f t="array" ref="GS26">_xll.ASAssetInfo($A26,"Lockup 1 Fee")</f>
        <v>0</v>
      </c>
      <c r="GT26" s="35" cm="1">
        <f t="array" ref="GT26">_xll.ASAssetInfo($A26,"Lockup 2 Fee")</f>
        <v>0</v>
      </c>
      <c r="GU26" s="35" cm="1">
        <f t="array" ref="GU26">_xll.ASAssetInfo($A26,"Lockup 3 Fee")</f>
        <v>0</v>
      </c>
      <c r="GV26" s="35" t="str" cm="1">
        <f t="array" ref="GV26">_xll.ASAssetInfo($A26,"Lockup 1 type")</f>
        <v>None</v>
      </c>
      <c r="GW26" s="35" t="str" cm="1">
        <f t="array" ref="GW26">_xll.ASAssetInfo($A26,"Lockup 2 type")</f>
        <v>None</v>
      </c>
      <c r="GX26" s="35" t="str" cm="1">
        <f t="array" ref="GX26">_xll.ASAssetInfo($A26,"Lockup 3 type")</f>
        <v>None</v>
      </c>
      <c r="GY26" s="35" t="str" cm="1">
        <f t="array" ref="GY26">_xll.ASAssetInfo($A26,"Redemption 1 type")</f>
        <v>Calendar</v>
      </c>
      <c r="GZ26" s="35" t="str" cm="1">
        <f t="array" ref="GZ26">_xll.ASAssetInfo($A26,"Redemption 2 type")</f>
        <v>Calendar</v>
      </c>
      <c r="HA26" s="35" t="str" cm="1">
        <f t="array" ref="HA26">_xll.ASAssetInfo($A26,"Redemption 3 type")</f>
        <v>Calendar</v>
      </c>
      <c r="HB26" s="35" t="str" cm="1">
        <f t="array" ref="HB26">_xll.ASAssetInfo($A26,"Redemption 1 Fee")</f>
        <v/>
      </c>
      <c r="HC26" s="35" t="str" cm="1">
        <f t="array" ref="HC26">_xll.ASAssetInfo($A26,"Redemption 2 Fee")</f>
        <v/>
      </c>
      <c r="HD26" s="35" t="str" cm="1">
        <f t="array" ref="HD26">_xll.ASAssetInfo($A26,"Redemption 3 Fee")</f>
        <v/>
      </c>
      <c r="HE26" s="35" t="str" cm="1">
        <f t="array" ref="HE26">_xll.ASAssetInfo($A26,"Redemption 1 Frequency")</f>
        <v>Daily</v>
      </c>
      <c r="HF26" s="35" t="str" cm="1">
        <f t="array" ref="HF26">_xll.ASAssetInfo($A26,"Redemption 2 Frequency")</f>
        <v>Unknown</v>
      </c>
      <c r="HG26" s="35" t="str" cm="1">
        <f t="array" ref="HG26">_xll.ASAssetInfo($A26,"Redemption 3 Frequency")</f>
        <v>Unknown</v>
      </c>
      <c r="HH26" s="35" t="str" cm="1">
        <f t="array" ref="HH26">_xll.ASAssetInfo($A26,"Asset Calendar")</f>
        <v>[Default]</v>
      </c>
      <c r="HI26" s="16" cm="1">
        <f t="array" ref="HI26">_xll.ASAssetStatistic($A26,"Max Second Drawdown",,,,"m",'PBA Summary'!$F$2,'PBA Summary'!$G$2)</f>
        <v>-3.9783700270375033E-2</v>
      </c>
      <c r="HJ26" s="37" cm="1">
        <f t="array" ref="HJ26">_xll.ASAssetStatistic($A26,"Date Max Second Drawdown",,,,"m",'PBA Summary'!$F$2,'PBA Summary'!$G$2)</f>
        <v>43616</v>
      </c>
      <c r="HK26" s="37"/>
      <c r="HL26" s="37" t="str" cm="1">
        <f t="array" ref="HL26">_xll.ASAssetInfo($A26,HL$1)</f>
        <v/>
      </c>
      <c r="HM26" s="34" t="str" cm="1">
        <f t="array" ref="HM26">_xll.ASAssetInfo($A26,HM$1)</f>
        <v/>
      </c>
      <c r="HN26" s="37" t="str" cm="1">
        <f t="array" ref="HN26">_xll.ASAssetInfo($A26,HN$1)</f>
        <v/>
      </c>
      <c r="HO26" s="15" t="str" cm="1">
        <f t="array" ref="HO26">_xll.ASAssetInfo($A26,HO$1)</f>
        <v/>
      </c>
      <c r="HP26" s="15" t="str" cm="1">
        <f t="array" ref="HP26">_xll.ASAssetInfo($A26,HP$1)</f>
        <v/>
      </c>
      <c r="HQ26" s="34" t="str" cm="1">
        <f t="array" ref="HQ26">_xll.ASAssetInfo($A26,HQ$1)</f>
        <v/>
      </c>
      <c r="HR26" s="37" t="str" cm="1">
        <f t="array" ref="HR26">_xll.ASAssetInfo($A26,HR$1)</f>
        <v/>
      </c>
      <c r="HS26" s="37" t="str" cm="1">
        <f t="array" ref="HS26">_xll.ASAssetInfo($A26,HS$1)</f>
        <v/>
      </c>
      <c r="HT26" s="37" t="str" cm="1">
        <f t="array" ref="HT26">_xll.ASAssetInfo($A26,HT$1)</f>
        <v/>
      </c>
      <c r="HU26" s="37" t="str" cm="1">
        <f t="array" ref="HU26">_xll.ASAssetInfo($A26,HU$1)</f>
        <v>Global</v>
      </c>
      <c r="HV26" s="37" t="str" cm="1">
        <f t="array" ref="HV26">_xll.ASAssetInfo($A26,HV$1)</f>
        <v/>
      </c>
      <c r="HW26" s="37" t="str" cm="1">
        <f t="array" ref="HW26">_xll.ASAssetInfo($A26,HW$1)</f>
        <v/>
      </c>
    </row>
    <row r="27" spans="1:231" s="11" customFormat="1" x14ac:dyDescent="0.25">
      <c r="A27" t="s">
        <v>297</v>
      </c>
      <c r="B27" cm="1">
        <f t="array" ref="B27">_xll.ASPortfolioWeights('PBA Summary'!$C$2,"OR",$A27)</f>
        <v>0</v>
      </c>
      <c r="C27" cm="1">
        <f t="array" ref="C27">_xll.ASAssetStatistic($A27,"Annualized Return since inception",,,,"m",_xll.ASAssetInfo($A27,"Start Date"),_xll.ASAssetInfo($A27,"Last Return Date"))</f>
        <v>6.3400453402209012E-2</v>
      </c>
      <c r="D27" cm="1">
        <f t="array" ref="D27">_xll.ASAssetStatistic($A27,"Annualized Return",,,,"m",'PBA Summary'!$F$2,'PBA Summary'!$G$2)</f>
        <v>6.5470663890671243E-2</v>
      </c>
      <c r="E27" s="19" cm="1">
        <f t="array" ref="E27">_xll.ASAssetStatistic($A27,"Equilibrium Annual Return",,,,"m",'PBA Summary'!$F$2,'PBA Summary'!$G$2)</f>
        <v>4.1459181478789686E-2</v>
      </c>
      <c r="F27" cm="1">
        <f t="array" ref="F27">_xll.ASAssetStatistic($A27,"Annualized Volatility (Inception)",,,,"m",_xll.ASAssetInfo($A27,"Start Date"),_xll.ASAssetInfo($A27,"Last Return Date"))</f>
        <v>4.1359197725552759E-3</v>
      </c>
      <c r="G27" cm="1">
        <f t="array" ref="G27">_xll.ASAssetStatistic($A27,"Annualized Volatility",,,,"m",'PBA Summary'!$F$2,'PBA Summary'!$G$2)</f>
        <v>1.3379029051271778E-3</v>
      </c>
      <c r="H27" s="20" cm="1">
        <f t="array" ref="H27">_xll.ASAssetStatistic($A27,"Skewness",,,,"m",'PBA Summary'!$F$2,'PBA Summary'!$G$2)</f>
        <v>-6.5753066669700086E-2</v>
      </c>
      <c r="I27" s="20" cm="1">
        <f t="array" ref="I27">_xll.ASAssetStatistic($A27,"Excess kurtosis",,,,"m",'PBA Summary'!$F$2,'PBA Summary'!$G$2)</f>
        <v>0.65122656098397635</v>
      </c>
      <c r="J27" s="19" cm="1">
        <f t="array" ref="J27">_xll.ASAssetStatistic($A27,"Return Last 1 month",,,,"m",'PBA Summary'!$F$2,'PBA Summary'!$G$2)</f>
        <v>4.8733791663040371E-3</v>
      </c>
      <c r="K27" s="19" cm="1">
        <f t="array" ref="K27">_xll.ASAssetStatistic($A27,"Return Last 3 months",,,,"m",'PBA Summary'!$F$2,'PBA Summary'!$G$2)</f>
        <v>1.5835312747426888E-2</v>
      </c>
      <c r="L27" s="19" cm="1">
        <f t="array" ref="L27">_xll.ASAssetStatistic($A27,"Return Last 1 year",,,,"m",'PBA Summary'!$F$2,'PBA Summary'!$G$2)</f>
        <v>6.3945452870174391E-2</v>
      </c>
      <c r="M27" s="19" cm="1">
        <f t="array" ref="M27">_xll.ASAssetStatistic($A27,"Year-to-date Return",,,,"m",'PBA Summary'!$F$2,'PBA Summary'!$G$2)</f>
        <v>4.8733791663040371E-3</v>
      </c>
      <c r="N27" s="19" cm="1">
        <f t="array" ref="N27">_xll.ASAssetStatistic($A27,"Annualized Return",,,,"m",EOMONTH('PBA Summary'!$G$2,-2),'PBA Summary'!$G$2)</f>
        <v>6.4861739917995376E-2</v>
      </c>
      <c r="O27" s="19" t="str" cm="1">
        <f t="array" ref="O27">_xll.ASAssetStatistic($A27,"Annualized Return Last 3 years",,,,"m",'PBA Summary'!$F$2,'PBA Summary'!$G$2)</f>
        <v/>
      </c>
      <c r="P27" s="19" t="str" cm="1">
        <f t="array" ref="P27">_xll.ASAssetStatistic($A27,"Annualized Return Last 5 years",,,,"m",'PBA Summary'!$F$2,'PBA Summary'!$G$2)</f>
        <v/>
      </c>
      <c r="Q27" s="19" cm="1">
        <f t="array" ref="Q27">_xll.ASAssetStatistic($A27,"Annualized Volatility Last 1 year",,,,"m",'PBA Summary'!$F$2,'PBA Summary'!$G$2)</f>
        <v>1.0918081127349068E-3</v>
      </c>
      <c r="R27" s="19" t="str" cm="1">
        <f t="array" ref="R27">_xll.ASAssetStatistic($A27,"Annualized Volatility Last 3 years",,,,"m",'PBA Summary'!$F$2,'PBA Summary'!$G$2)</f>
        <v/>
      </c>
      <c r="S27" s="19" t="str" cm="1">
        <f t="array" ref="S27">_xll.ASAssetStatistic($A27,"Annualized Volatility Last 5 years",,,,"m",'PBA Summary'!$F$2,'PBA Summary'!$G$2)</f>
        <v/>
      </c>
      <c r="T27" s="19" cm="1">
        <f t="array" ref="T27">_xll.ASAssetStatistic($A27,"Normal monthly VaR 99%",,,,"m",'PBA Summary'!$F$2,'PBA Summary'!$G$2)</f>
        <v>4.4002975132941182E-3</v>
      </c>
      <c r="U27" s="19" cm="1">
        <f t="array" ref="U27">_xll.ASAssetStatistic($A27,"Modified monthly VaR 99%",,,,"m",'PBA Summary'!$F$2,'PBA Summary'!$G$2)</f>
        <v>4.3234510882409335E-3</v>
      </c>
      <c r="V27" s="19" cm="1">
        <f t="array" ref="V27">_xll.ASAssetStatistic($A27,"Conditional monthly VaR 99%",,,,"m",'PBA Summary'!$F$2,'PBA Summary'!$G$2)</f>
        <v>4.4675419401896121E-3</v>
      </c>
      <c r="W27" s="19" cm="1">
        <f t="array" ref="W27">_xll.ASAssetStatistic($A27,"Normal monthly VaR 97%",,,,"m",'PBA Summary'!$F$2,'PBA Summary'!$G$2)</f>
        <v>4.5723791705181904E-3</v>
      </c>
      <c r="X27" s="19" cm="1">
        <f t="array" ref="X27">_xll.ASAssetStatistic($A27,"Modified monthly VaR 97%",,,,"m",'PBA Summary'!$F$2,'PBA Summary'!$G$2)</f>
        <v>4.5512285662182642E-3</v>
      </c>
      <c r="Y27" s="19" cm="1">
        <f t="array" ref="Y27">_xll.ASAssetStatistic($A27,"Conditional monthly VaR 97%",,,,"m",'PBA Summary'!$F$2,'PBA Summary'!$G$2)</f>
        <v>4.4675419401896121E-3</v>
      </c>
      <c r="Z27" s="19" cm="1">
        <f t="array" ref="Z27">_xll.ASAssetStatistic($A27,"Normal monthly VaR 95%",,,,"m",'PBA Summary'!$F$2,'PBA Summary'!$G$2)</f>
        <v>4.6635037451852306E-3</v>
      </c>
      <c r="AA27" s="19" cm="1">
        <f t="array" ref="AA27">_xll.ASAssetStatistic($A27,"Modified monthly VaR 95%",,,,"m",'PBA Summary'!$F$2,'PBA Summary'!$G$2)</f>
        <v>4.6613921526444642E-3</v>
      </c>
      <c r="AB27" s="19" cm="1">
        <f t="array" ref="AB27">_xll.ASAssetStatistic($A27,"Conditional monthly VaR 95%",,,,"m",'PBA Summary'!$F$2,'PBA Summary'!$G$2)</f>
        <v>4.4675419401896121E-3</v>
      </c>
      <c r="AC27" s="66" cm="1">
        <f t="array" ref="AC27">_xll.ASAssetStatistic($A27,"Correlation to Benchmark 1","MSCI ACWI Index",,,"m",'PBA Summary'!$F$2,'PBA Summary'!$G$2)</f>
        <v>0.16238256171949034</v>
      </c>
      <c r="AD27" s="38" cm="1">
        <f t="array" ref="AD27">IF('PBA Summary'!$D$3="","",_xll.ASAssetStatistic($A27,"Correlation to Benchmark 1",'PBA Summary'!$D$3,,,"m",'PBA Summary'!$F$2,'PBA Summary'!$G$2))</f>
        <v>7.3447187128023533E-2</v>
      </c>
      <c r="AE27" s="21" cm="1">
        <f t="array" ref="AE27">IF('PBA Summary'!$D$2="","",_xll.ASAssetStatistic($A27,"Bull correlation to Benchmark 1",'PBA Summary'!$D$2,,,"m",'PBA Summary'!$F$2,'PBA Summary'!$G$2))</f>
        <v>0.10153469336842273</v>
      </c>
      <c r="AF27" s="21" cm="1">
        <f t="array" ref="AF27">IF('PBA Summary'!$D$2="","",_xll.ASAssetStatistic($A27,"Bear correlation to Benchmark 1",'PBA Summary'!$D$2,,,"m",'PBA Summary'!$F$2,'PBA Summary'!$G$2))</f>
        <v>-0.87422397355988712</v>
      </c>
      <c r="AG27" s="21" cm="1">
        <f t="array" ref="AG27">IF('PBA Summary'!$D$3="","",_xll.ASAssetStatistic($A27,"Bull correlation to Benchmark 1",'PBA Summary'!$D$3,,,"m",'PBA Summary'!$F$2,'PBA Summary'!$G$2))</f>
        <v>0.10153469336842273</v>
      </c>
      <c r="AH27" s="21" cm="1">
        <f t="array" ref="AH27">IF('PBA Summary'!$D$3="","",_xll.ASAssetStatistic($A27,"Bear correlation to Benchmark 1",'PBA Summary'!$D$3,,,"m",'PBA Summary'!$F$2,'PBA Summary'!$G$2))</f>
        <v>-0.87422397355988712</v>
      </c>
      <c r="AI27" s="24" cm="1">
        <f t="array" ref="AI27">IF('PBA Summary'!$D$2="","",_xll.ASAssetStatistic($A27,"Beta to Benchmark 1",'PBA Summary'!$D$2,,,"m",'PBA Summary'!$F$2,'PBA Summary'!$G$2))</f>
        <v>6.400641412254611E-4</v>
      </c>
      <c r="AJ27" s="24" t="str" cm="1">
        <f t="array" ref="AJ27">IF('PBA Summary'!$D$2="","",_xll.ASAssetStatistic($A27,"Beta to Benchmark 1 Last 3 years",'PBA Summary'!$D$2,,,"m",'PBA Summary'!$F$2,'PBA Summary'!$G$2))</f>
        <v/>
      </c>
      <c r="AK27" s="24" t="str" cm="1">
        <f t="array" ref="AK27">IF('PBA Summary'!$D$2="","",_xll.ASAssetStatistic($A27,"Beta to Benchmark 1 Last 5 years",'PBA Summary'!$D$2,,,"m",'PBA Summary'!$F$2,'PBA Summary'!$G$2))</f>
        <v/>
      </c>
      <c r="AL27" s="25" cm="1">
        <f t="array" ref="AL27">IF('PBA Summary'!$D$3="","",_xll.ASAssetStatistic($A27,"Beta to Benchmark 1",'PBA Summary'!$D$3,,,"m",'PBA Summary'!$F$2,'PBA Summary'!$G$2))</f>
        <v>6.400641412254611E-4</v>
      </c>
      <c r="AM27" s="25" t="str" cm="1">
        <f t="array" ref="AM27">IF('PBA Summary'!$D$3="","",_xll.ASAssetStatistic($A27,"Beta to Benchmark 1 Last 3 years",'PBA Summary'!$D$3,,,"m",'PBA Summary'!$F$2,'PBA Summary'!$G$2))</f>
        <v/>
      </c>
      <c r="AN27" s="25" t="str" cm="1">
        <f t="array" ref="AN27">IF('PBA Summary'!$D$3="","",_xll.ASAssetStatistic($A27,"Beta to Benchmark 1 Last 5 years",'PBA Summary'!$D$3,,,"m",'PBA Summary'!$F$2,'PBA Summary'!$G$2))</f>
        <v/>
      </c>
      <c r="AO27" s="25" cm="1">
        <f t="array" ref="AO27">IF('PBA Summary'!$D$2="","",_xll.ASAssetStatistic($A27,"Bull Beta to Benchmark 1",'PBA Summary'!$D$2,,,"m",'PBA Summary'!$F$2,'PBA Summary'!$G$2))</f>
        <v>2.0007157190498168E-3</v>
      </c>
      <c r="AP27" s="25" cm="1">
        <f t="array" ref="AP27">IF('PBA Summary'!$D$2="","",_xll.ASAssetStatistic($A27,"Bear Beta to Benchmark 1",'PBA Summary'!$D$2,,,"m",'PBA Summary'!$F$2,'PBA Summary'!$G$2))</f>
        <v>-5.3511101772062367E-3</v>
      </c>
      <c r="AQ27" s="25" cm="1">
        <f t="array" ref="AQ27">IF('PBA Summary'!$D$3="","",_xll.ASAssetStatistic($A27,"Bull Beta to Benchmark 1",'PBA Summary'!$D$3,,,"m",'PBA Summary'!$F$2,'PBA Summary'!$G$2))</f>
        <v>2.0007157190498168E-3</v>
      </c>
      <c r="AR27" s="25" cm="1">
        <f t="array" ref="AR27">IF('PBA Summary'!$D$3="","",_xll.ASAssetStatistic($A27,"Bear Beta to Benchmark 1",'PBA Summary'!$D$3,,,"m",'PBA Summary'!$F$2,'PBA Summary'!$G$2))</f>
        <v>-5.3511101772062367E-3</v>
      </c>
      <c r="AS27" s="25" cm="1">
        <f t="array" ref="AS27">_xll.ASAssetStatistic($A27,"Annual Sharpe Ratio (Rf)",,,'PBA Summary'!$H$2,"m",'PBA Summary'!$F$2,'PBA Summary'!$G$2)</f>
        <v>47.066691947040361</v>
      </c>
      <c r="AT27" s="25" t="str" cm="1">
        <f t="array" ref="AT27">_xll.ASAssetStatistic($A27,"Annual Sharpe Ratio (Rf) Last 3 years",,,'PBA Summary'!$H$2,"m",'PBA Summary'!$F$2,'PBA Summary'!$G$2)</f>
        <v/>
      </c>
      <c r="AU27" s="25" t="str" cm="1">
        <f t="array" ref="AU27">_xll.ASAssetStatistic($A27,"Annual Sharpe Ratio (Rf) Last 5 years",,,'PBA Summary'!$H$2,"m",'PBA Summary'!$F$2,'PBA Summary'!$G$2)</f>
        <v/>
      </c>
      <c r="AV27" s="18" cm="1">
        <f t="array" ref="AV27">_xll.ASAssetStatistic($A27,"Ann. Downside Deviation (vs 0%)",,,'PBA Summary'!$H$2,"m",'PBA Summary'!$F$2,'PBA Summary'!$G$2)</f>
        <v>0</v>
      </c>
      <c r="AW27" s="18" cm="1">
        <f t="array" ref="AW27">_xll.ASAssetStatistic($A27,"Ann. Downside Deviation (vs Rf)",,,'PBA Summary'!$H$2,"m",'PBA Summary'!$F$2,'PBA Summary'!$G$2)</f>
        <v>0</v>
      </c>
      <c r="AX27" s="39" cm="1">
        <f t="array" ref="AX27">_xll.ASAssetStatistic($A27,"Annual Treynor ratio",,,'PBA Summary'!$H$2,"m",'PBA Summary'!$F$2,'PBA Summary'!$G$2)</f>
        <v>-15.204715565103484</v>
      </c>
      <c r="AY27" s="26" t="str" cm="1">
        <f t="array" ref="AY27">_xll.ASAssetStatistic($A27,"Annual Sortino Ratio (vs 0%)",,,'PBA Summary'!$H$2,"m",'PBA Summary'!$F$2,'PBA Summary'!$G$2)</f>
        <v/>
      </c>
      <c r="AZ27" s="26" t="str" cm="1">
        <f t="array" ref="AZ27">_xll.ASAssetStatistic($A27,"Annual Sortino Ratio (vs Rf)",,,'PBA Summary'!$H$2,"m",'PBA Summary'!$F$2,'PBA Summary'!$G$2)</f>
        <v/>
      </c>
      <c r="BA27" s="26" cm="1">
        <f t="array" ref="BA27">_xll.ASAssetStatistic($A27,"Sterling ratio",,,'PBA Summary'!$H$2,"m",'PBA Summary'!$F$2,'PBA Summary'!$G$2)</f>
        <v>0.65470663890671243</v>
      </c>
      <c r="BB27" s="26" t="str" cm="1">
        <f t="array" ref="BB27">_xll.ASAssetStatistic($A27,"Calmar ratio",,,'PBA Summary'!$H$2,"m",'PBA Summary'!$F$2,'PBA Summary'!$G$2)</f>
        <v/>
      </c>
      <c r="BC27" s="26" cm="1">
        <f t="array" ref="BC27">_xll.ASAssetStatistic($A27,"Hurst index",,,'PBA Summary'!$H$2,"m",'PBA Summary'!$F$2,'PBA Summary'!$G$2)</f>
        <v>0.5103412368573097</v>
      </c>
      <c r="BD27" s="26" t="str" cm="1">
        <f t="array" ref="BD27">_xll.ASAssetStatistic($A27,"Omega (Threshold 1)",,,'PBA Summary'!$H$2,"m",'PBA Summary'!$F$2,'PBA Summary'!$G$2)</f>
        <v/>
      </c>
      <c r="BE27" s="26" cm="1">
        <f t="array" ref="BE27">_xll.ASAssetStatistic($A27,"Omega (Threshold 2)",,,'PBA Summary'!$H$2,"m",'PBA Summary'!$F$2,'PBA Summary'!$G$2)</f>
        <v>7.7998983094471388</v>
      </c>
      <c r="BF27" s="26" cm="1">
        <f t="array" ref="BF27">_xll.ASAssetStatistic($A27,"Omega (Threshold 3)",,,'PBA Summary'!$H$2,"m",'PBA Summary'!$F$2,'PBA Summary'!$G$2)</f>
        <v>0</v>
      </c>
      <c r="BG27" s="26" cm="1">
        <f t="array" ref="BG27">_xll.ASAssetStatistic($A27,"Omega (Threshold 4)",,,'PBA Summary'!$H$2,"m",'PBA Summary'!$F$2,'PBA Summary'!$G$2)</f>
        <v>0</v>
      </c>
      <c r="BH27" s="26" cm="1">
        <f t="array" ref="BH27">_xll.ASAssetStatistic($A27,"Omega (Threshold 5)",,,'PBA Summary'!$H$2,"m",'PBA Summary'!$F$2,'PBA Summary'!$G$2)</f>
        <v>0</v>
      </c>
      <c r="BI27" s="26" t="str" cm="1">
        <f t="array" ref="BI27">_xll.ASAssetStatistic($A27,"Autocorrelated (illiquid)",,,'PBA Summary'!$H$2,"m",'PBA Summary'!$F$2,'PBA Summary'!$G$2)</f>
        <v>Yes</v>
      </c>
      <c r="BJ27" s="27" t="str" cm="1">
        <f t="array" ref="BJ27">_xll.ASAssetStatistic($A27,"% months in Run Up",,,'PBA Summary'!$H$2,"m",'PBA Summary'!$F$2,'PBA Summary'!$G$2)</f>
        <v/>
      </c>
      <c r="BK27" s="27" t="str" cm="1">
        <f t="array" ref="BK27">_xll.ASAssetStatistic($A27,"% months in Drawdown",,,'PBA Summary'!$H$2,"m",'PBA Summary'!$F$2,'PBA Summary'!$G$2)</f>
        <v/>
      </c>
      <c r="BL27" s="18" cm="1">
        <f t="array" ref="BL27">IF('PBA Summary'!$D$2="","",_xll.ASAssetStatistic($A27,"Bull Beta to Benchmark 1",'PBA Summary'!$D$2,,,"m",'PBA Summary'!$F$2,'PBA Summary'!$G$2))</f>
        <v>2.0007157190498168E-3</v>
      </c>
      <c r="BM27" s="18" cm="1">
        <f t="array" ref="BM27">IF('PBA Summary'!$D$2="","",_xll.ASAssetStatistic($A27,"Average return during bear Benchmark 1",'PBA Summary'!$D$2,,,"m",'PBA Summary'!$F$2,'PBA Summary'!$G$2))</f>
        <v>5.1822384033707869E-3</v>
      </c>
      <c r="BN27" s="18" cm="1">
        <f t="array" ref="BN27">IF('PBA Summary'!$D$3="","",_xll.ASAssetStatistic($A27,"Average return during bull Benchmark 1",'PBA Summary'!$D$3,,,"m",'PBA Summary'!$F$2,'PBA Summary'!$G$2))</f>
        <v>5.3411559854784525E-3</v>
      </c>
      <c r="BO27" s="18" cm="1">
        <f t="array" ref="BO27">IF('PBA Summary'!$D$3="","",_xll.ASAssetStatistic($A27,"Average return during bear Benchmark 1",'PBA Summary'!$D$3,,,"m",'PBA Summary'!$F$2,'PBA Summary'!$G$2))</f>
        <v>5.1822384033707869E-3</v>
      </c>
      <c r="BP27" s="27" cm="1">
        <f t="array" ref="BP27">_xll.ASAssetStatistic($A27,"Maximum consecutive gain",,,'PBA Summary'!$H$2,"m",'PBA Summary'!$F$2,'PBA Summary'!$G$2)</f>
        <v>8.2497421955563865E-2</v>
      </c>
      <c r="BQ27" s="27" cm="1">
        <f t="array" ref="BQ27">_xll.ASAssetStatistic($A27,"Maximum consecutive loss",,,'PBA Summary'!$H$2,"m",'PBA Summary'!$F$2,'PBA Summary'!$G$2)</f>
        <v>0</v>
      </c>
      <c r="BR27" s="27" cm="1">
        <f t="array" ref="BR27">_xll.ASAssetStatistic($A27,"Max monthly gain",,,'PBA Summary'!$H$2,"m",'PBA Summary'!$F$2,'PBA Summary'!$G$2)</f>
        <v>5.9998125058591256E-3</v>
      </c>
      <c r="BS27" s="27" cm="1">
        <f t="array" ref="BS27">_xll.ASAssetStatistic($A27,"Max monthly loss",,,'PBA Summary'!$H$2,"m",'PBA Summary'!$F$2,'PBA Summary'!$G$2)</f>
        <v>0</v>
      </c>
      <c r="BT27" s="27" cm="1">
        <f t="array" ref="BT27">_xll.ASAssetStatistic($A27,"Max drawdown",,,'PBA Summary'!$H$2,"m",'PBA Summary'!$F$2,'PBA Summary'!$G$2)</f>
        <v>0</v>
      </c>
      <c r="BU27" s="28" t="str" cm="1">
        <f t="array" ref="BU27">_xll.ASAssetStatistic($A27,"Date Max drawdown",,,'PBA Summary'!$H$2,"m",'PBA Summary'!$F$2,'PBA Summary'!$G$2)</f>
        <v/>
      </c>
      <c r="BV27" s="28" t="str" cm="1">
        <f t="array" ref="BV27">_xll.ASAssetStatistic($A27,"Start Date Max Drawdown",,,'PBA Summary'!$H$2,"m",'PBA Summary'!$F$2,'PBA Summary'!$G$2)</f>
        <v/>
      </c>
      <c r="BW27" s="28" t="str" cm="1">
        <f t="array" ref="BW27">_xll.ASAssetStatistic($A27,"End Date Max Drawdown",,,'PBA Summary'!$H$2,"m",'PBA Summary'!$F$2,'PBA Summary'!$G$2)</f>
        <v/>
      </c>
      <c r="BX27" s="29" cm="1">
        <f t="array" ref="BX27">_xll.ASAssetStatistic($A27,"Max Time-under-water (months)",,,'PBA Summary'!$H$2,"m",'PBA Summary'!$F$2,'PBA Summary'!$G$2)</f>
        <v>0</v>
      </c>
      <c r="BY27" s="27" cm="1">
        <f t="array" ref="BY27">_xll.ASAssetStatistic($A27,"Max possible drawdown 99%",,,'PBA Summary'!$H$2,"m",'PBA Summary'!$F$2,'PBA Summary'!$G$2)</f>
        <v>-3.8087419641828492E-5</v>
      </c>
      <c r="BZ27" s="27" cm="1">
        <f t="array" ref="BZ27">_xll.ASAssetStatistic($A27,"Max possible drawdown 99.9%",,,'PBA Summary'!$H$2,"m",'PBA Summary'!$F$2,'PBA Summary'!$G$2)</f>
        <v>-6.7206997190327362E-5</v>
      </c>
      <c r="CA27" s="30" cm="1">
        <f t="array" ref="CA27">_xll.ASAssetStatistic($A27,"Max Possible Time-under-water 99% (months)",,,'PBA Summary'!$H$2,"m",'PBA Summary'!$F$2,'PBA Summary'!$G$2)</f>
        <v>2.8751851769288687E-2</v>
      </c>
      <c r="CB27" s="30" cm="1">
        <f t="array" ref="CB27">_xll.ASAssetStatistic($A27,"Max Possible Time-under-water 99.9% (months)",,,'PBA Summary'!$H$2,"m",'PBA Summary'!$F$2,'PBA Summary'!$G$2)</f>
        <v>5.0733959907149212E-2</v>
      </c>
      <c r="CC27" s="17" cm="1">
        <f t="array" ref="CC27">_xll.ASPortfolioReturnAttribution('PBA Summary'!$C$2,"OR",A27,"Last 1m",'PBA Summary'!$F$2,'PBA Summary'!$G$2)</f>
        <v>0</v>
      </c>
      <c r="CD27" s="11" t="str" cm="1">
        <f t="array" ref="CD27">_xll.ASAssetInfo($A27,"Strategy")</f>
        <v>Funds - Trade Finance</v>
      </c>
      <c r="CE27" s="14" cm="1">
        <f t="array" ref="CE27">_xll.ASAssetInfo($A27,"Start Date")</f>
        <v>41182</v>
      </c>
      <c r="CF27" s="14" t="str" cm="1">
        <f t="array" ref="CF27">_xll.ASAssetRatings($A27,"Quantitative",0,0,0,0,0,'PBA Summary'!$F$2,'PBA Summary'!$G$2)</f>
        <v/>
      </c>
      <c r="CG27" s="14" t="str" cm="1">
        <f t="array" ref="CG27">_xll.ASAssetRatings($A27,"Qualitative",0,0,0,0,0,'PBA Summary'!$F$2,'PBA Summary'!$G$2)</f>
        <v/>
      </c>
      <c r="CH27" s="14" t="str" cm="1">
        <f t="array" ref="CH27">_xll.ASAssetRatings($A27,"Final",0,0,0,0,0,'PBA Summary'!$F$2,'PBA Summary'!$G$2)</f>
        <v/>
      </c>
      <c r="CI27" s="14" cm="1">
        <f t="array" ref="CI27">_xll.ASAssetInfo($A27,"Last Return Date")</f>
        <v>44135</v>
      </c>
      <c r="CJ27" s="14" t="str" cm="1">
        <f t="array" ref="CJ27">_xll.ASAssetInfo($A27,"Company Name")</f>
        <v>Fuchs Asset Management SA</v>
      </c>
      <c r="CK27" s="14" t="str" cm="1">
        <f t="array" ref="CK27">_xll.ASAssetInfo($A27,"Manager Name")</f>
        <v/>
      </c>
      <c r="CL27" s="14" t="str" cm="1">
        <f t="array" ref="CL27">_xll.ASAssetInfo($A27,"Address")</f>
        <v>Fuchs Asset Management S.A.. 49, boulevard Prince Henri. L-1724 Luxembourg. Grand Duchy of Luxembourg</v>
      </c>
      <c r="CM27" s="14" t="str" cm="1">
        <f t="array" ref="CM27">_xll.ASAssetInfo($A27,"Phone Number")</f>
        <v/>
      </c>
      <c r="CN27" s="14" t="str" cm="1">
        <f t="array" ref="CN27">_xll.ASAssetInfo($A27,"Email")</f>
        <v/>
      </c>
      <c r="CO27" s="14" t="str" cm="1">
        <f t="array" ref="CO27">_xll.ASAssetInfo($A27,"Asset Type")</f>
        <v>Alternatives</v>
      </c>
      <c r="CP27" s="14" t="str" cm="1">
        <f t="array" ref="CP27">_xll.ASAssetInfo($A27,"Proprietary ID")</f>
        <v>HCEA1UC LX</v>
      </c>
      <c r="CQ27" s="14" t="str" cm="1">
        <f t="array" ref="CQ27">_xll.ASAssetInfo($A27,"Country")</f>
        <v>Luxembourg</v>
      </c>
      <c r="CR27" s="14" t="str" cm="1">
        <f t="array" ref="CR27">_xll.ASAssetInfo($A27,"Currency")</f>
        <v>USD</v>
      </c>
      <c r="CS27" s="14" t="str" cm="1">
        <f t="array" ref="CS27">_xll.ASAssetInfo($A27,"Sub-Strategy")</f>
        <v>European Commodity Trade Finance</v>
      </c>
      <c r="CT27" s="31" cm="1">
        <f t="array" ref="CT27">_xll.ASAssetInfo($A27,"Fund AUM (m)")</f>
        <v>432</v>
      </c>
      <c r="CU27" s="31" t="str" cm="1">
        <f t="array" ref="CU27">_xll.ASAssetInfo($A27,"Status")</f>
        <v>Open</v>
      </c>
      <c r="CV27" s="31" t="str" cm="1">
        <f t="array" ref="CV27">_xll.ASAssetInfo($A27,"Redemption 1 Frequency")</f>
        <v>Monthly</v>
      </c>
      <c r="CW27" s="31" t="str" cm="1">
        <f t="array" ref="CW27">_xll.ASAssetInfo($A27,"Redemption 2 Frequency")</f>
        <v>Unknown</v>
      </c>
      <c r="CX27" s="31" t="str" cm="1">
        <f t="array" ref="CX27">_xll.ASAssetInfo($A27,"Redemption 3 Frequency")</f>
        <v>Unknown</v>
      </c>
      <c r="CY27" s="31" t="str" cm="1">
        <f t="array" ref="CY27">_xll.ASAssetInfo($A27,"Notice Period")</f>
        <v>90 Days</v>
      </c>
      <c r="CZ27" s="15" cm="1">
        <f t="array" ref="CZ27">_xll.ASAssetInfo($A27,"Performance Fee")</f>
        <v>0.2</v>
      </c>
      <c r="DA27" s="15" cm="1">
        <f t="array" ref="DA27">_xll.ASAssetInfo($A27,"Management Fee")</f>
        <v>1.4999999999999999E-2</v>
      </c>
      <c r="DB27" s="15" t="str" cm="1">
        <f t="array" ref="DB27">_xll.ASAssetInfo($A27,"ISIN")</f>
        <v>LU1717562943</v>
      </c>
      <c r="DC27" s="16" cm="1">
        <f t="array" ref="DC27">_xll.ASAssetStatistic($A27,"Return during " &amp;YEAR(EOMONTH('PBA Summary'!$G$2,-60)),,,,"M",DATE(YEAR(EOMONTH('PBA Summary'!$G$2,-60)),1,31),DATE(YEAR(EOMONTH('PBA Summary'!$G$2,-60)),12,31))</f>
        <v>5.6261770244821152E-2</v>
      </c>
      <c r="DD27" s="16" cm="1">
        <f t="array" ref="DD27">_xll.ASAssetStatistic($A27,"Return during " &amp;YEAR(EOMONTH('PBA Summary'!$G$2,-48)),,,,"M",DATE(YEAR(EOMONTH('PBA Summary'!$G$2,-48)),1,31),DATE(YEAR(EOMONTH('PBA Summary'!$G$2,-48)),12,31))</f>
        <v>5.8279474036104784E-2</v>
      </c>
      <c r="DE27" s="16" cm="1">
        <f t="array" ref="DE27">_xll.ASAssetStatistic($A27,"Return during " &amp;YEAR(EOMONTH('PBA Summary'!$G$2,-36)),,,,"M",DATE(YEAR(EOMONTH('PBA Summary'!$G$2,-36)),1,31),DATE(YEAR(EOMONTH('PBA Summary'!$G$2,-36)),12,31))</f>
        <v>5.8439507212804109E-2</v>
      </c>
      <c r="DF27" s="16" cm="1">
        <f t="array" ref="DF27">_xll.ASAssetStatistic($A27,"Return during " &amp;YEAR(EOMONTH('PBA Summary'!$G$2,-24)),,,,"M",DATE(YEAR(EOMONTH('PBA Summary'!$G$2,-24)),1,31),DATE(YEAR(EOMONTH('PBA Summary'!$G$2,-24)),12,31))</f>
        <v>7.3418225228810252E-2</v>
      </c>
      <c r="DG27" s="16" cm="1">
        <f t="array" ref="DG27">_xll.ASAssetStatistic($A27,"Return during " &amp;YEAR(EOMONTH('PBA Summary'!$G$2,-12)),,,,"M",DATE(YEAR(EOMONTH('PBA Summary'!$G$2,-12)),1,31),DATE(YEAR(EOMONTH('PBA Summary'!$G$2,-12)),12,31))</f>
        <v>6.4967562557924241E-2</v>
      </c>
      <c r="DH27" s="11" t="str" cm="1">
        <f t="array" ref="DH27">_xll.ASAssetInfo($A27,"Prime Broker")</f>
        <v/>
      </c>
      <c r="DI27" s="16" cm="1">
        <f t="array" ref="DI27">_xll.ASAssetStatistic($A27,"Return",,,,"m",'PBA Summary'!$F$2,'PBA Summary'!$G$2)</f>
        <v>8.2497421955563865E-2</v>
      </c>
      <c r="DJ27" s="33" cm="1">
        <f t="array" ref="DJ27">IF('PBA Summary'!$D$2="","",_xll.ASAssetStatistic($A27,"Ann. Information Ratio vs Benchmark 1",'PBA Summary'!$D$2,,,"m",'PBA Summary'!$F$2,'PBA Summary'!$G$2))</f>
        <v>-0.69634753764748336</v>
      </c>
      <c r="DK27" s="33" cm="1">
        <f t="array" ref="DK27">IF('PBA Summary'!$D$3="","",_xll.ASAssetStatistic($A27,"Ann. Information Ratio vs Benchmark 1",'PBA Summary'!$D$3,,,"m",'PBA Summary'!$F$2,'PBA Summary'!$G$2))</f>
        <v>-0.69634753764748336</v>
      </c>
      <c r="DL27" s="33" cm="1">
        <f t="array" ref="DL27">IF('PBA Summary'!$D$2="","",_xll.ASAssetStatistic($A27,"Ann. Tracking Error vs Benchmark 1",'PBA Summary'!$D$2,,,"m",'PBA Summary'!$F$2,'PBA Summary'!$G$2))</f>
        <v>0.15343153319238587</v>
      </c>
      <c r="DM27" s="33" cm="1">
        <f t="array" ref="DM27">IF('PBA Summary'!$D$3="","",_xll.ASAssetStatistic($A27,"Ann. Tracking Error vs Benchmark 1",'PBA Summary'!$D$3,,,"m",'PBA Summary'!$F$2,'PBA Summary'!$G$2))</f>
        <v>0.15343153319238587</v>
      </c>
      <c r="DN27" s="33" cm="1">
        <f t="array" ref="DN27">IF('PBA Summary'!$D$2="","",_xll.ASAssetStatistic($A27,"R² vs Benchmark 1",'PBA Summary'!$D$2,,,"m",'PBA Summary'!$F$2,'PBA Summary'!$G$2))</f>
        <v>5.3944892970189057E-3</v>
      </c>
      <c r="DO27" s="33" cm="1">
        <f t="array" ref="DO27">IF('PBA Summary'!$D$3="","",_xll.ASAssetStatistic($A27,"R² vs Benchmark 1",'PBA Summary'!$D$3,,,"m",'PBA Summary'!$F$2,'PBA Summary'!$G$2))</f>
        <v>5.3944892970189057E-3</v>
      </c>
      <c r="DP27" s="11" t="str" cm="1">
        <f t="array" ref="DP27">_xll.ASAssetInfo($A27,"On-/Offshore")</f>
        <v>Onshore</v>
      </c>
      <c r="DQ27" s="16" cm="1">
        <f t="array" ref="DQ27">_xll.ASAssetStatistic($A27,"Quarter-to-date",,,,"m",'PBA Summary'!$F$2,'PBA Summary'!$G$2)</f>
        <v>4.8733791663040371E-3</v>
      </c>
      <c r="DR27" s="16" cm="1">
        <f t="array" ref="DR27">_xll.ASAssetStatistic($A27,"Annualized Return Since inception",,,,"m",'PBA Summary'!$F$2,'PBA Summary'!$G$2)</f>
        <v>6.3400453402209012E-2</v>
      </c>
      <c r="DS27" s="16" cm="1">
        <f t="array" ref="DS27">IF('PBA Summary'!$D$2="","",_xll.ASAssetStatistic($A27,"Ann. Bear Market Return vs Benchmark 1",'PBA Summary'!$D$2,,,"m",'PBA Summary'!$F$2,'PBA Summary'!$G$2))</f>
        <v>6.3989999570386091E-2</v>
      </c>
      <c r="DT27" s="16" cm="1">
        <f t="array" ref="DT27">IF('PBA Summary'!$D$2="","",_xll.ASAssetStatistic($A27,"Ann. Bull Market Return vs Benchmark 1",'PBA Summary'!$D$2,,,"m",'PBA Summary'!$F$2,'PBA Summary'!$G$2))</f>
        <v>6.6009598000512648E-2</v>
      </c>
      <c r="DU27" s="16" cm="1">
        <f t="array" ref="DU27">IF('PBA Summary'!$D$3="","",_xll.ASAssetStatistic($A27,"Ann. Bear Market Return vs Benchmark 1",'PBA Summary'!$D$3,,,"m",'PBA Summary'!$F$2,'PBA Summary'!$G$2))</f>
        <v>6.3989999570386091E-2</v>
      </c>
      <c r="DV27" s="16" cm="1">
        <f t="array" ref="DV27">IF('PBA Summary'!$D$3="","",_xll.ASAssetStatistic($A27,"Ann. Bull Market Return vs Benchmark 1",'PBA Summary'!$D$3,,,"m",'PBA Summary'!$F$2,'PBA Summary'!$G$2))</f>
        <v>6.6009598000512648E-2</v>
      </c>
      <c r="DW27" s="17" cm="1">
        <f t="array" ref="DW27">_xll.ASAssetStatistic($A27,"Average Positive Return",,,,"m",'PBA Summary'!$F$2,'PBA Summary'!$G$2)</f>
        <v>5.2987779635830755E-3</v>
      </c>
      <c r="DX27" s="17" t="str" cm="1">
        <f t="array" ref="DX27">_xll.ASAssetStatistic($A27,"Average Negative Return",,,,"m",'PBA Summary'!$F$2,'PBA Summary'!$G$2)</f>
        <v/>
      </c>
      <c r="DY27" s="16" cm="1">
        <f t="array" ref="DY27">IF('PBA Summary'!$D$2="","",_xll.ASAssetStatistic($A27,"Outperformance vs Benchmark 1",'PBA Summary'!$D$2,,,"m",'PBA Summary'!$F$2,'PBA Summary'!$G$2))</f>
        <v>-0.13734622285315479</v>
      </c>
      <c r="DZ27" s="16" cm="1">
        <f t="array" ref="DZ27">IF('PBA Summary'!$D$3="","",_xll.ASAssetStatistic($A27,"Outperformance vs Benchmark 1",'PBA Summary'!$D$3,,,"m",'PBA Summary'!$F$2,'PBA Summary'!$G$2))</f>
        <v>-0.13734622285315479</v>
      </c>
      <c r="EA27" s="16" cm="1">
        <f t="array" ref="EA27">IF('PBA Summary'!$D$2="","",_xll.ASAssetStatistic($A27,"Annual Outperformance vs Benchmark 1",'PBA Summary'!$D$2,,,"m",'PBA Summary'!$F$2,'PBA Summary'!$G$2))</f>
        <v>-0.10684167033599601</v>
      </c>
      <c r="EB27" s="16" cm="1">
        <f t="array" ref="EB27">IF('PBA Summary'!$D$3="","",_xll.ASAssetStatistic($A27,"Annual Outperformance vs Benchmark 1",'PBA Summary'!$D$3,,,"m",'PBA Summary'!$F$2,'PBA Summary'!$G$2))</f>
        <v>-0.10684167033599601</v>
      </c>
      <c r="EC27" s="32" cm="1">
        <f t="array" ref="EC27">_xll.ASAssetStatistic($A27,"Rachev Ratio 99%",,,,"m",'PBA Summary'!$F$2,'PBA Summary'!$G$2)</f>
        <v>1.3429784400870068</v>
      </c>
      <c r="ED27" s="32" cm="1">
        <f t="array" ref="ED27">_xll.ASAssetStatistic($A27,"Rachev Ratio 97%",,,,"m",'PBA Summary'!$F$2,'PBA Summary'!$G$2)</f>
        <v>1.3429784400870068</v>
      </c>
      <c r="EE27" s="32" cm="1">
        <f t="array" ref="EE27">_xll.ASAssetStatistic($A27,"Rachev Ratio 95%",,,,"m",'PBA Summary'!$F$2,'PBA Summary'!$G$2)</f>
        <v>1.3429784400870068</v>
      </c>
      <c r="EF27" s="32" cm="1">
        <f t="array" ref="EF27">_xll.ASAssetStatistic($A27,"Rachev Ratio 90%",,,,"m",'PBA Summary'!$F$2,'PBA Summary'!$G$2)</f>
        <v>1.2673859402696768</v>
      </c>
      <c r="EG27" s="34" cm="1">
        <f t="array" ref="EG27">IF('PBA Summary'!$D$2="","",_xll.ASAssetStatistic($A27,"Annual Up Capture vs Benchmark 1",'PBA Summary'!$D$2,,,"m",'PBA Summary'!$F$2,'PBA Summary'!$G$2))</f>
        <v>0.13040018212688664</v>
      </c>
      <c r="EH27" s="34" cm="1">
        <f t="array" ref="EH27">IF('PBA Summary'!$D$3="","",_xll.ASAssetStatistic($A27,"Annual Up Capture vs Benchmark 1",'PBA Summary'!$D$3,,,"m",'PBA Summary'!$F$2,'PBA Summary'!$G$2))</f>
        <v>0.13040018212688664</v>
      </c>
      <c r="EI27" s="34" cm="1">
        <f t="array" ref="EI27">IF('PBA Summary'!$D$2="","",_xll.ASAssetStatistic($A27,"Annual Down Capture vs Benchmark 1",'PBA Summary'!$D$2,,,"m",'PBA Summary'!$F$2,'PBA Summary'!$G$2))</f>
        <v>-0.15549530640329806</v>
      </c>
      <c r="EJ27" s="34" cm="1">
        <f t="array" ref="EJ27">IF('PBA Summary'!$D$3="","",_xll.ASAssetStatistic($A27,"Annual Down Capture vs Benchmark 1",'PBA Summary'!$D$3,,,"m",'PBA Summary'!$F$2,'PBA Summary'!$G$2))</f>
        <v>-0.15549530640329806</v>
      </c>
      <c r="EK27" s="16" cm="1">
        <f t="array" ref="EK27">IF('PBA Summary'!$D$2="","",_xll.ASAssetStatistic($A27,"Ann. Tracking Error vs Benchmark 1",'PBA Summary'!$D$2,,,"m",'PBA Summary'!$F$2,'PBA Summary'!$G$2))</f>
        <v>0.15343153319238587</v>
      </c>
      <c r="EL27" s="16" cm="1">
        <f t="array" ref="EL27">IF('PBA Summary'!$D$3="","",_xll.ASAssetStatistic($A27,"Ann. Tracking Error vs Benchmark 1",'PBA Summary'!$D$3,,,"m",'PBA Summary'!$F$2,'PBA Summary'!$G$2))</f>
        <v>0.15343153319238587</v>
      </c>
      <c r="EM27" s="16" cm="1">
        <f t="array" ref="EM27">IF('PBA Summary'!$D$2="","",_xll.ASAssetStatistic($A27,"Annual Jensen Alpha vs Benchmark 1 (Rf)",'PBA Summary'!$D$2,,,"m",'PBA Summary'!$F$2,'PBA Summary'!$G$2))</f>
        <v>6.2861973104794952E-2</v>
      </c>
      <c r="EN27" s="16" cm="1">
        <f t="array" ref="EN27">IF('PBA Summary'!$D$3="","",_xll.ASAssetStatistic($A27,"Annual Jensen Alpha vs Benchmark 1 (Rf)",'PBA Summary'!$D$3,,,"m",'PBA Summary'!$F$2,'PBA Summary'!$G$2))</f>
        <v>6.2861973104794952E-2</v>
      </c>
      <c r="EO27" s="33" cm="1">
        <f t="array" ref="EO27">IF('PBA Summary'!$D$2="","",_xll.ASAssetStatistic($A27,"Ann. Information Ratio vs Benchmark 1",'PBA Summary'!$D$2,,,"m",'PBA Summary'!$F$2,'PBA Summary'!$G$2))</f>
        <v>-0.69634753764748336</v>
      </c>
      <c r="EP27" s="33" cm="1">
        <f t="array" ref="EP27">IF('PBA Summary'!$D$3="","",_xll.ASAssetStatistic($A27,"Ann. Information Ratio vs Benchmark 1",'PBA Summary'!$D$3,,,"m",'PBA Summary'!$F$2,'PBA Summary'!$G$2))</f>
        <v>-0.69634753764748336</v>
      </c>
      <c r="EQ27" s="17" cm="1">
        <f t="array" ref="EQ27">IF('PBA Summary'!$D$2="","",_xll.ASAssetStatistic($A27,"Alpha Monthly vs Benchmark 1",'PBA Summary'!$D$2,,,"m",'PBA Summary'!$F$2,'PBA Summary'!$G$2))</f>
        <v>5.2896458632275233E-3</v>
      </c>
      <c r="ER27" s="17" cm="1">
        <f t="array" ref="ER27">IF('PBA Summary'!$D$3="","",_xll.ASAssetStatistic($A27,"Alpha Monthly vs Benchmark 1",'PBA Summary'!$D$3,,,"m",'PBA Summary'!$F$2,'PBA Summary'!$G$2))</f>
        <v>5.2896458632275233E-3</v>
      </c>
      <c r="ES27" s="11" t="str" cm="1">
        <f t="array" ref="ES27">_xll.ASAssetInfo($A27,"Company AUM (m)")</f>
        <v/>
      </c>
      <c r="ET27" s="16" cm="1">
        <f t="array" ref="ET27">_xll.ASAssetStatistic($A27,"Exponential Annualized Volatility",,,,"m",'PBA Summary'!$F$2,'PBA Summary'!$G$2)</f>
        <v>1.2497460820032262E-3</v>
      </c>
      <c r="EU27" s="16" cm="1">
        <f t="array" ref="EU27">_xll.ASAssetStatistic($A27,"Exponential Annualized Volatility Last 1 year",,,,"m",'PBA Summary'!$F$2,'PBA Summary'!$G$2)</f>
        <v>1.1310190517384688E-3</v>
      </c>
      <c r="EV27" s="16" t="str" cm="1">
        <f t="array" ref="EV27">_xll.ASAssetStatistic($A27,"Exponential Annualized Volatility Last 3 years",,,,"m",'PBA Summary'!$F$2,'PBA Summary'!$G$2)</f>
        <v/>
      </c>
      <c r="EW27" s="34" cm="1">
        <f t="array" ref="EW27">IF('PBA Summary'!$D$2="","",_xll.ASAssetStatistic($A27,"Exponential Correlation to Benchmark 1",'PBA Summary'!$D$2,,,"m",'PBA Summary'!$F$2,'PBA Summary'!$G$2))</f>
        <v>0.11980084161634606</v>
      </c>
      <c r="EX27" s="34" cm="1">
        <f t="array" ref="EX27">IF('PBA Summary'!$D$3="","",_xll.ASAssetStatistic($A27,"Exponential Correlation to Benchmark 1",'PBA Summary'!$D$3,,,"m",'PBA Summary'!$F$2,'PBA Summary'!$G$2))</f>
        <v>0.11980084161634606</v>
      </c>
      <c r="EY27" s="34" cm="1">
        <f t="array" ref="EY27">_xll.ASAssetStatistic($A27,"Exponential Annual Sharpe Ratio (Rf)",,,,"m",'PBA Summary'!$F$2,'PBA Summary'!$G$2)</f>
        <v>49.966991562817896</v>
      </c>
      <c r="EZ27" s="34" cm="1">
        <f t="array" ref="EZ27">_xll.ASAssetStatistic($A27,"Exponential Normal Monthly VaR 99%",,,,"m",'PBA Summary'!$F$2,'PBA Summary'!$G$2)</f>
        <v>4.4181727176577481E-3</v>
      </c>
      <c r="FA27" s="34" cm="1">
        <f t="array" ref="FA27">_xll.ASAssetStatistic($A27,"Exponential Normal Monthly VaR 97%",,,,"m",'PBA Summary'!$F$2,'PBA Summary'!$G$2)</f>
        <v>4.5789156057075824E-3</v>
      </c>
      <c r="FB27" s="34" cm="1">
        <f t="array" ref="FB27">_xll.ASAssetStatistic($A27,"Exponential Normal Monthly VaR 95%",,,,"m",'PBA Summary'!$F$2,'PBA Summary'!$G$2)</f>
        <v>4.6640358186377717E-3</v>
      </c>
      <c r="FC27" s="34" cm="1">
        <f t="array" ref="FC27">_xll.ASAssetStatistic($A27,"Exponential Normal Monthly VaR 90%",,,,"m",'PBA Summary'!$F$2,'PBA Summary'!$G$2)</f>
        <v>4.7951045280090121E-3</v>
      </c>
      <c r="FD27" s="34" t="str" cm="1">
        <f t="array" ref="FD27">_xll.ASAssetStatistic($A27,"Exponential Normal weekly VaR 99%",,,,"m",'PBA Summary'!$F$2,'PBA Summary'!$G$2)</f>
        <v/>
      </c>
      <c r="FE27" s="34" t="str" cm="1">
        <f t="array" ref="FE27">_xll.ASAssetStatistic($A27,"Exponential Normal weekly VaR 97%",,,,"m",'PBA Summary'!$F$2,'PBA Summary'!$G$2)</f>
        <v/>
      </c>
      <c r="FF27" s="34" t="str" cm="1">
        <f t="array" ref="FF27">_xll.ASAssetStatistic($A27,"Exponential Normal weekly VaR 95%",,,,"m",'PBA Summary'!$F$2,'PBA Summary'!$G$2)</f>
        <v/>
      </c>
      <c r="FG27" s="34" t="str" cm="1">
        <f t="array" ref="FG27">_xll.ASAssetStatistic($A27,"Exponential Normal weekly VaR 90%",,,,"m",'PBA Summary'!$F$2,'PBA Summary'!$G$2)</f>
        <v/>
      </c>
      <c r="FH27" s="34" t="str" cm="1">
        <f t="array" ref="FH27">_xll.ASAssetStatistic($A27,"Exponential Normal daily VaR 99%",,,,"m",'PBA Summary'!$F$2,'PBA Summary'!$G$2)</f>
        <v/>
      </c>
      <c r="FI27" s="34" t="str" cm="1">
        <f t="array" ref="FI27">_xll.ASAssetStatistic($A27,"Exponential Normal daily VaR 97%",,,,"m",'PBA Summary'!$F$2,'PBA Summary'!$G$2)</f>
        <v/>
      </c>
      <c r="FJ27" s="34" t="str" cm="1">
        <f t="array" ref="FJ27">_xll.ASAssetStatistic($A27,"Exponential Normal daily VaR 95%",,,,"m",'PBA Summary'!$F$2,'PBA Summary'!$G$2)</f>
        <v/>
      </c>
      <c r="FK27" s="34" t="str" cm="1">
        <f t="array" ref="FK27">_xll.ASAssetStatistic($A27,"Exponential Normal daily VaR 90%",,,,"m",'PBA Summary'!$F$2,'PBA Summary'!$G$2)</f>
        <v/>
      </c>
      <c r="FL27" s="34" cm="1">
        <f t="array" ref="FL27">_xll.ASAssetStatistic($A27,"Bias Ratio",,,,"m",'PBA Summary'!$F$2,'PBA Summary'!$G$2)</f>
        <v>0</v>
      </c>
      <c r="FM27" s="11" t="str" cm="1">
        <f t="array" ref="FM27">_xll.ASAssetInfo($A27,"Manager's Biography")</f>
        <v/>
      </c>
      <c r="FN27" s="11" cm="1">
        <f t="array" ref="FN27">_xll.ASAssetInfo($A27,"Investment Min")</f>
        <v>125000</v>
      </c>
      <c r="FO27" s="11" t="str" cm="1">
        <f t="array" ref="FO27">_xll.ASAssetInfo($A27,"Auditor")</f>
        <v>Mazars/Luxembourg</v>
      </c>
      <c r="FP27" s="11" t="str" cm="1">
        <f t="array" ref="FP27">_xll.ASAssetInfo($A27,"Custodian")</f>
        <v>Banque de Patrimoines Prives SA/Luxembourg</v>
      </c>
      <c r="FQ27" s="11" t="str" cm="1">
        <f t="array" ref="FQ27">_xll.ASAssetInfo($A27,"Administrator")</f>
        <v>Circle Investment Support Services Luxembourg SA</v>
      </c>
      <c r="FR27" s="14" t="str" cm="1">
        <f t="array" ref="FR27">_xll.ASAssetInfo($A27,"Proxy 1 Start Date")</f>
        <v/>
      </c>
      <c r="FS27" s="14" t="str" cm="1">
        <f t="array" ref="FS27">_xll.ASAssetInfo($A27,"Proxy 1 End Date")</f>
        <v/>
      </c>
      <c r="FT27" s="14" t="str" cm="1">
        <f t="array" ref="FT27">_xll.ASAssetInfo($A27,"Proxy 2 Start Date")</f>
        <v/>
      </c>
      <c r="FU27" s="14" t="str" cm="1">
        <f t="array" ref="FU27">_xll.ASAssetInfo($A27,"Proxy 2 End Date")</f>
        <v/>
      </c>
      <c r="FV27" s="14" t="str" cm="1">
        <f t="array" ref="FV27">_xll.ASAssetInfo($A27,"Proxy 3 Start Date")</f>
        <v/>
      </c>
      <c r="FW27" s="14" t="str" cm="1">
        <f t="array" ref="FW27">_xll.ASAssetInfo($A27,"Proxy 3 End Date")</f>
        <v/>
      </c>
      <c r="FX27" s="14" t="str" cm="1">
        <f t="array" ref="FX27">_xll.ASAssetInfo($A27,"Fund Domicile")</f>
        <v>LU</v>
      </c>
      <c r="FY27" s="14" t="str" cm="1">
        <f t="array" ref="FY27">_xll.ASAssetInfo($A27,"Fund Contact")</f>
        <v/>
      </c>
      <c r="FZ27" s="14" t="str" cm="1">
        <f t="array" ref="FZ27">_xll.ASAssetInfo($A27,"Fund Contact Email")</f>
        <v/>
      </c>
      <c r="GA27" s="14" t="str" cm="1">
        <f t="array" ref="GA27">_xll.ASAssetInfo($A27,"Fund Contact Number")</f>
        <v/>
      </c>
      <c r="GB27" s="14" t="str" cm="1">
        <f t="array" ref="GB27">_xll.ASAssetInfo($A27,"City")</f>
        <v>Senningerberg</v>
      </c>
      <c r="GC27" s="14" t="str" cm="1">
        <f t="array" ref="GC27">_xll.ASAssetInfo($A27,"Leverage")</f>
        <v>N</v>
      </c>
      <c r="GD27" s="14" t="str" cm="1">
        <f t="array" ref="GD27">_xll.ASAssetInfo($A27,"Lockup 1 Duration")</f>
        <v>0 Months</v>
      </c>
      <c r="GE27" s="14" t="str" cm="1">
        <f t="array" ref="GE27">_xll.ASAssetInfo($A27,"Lockup 2 Duration")</f>
        <v>0 Months</v>
      </c>
      <c r="GF27" s="14" t="str" cm="1">
        <f t="array" ref="GF27">_xll.ASAssetInfo($A27,"Lockup 3 Duration")</f>
        <v>0 Months</v>
      </c>
      <c r="GG27" s="31" cm="1">
        <f t="array" ref="GG27">_xll.ASAssetInfo($A27,"Fund Level Gate")</f>
        <v>0.1</v>
      </c>
      <c r="GH27" s="31" t="str" cm="1">
        <f t="array" ref="GH27">_xll.ASAssetInfo($A27,"Fund Level Gate Frequency")</f>
        <v>Unknown</v>
      </c>
      <c r="GI27" s="35" cm="1">
        <f t="array" ref="GI27">_xll.ASAssetInfo($A27,"Payment 2 (%)")</f>
        <v>0</v>
      </c>
      <c r="GJ27" s="35" t="str" cm="1">
        <f t="array" ref="GJ27">_xll.ASAssetInfo($A27,"Payment 2 (days)")</f>
        <v/>
      </c>
      <c r="GK27" s="35" t="str" cm="1">
        <f t="array" ref="GK27">_xll.ASAssetInfo($A27,"Payment 2 (Paid After)")</f>
        <v>NAV Date</v>
      </c>
      <c r="GL27" s="35" cm="1">
        <f t="array" ref="GL27">_xll.ASAssetInfo($A27,"Payment 3 (%)")</f>
        <v>0</v>
      </c>
      <c r="GM27" s="36" t="str" cm="1">
        <f t="array" ref="GM27">_xll.ASAssetInfo($A27,"Payment 3 (Days)")</f>
        <v/>
      </c>
      <c r="GN27" s="35" t="str" cm="1">
        <f t="array" ref="GN27">_xll.ASAssetInfo($A27,"Payment 3 (Paid After)")</f>
        <v>NAV Date</v>
      </c>
      <c r="GO27" s="35" cm="1">
        <f t="array" ref="GO27">_xll.ASAssetInfo($A27,"Payment 4 (%)")</f>
        <v>0</v>
      </c>
      <c r="GP27" s="36" t="str" cm="1">
        <f t="array" ref="GP27">_xll.ASAssetInfo($A27,"Payment 4 (days)")</f>
        <v/>
      </c>
      <c r="GQ27" s="35" t="str" cm="1">
        <f t="array" ref="GQ27">_xll.ASAssetInfo($A27,"Payment 4 (Paid After)")</f>
        <v>NAV Date</v>
      </c>
      <c r="GR27" s="11" cm="1">
        <f t="array" ref="GR27">_xll.ASAssetInfo($A27,"Payment 1 (%)")</f>
        <v>1</v>
      </c>
      <c r="GS27" s="35" cm="1">
        <f t="array" ref="GS27">_xll.ASAssetInfo($A27,"Lockup 1 Fee")</f>
        <v>0</v>
      </c>
      <c r="GT27" s="35" cm="1">
        <f t="array" ref="GT27">_xll.ASAssetInfo($A27,"Lockup 2 Fee")</f>
        <v>0</v>
      </c>
      <c r="GU27" s="35" cm="1">
        <f t="array" ref="GU27">_xll.ASAssetInfo($A27,"Lockup 3 Fee")</f>
        <v>0</v>
      </c>
      <c r="GV27" s="35" t="str" cm="1">
        <f t="array" ref="GV27">_xll.ASAssetInfo($A27,"Lockup 1 type")</f>
        <v>None</v>
      </c>
      <c r="GW27" s="35" t="str" cm="1">
        <f t="array" ref="GW27">_xll.ASAssetInfo($A27,"Lockup 2 type")</f>
        <v>None</v>
      </c>
      <c r="GX27" s="35" t="str" cm="1">
        <f t="array" ref="GX27">_xll.ASAssetInfo($A27,"Lockup 3 type")</f>
        <v>None</v>
      </c>
      <c r="GY27" s="35" t="str" cm="1">
        <f t="array" ref="GY27">_xll.ASAssetInfo($A27,"Redemption 1 type")</f>
        <v>Calendar</v>
      </c>
      <c r="GZ27" s="35" t="str" cm="1">
        <f t="array" ref="GZ27">_xll.ASAssetInfo($A27,"Redemption 2 type")</f>
        <v>Calendar</v>
      </c>
      <c r="HA27" s="35" t="str" cm="1">
        <f t="array" ref="HA27">_xll.ASAssetInfo($A27,"Redemption 3 type")</f>
        <v>Calendar</v>
      </c>
      <c r="HB27" s="35" t="str" cm="1">
        <f t="array" ref="HB27">_xll.ASAssetInfo($A27,"Redemption 1 Fee")</f>
        <v/>
      </c>
      <c r="HC27" s="35" t="str" cm="1">
        <f t="array" ref="HC27">_xll.ASAssetInfo($A27,"Redemption 2 Fee")</f>
        <v/>
      </c>
      <c r="HD27" s="35" t="str" cm="1">
        <f t="array" ref="HD27">_xll.ASAssetInfo($A27,"Redemption 3 Fee")</f>
        <v/>
      </c>
      <c r="HE27" s="35" t="str" cm="1">
        <f t="array" ref="HE27">_xll.ASAssetInfo($A27,"Redemption 1 Frequency")</f>
        <v>Monthly</v>
      </c>
      <c r="HF27" s="35" t="str" cm="1">
        <f t="array" ref="HF27">_xll.ASAssetInfo($A27,"Redemption 2 Frequency")</f>
        <v>Unknown</v>
      </c>
      <c r="HG27" s="35" t="str" cm="1">
        <f t="array" ref="HG27">_xll.ASAssetInfo($A27,"Redemption 3 Frequency")</f>
        <v>Unknown</v>
      </c>
      <c r="HH27" s="35" t="str" cm="1">
        <f t="array" ref="HH27">_xll.ASAssetInfo($A27,"Asset Calendar")</f>
        <v>[Default]</v>
      </c>
      <c r="HI27" s="16" cm="1">
        <f t="array" ref="HI27">_xll.ASAssetStatistic($A27,"Max Second Drawdown",,,,"m",'PBA Summary'!$F$2,'PBA Summary'!$G$2)</f>
        <v>0</v>
      </c>
      <c r="HJ27" s="37" t="str" cm="1">
        <f t="array" ref="HJ27">_xll.ASAssetStatistic($A27,"Date Max Second Drawdown",,,,"m",'PBA Summary'!$F$2,'PBA Summary'!$G$2)</f>
        <v/>
      </c>
      <c r="HK27" s="37"/>
      <c r="HL27" s="37" t="str" cm="1">
        <f t="array" ref="HL27">_xll.ASAssetInfo($A27,HL$1)</f>
        <v/>
      </c>
      <c r="HM27" s="34" t="str" cm="1">
        <f t="array" ref="HM27">_xll.ASAssetInfo($A27,HM$1)</f>
        <v/>
      </c>
      <c r="HN27" s="37" t="str" cm="1">
        <f t="array" ref="HN27">_xll.ASAssetInfo($A27,HN$1)</f>
        <v/>
      </c>
      <c r="HO27" s="15" t="str" cm="1">
        <f t="array" ref="HO27">_xll.ASAssetInfo($A27,HO$1)</f>
        <v/>
      </c>
      <c r="HP27" s="15" t="str" cm="1">
        <f t="array" ref="HP27">_xll.ASAssetInfo($A27,HP$1)</f>
        <v/>
      </c>
      <c r="HQ27" s="34" t="str" cm="1">
        <f t="array" ref="HQ27">_xll.ASAssetInfo($A27,HQ$1)</f>
        <v/>
      </c>
      <c r="HR27" s="37" t="str" cm="1">
        <f t="array" ref="HR27">_xll.ASAssetInfo($A27,HR$1)</f>
        <v/>
      </c>
      <c r="HS27" s="37" t="str" cm="1">
        <f t="array" ref="HS27">_xll.ASAssetInfo($A27,HS$1)</f>
        <v/>
      </c>
      <c r="HT27" s="37" t="str" cm="1">
        <f t="array" ref="HT27">_xll.ASAssetInfo($A27,HT$1)</f>
        <v/>
      </c>
      <c r="HU27" s="37" t="str" cm="1">
        <f t="array" ref="HU27">_xll.ASAssetInfo($A27,HU$1)</f>
        <v>E.U. &amp; U.K.</v>
      </c>
      <c r="HV27" s="37" t="str" cm="1">
        <f t="array" ref="HV27">_xll.ASAssetInfo($A27,HV$1)</f>
        <v>Financial</v>
      </c>
      <c r="HW27" s="37" t="str" cm="1">
        <f t="array" ref="HW27">_xll.ASAssetInfo($A27,HW$1)</f>
        <v/>
      </c>
    </row>
    <row r="28" spans="1:231" s="11" customFormat="1" x14ac:dyDescent="0.25">
      <c r="A28" t="s">
        <v>325</v>
      </c>
      <c r="B28" cm="1">
        <f t="array" ref="B28">_xll.ASPortfolioWeights('PBA Summary'!$C$2,"OR",$A28)</f>
        <v>0.10000022274655598</v>
      </c>
      <c r="C28" cm="1">
        <f t="array" ref="C28">_xll.ASAssetStatistic($A28,"Annualized Return since inception",,,,"m",_xll.ASAssetInfo($A28,"Start Date"),_xll.ASAssetInfo($A28,"Last Return Date"))</f>
        <v>5.1916517754753366E-2</v>
      </c>
      <c r="D28" cm="1">
        <f t="array" ref="D28">_xll.ASAssetStatistic($A28,"Annualized Return",,,,"m",'PBA Summary'!$F$2,'PBA Summary'!$G$2)</f>
        <v>-0.13744737362204884</v>
      </c>
      <c r="E28" s="19" cm="1">
        <f t="array" ref="E28">_xll.ASAssetStatistic($A28,"Equilibrium Annual Return",,,,"m",'PBA Summary'!$F$2,'PBA Summary'!$G$2)</f>
        <v>0.43945665739066819</v>
      </c>
      <c r="F28" cm="1">
        <f t="array" ref="F28">_xll.ASAssetStatistic($A28,"Annualized Volatility (Inception)",,,,"m",_xll.ASAssetInfo($A28,"Start Date"),_xll.ASAssetInfo($A28,"Last Return Date"))</f>
        <v>0.20159438695535081</v>
      </c>
      <c r="G28" cm="1">
        <f t="array" ref="G28">_xll.ASAssetStatistic($A28,"Annualized Volatility",,,,"m",'PBA Summary'!$F$2,'PBA Summary'!$G$2)</f>
        <v>0.31385342531257399</v>
      </c>
      <c r="H28" s="20" cm="1">
        <f t="array" ref="H28">_xll.ASAssetStatistic($A28,"Skewness",,,,"m",'PBA Summary'!$F$2,'PBA Summary'!$G$2)</f>
        <v>-0.58949251319789953</v>
      </c>
      <c r="I28" s="20" cm="1">
        <f t="array" ref="I28">_xll.ASAssetStatistic($A28,"Excess kurtosis",,,,"m",'PBA Summary'!$F$2,'PBA Summary'!$G$2)</f>
        <v>5.4838110549424682E-2</v>
      </c>
      <c r="J28" s="19" cm="1">
        <f t="array" ref="J28">_xll.ASAssetStatistic($A28,"Return Last 1 month",,,,"m",'PBA Summary'!$F$2,'PBA Summary'!$G$2)</f>
        <v>4.3764718334083241E-2</v>
      </c>
      <c r="K28" s="19" cm="1">
        <f t="array" ref="K28">_xll.ASAssetStatistic($A28,"Return Last 3 months",,,,"m",'PBA Summary'!$F$2,'PBA Summary'!$G$2)</f>
        <v>0.20126073451489201</v>
      </c>
      <c r="L28" s="19" cm="1">
        <f t="array" ref="L28">_xll.ASAssetStatistic($A28,"Return Last 1 year",,,,"m",'PBA Summary'!$F$2,'PBA Summary'!$G$2)</f>
        <v>-0.14928076947960922</v>
      </c>
      <c r="M28" s="19" cm="1">
        <f t="array" ref="M28">_xll.ASAssetStatistic($A28,"Year-to-date Return",,,,"m",'PBA Summary'!$F$2,'PBA Summary'!$G$2)</f>
        <v>4.3764718334083241E-2</v>
      </c>
      <c r="N28" s="19" cm="1">
        <f t="array" ref="N28">_xll.ASAssetStatistic($A28,"Annualized Return",,,,"m",EOMONTH('PBA Summary'!$G$2,-2),'PBA Summary'!$G$2)</f>
        <v>1.0823279394491738</v>
      </c>
      <c r="O28" s="19" t="str" cm="1">
        <f t="array" ref="O28">_xll.ASAssetStatistic($A28,"Annualized Return Last 3 years",,,,"m",'PBA Summary'!$F$2,'PBA Summary'!$G$2)</f>
        <v/>
      </c>
      <c r="P28" s="19" t="str" cm="1">
        <f t="array" ref="P28">_xll.ASAssetStatistic($A28,"Annualized Return Last 5 years",,,,"m",'PBA Summary'!$F$2,'PBA Summary'!$G$2)</f>
        <v/>
      </c>
      <c r="Q28" s="19" cm="1">
        <f t="array" ref="Q28">_xll.ASAssetStatistic($A28,"Annualized Volatility Last 1 year",,,,"m",'PBA Summary'!$F$2,'PBA Summary'!$G$2)</f>
        <v>0.3407247809577737</v>
      </c>
      <c r="R28" s="19" t="str" cm="1">
        <f t="array" ref="R28">_xll.ASAssetStatistic($A28,"Annualized Volatility Last 3 years",,,,"m",'PBA Summary'!$F$2,'PBA Summary'!$G$2)</f>
        <v/>
      </c>
      <c r="S28" s="19" t="str" cm="1">
        <f t="array" ref="S28">_xll.ASAssetStatistic($A28,"Annualized Volatility Last 5 years",,,,"m",'PBA Summary'!$F$2,'PBA Summary'!$G$2)</f>
        <v/>
      </c>
      <c r="T28" s="19" cm="1">
        <f t="array" ref="T28">_xll.ASAssetStatistic($A28,"Normal monthly VaR 99%",,,,"m",'PBA Summary'!$F$2,'PBA Summary'!$G$2)</f>
        <v>-0.21899824721480435</v>
      </c>
      <c r="U28" s="19" cm="1">
        <f t="array" ref="U28">_xll.ASAssetStatistic($A28,"Modified monthly VaR 99%",,,,"m",'PBA Summary'!$F$2,'PBA Summary'!$G$2)</f>
        <v>-0.24758359342477695</v>
      </c>
      <c r="V28" s="19" cm="1">
        <f t="array" ref="V28">_xll.ASAssetStatistic($A28,"Conditional monthly VaR 99%",,,,"m",'PBA Summary'!$F$2,'PBA Summary'!$G$2)</f>
        <v>-0.20194068905364204</v>
      </c>
      <c r="W28" s="19" cm="1">
        <f t="array" ref="W28">_xll.ASAssetStatistic($A28,"Normal monthly VaR 97%",,,,"m",'PBA Summary'!$F$2,'PBA Summary'!$G$2)</f>
        <v>-0.17863028228531241</v>
      </c>
      <c r="X28" s="19" cm="1">
        <f t="array" ref="X28">_xll.ASAssetStatistic($A28,"Modified monthly VaR 97%",,,,"m",'PBA Summary'!$F$2,'PBA Summary'!$G$2)</f>
        <v>-0.1980133262852449</v>
      </c>
      <c r="Y28" s="19" cm="1">
        <f t="array" ref="Y28">_xll.ASAssetStatistic($A28,"Conditional monthly VaR 97%",,,,"m",'PBA Summary'!$F$2,'PBA Summary'!$G$2)</f>
        <v>-0.20194068905364204</v>
      </c>
      <c r="Z28" s="19" cm="1">
        <f t="array" ref="Z28">_xll.ASAssetStatistic($A28,"Normal monthly VaR 95%",,,,"m",'PBA Summary'!$F$2,'PBA Summary'!$G$2)</f>
        <v>-0.15725372365777629</v>
      </c>
      <c r="AA28" s="19" cm="1">
        <f t="array" ref="AA28">_xll.ASAssetStatistic($A28,"Modified monthly VaR 95%",,,,"m",'PBA Summary'!$F$2,'PBA Summary'!$G$2)</f>
        <v>-0.17174399654014003</v>
      </c>
      <c r="AB28" s="19" cm="1">
        <f t="array" ref="AB28">_xll.ASAssetStatistic($A28,"Conditional monthly VaR 95%",,,,"m",'PBA Summary'!$F$2,'PBA Summary'!$G$2)</f>
        <v>-0.20194068905364204</v>
      </c>
      <c r="AC28" s="66" cm="1">
        <f t="array" ref="AC28">_xll.ASAssetStatistic($A28,"Correlation to Benchmark 1","MSCI ACWI Index",,,"m",'PBA Summary'!$F$2,'PBA Summary'!$G$2)</f>
        <v>0.26324814841224897</v>
      </c>
      <c r="AD28" s="38" cm="1">
        <f t="array" ref="AD28">IF('PBA Summary'!$D$3="","",_xll.ASAssetStatistic($A28,"Correlation to Benchmark 1",'PBA Summary'!$D$3,,,"m",'PBA Summary'!$F$2,'PBA Summary'!$G$2))</f>
        <v>0.31055456724794339</v>
      </c>
      <c r="AE28" s="21" cm="1">
        <f t="array" ref="AE28">IF('PBA Summary'!$D$2="","",_xll.ASAssetStatistic($A28,"Bull correlation to Benchmark 1",'PBA Summary'!$D$2,,,"m",'PBA Summary'!$F$2,'PBA Summary'!$G$2))</f>
        <v>7.9139484952995942E-2</v>
      </c>
      <c r="AF28" s="21" cm="1">
        <f t="array" ref="AF28">IF('PBA Summary'!$D$2="","",_xll.ASAssetStatistic($A28,"Bear correlation to Benchmark 1",'PBA Summary'!$D$2,,,"m",'PBA Summary'!$F$2,'PBA Summary'!$G$2))</f>
        <v>0.53022355795241494</v>
      </c>
      <c r="AG28" s="21" cm="1">
        <f t="array" ref="AG28">IF('PBA Summary'!$D$3="","",_xll.ASAssetStatistic($A28,"Bull correlation to Benchmark 1",'PBA Summary'!$D$3,,,"m",'PBA Summary'!$F$2,'PBA Summary'!$G$2))</f>
        <v>7.9139484952995942E-2</v>
      </c>
      <c r="AH28" s="21" cm="1">
        <f t="array" ref="AH28">IF('PBA Summary'!$D$3="","",_xll.ASAssetStatistic($A28,"Bear correlation to Benchmark 1",'PBA Summary'!$D$3,,,"m",'PBA Summary'!$F$2,'PBA Summary'!$G$2))</f>
        <v>0.53022355795241494</v>
      </c>
      <c r="AI28" s="24" cm="1">
        <f t="array" ref="AI28">IF('PBA Summary'!$D$2="","",_xll.ASAssetStatistic($A28,"Beta to Benchmark 1",'PBA Summary'!$D$2,,,"m",'PBA Summary'!$F$2,'PBA Summary'!$G$2))</f>
        <v>0.63487543866112073</v>
      </c>
      <c r="AJ28" s="24" t="str" cm="1">
        <f t="array" ref="AJ28">IF('PBA Summary'!$D$2="","",_xll.ASAssetStatistic($A28,"Beta to Benchmark 1 Last 3 years",'PBA Summary'!$D$2,,,"m",'PBA Summary'!$F$2,'PBA Summary'!$G$2))</f>
        <v/>
      </c>
      <c r="AK28" s="24" t="str" cm="1">
        <f t="array" ref="AK28">IF('PBA Summary'!$D$2="","",_xll.ASAssetStatistic($A28,"Beta to Benchmark 1 Last 5 years",'PBA Summary'!$D$2,,,"m",'PBA Summary'!$F$2,'PBA Summary'!$G$2))</f>
        <v/>
      </c>
      <c r="AL28" s="25" cm="1">
        <f t="array" ref="AL28">IF('PBA Summary'!$D$3="","",_xll.ASAssetStatistic($A28,"Beta to Benchmark 1",'PBA Summary'!$D$3,,,"m",'PBA Summary'!$F$2,'PBA Summary'!$G$2))</f>
        <v>0.63487543866112073</v>
      </c>
      <c r="AM28" s="25" t="str" cm="1">
        <f t="array" ref="AM28">IF('PBA Summary'!$D$3="","",_xll.ASAssetStatistic($A28,"Beta to Benchmark 1 Last 3 years",'PBA Summary'!$D$3,,,"m",'PBA Summary'!$F$2,'PBA Summary'!$G$2))</f>
        <v/>
      </c>
      <c r="AN28" s="25" t="str" cm="1">
        <f t="array" ref="AN28">IF('PBA Summary'!$D$3="","",_xll.ASAssetStatistic($A28,"Beta to Benchmark 1 Last 5 years",'PBA Summary'!$D$3,,,"m",'PBA Summary'!$F$2,'PBA Summary'!$G$2))</f>
        <v/>
      </c>
      <c r="AO28" s="25" cm="1">
        <f t="array" ref="AO28">IF('PBA Summary'!$D$2="","",_xll.ASAssetStatistic($A28,"Bull Beta to Benchmark 1",'PBA Summary'!$D$2,,,"m",'PBA Summary'!$F$2,'PBA Summary'!$G$2))</f>
        <v>0.31056735792479678</v>
      </c>
      <c r="AP28" s="25" cm="1">
        <f t="array" ref="AP28">IF('PBA Summary'!$D$2="","",_xll.ASAssetStatistic($A28,"Bear Beta to Benchmark 1",'PBA Summary'!$D$2,,,"m",'PBA Summary'!$F$2,'PBA Summary'!$G$2))</f>
        <v>1.4448961738025512</v>
      </c>
      <c r="AQ28" s="25" cm="1">
        <f t="array" ref="AQ28">IF('PBA Summary'!$D$3="","",_xll.ASAssetStatistic($A28,"Bull Beta to Benchmark 1",'PBA Summary'!$D$3,,,"m",'PBA Summary'!$F$2,'PBA Summary'!$G$2))</f>
        <v>0.31056735792479678</v>
      </c>
      <c r="AR28" s="25" cm="1">
        <f t="array" ref="AR28">IF('PBA Summary'!$D$3="","",_xll.ASAssetStatistic($A28,"Bear Beta to Benchmark 1",'PBA Summary'!$D$3,,,"m",'PBA Summary'!$F$2,'PBA Summary'!$G$2))</f>
        <v>1.4448961738025512</v>
      </c>
      <c r="AS28" s="25" cm="1">
        <f t="array" ref="AS28">_xll.ASAssetStatistic($A28,"Annual Sharpe Ratio (Rf)",,,'PBA Summary'!$H$2,"m",'PBA Summary'!$F$2,'PBA Summary'!$G$2)</f>
        <v>-0.44590041826904381</v>
      </c>
      <c r="AT28" s="25" t="str" cm="1">
        <f t="array" ref="AT28">_xll.ASAssetStatistic($A28,"Annual Sharpe Ratio (Rf) Last 3 years",,,'PBA Summary'!$H$2,"m",'PBA Summary'!$F$2,'PBA Summary'!$G$2)</f>
        <v/>
      </c>
      <c r="AU28" s="25" t="str" cm="1">
        <f t="array" ref="AU28">_xll.ASAssetStatistic($A28,"Annual Sharpe Ratio (Rf) Last 5 years",,,'PBA Summary'!$H$2,"m",'PBA Summary'!$F$2,'PBA Summary'!$G$2)</f>
        <v/>
      </c>
      <c r="AV28" s="18" cm="1">
        <f t="array" ref="AV28">_xll.ASAssetStatistic($A28,"Ann. Downside Deviation (vs 0%)",,,'PBA Summary'!$H$2,"m",'PBA Summary'!$F$2,'PBA Summary'!$G$2)</f>
        <v>0.24805120915024931</v>
      </c>
      <c r="AW28" s="18" cm="1">
        <f t="array" ref="AW28">_xll.ASAssetStatistic($A28,"Ann. Downside Deviation (vs Rf)",,,'PBA Summary'!$H$2,"m",'PBA Summary'!$F$2,'PBA Summary'!$G$2)</f>
        <v>0.24845689928649586</v>
      </c>
      <c r="AX28" s="39" cm="1">
        <f t="array" ref="AX28">_xll.ASAssetStatistic($A28,"Annual Treynor ratio",,,'PBA Summary'!$H$2,"m",'PBA Summary'!$F$2,'PBA Summary'!$G$2)</f>
        <v>-7.0923975592316404E-2</v>
      </c>
      <c r="AY28" s="26" cm="1">
        <f t="array" ref="AY28">_xll.ASAssetStatistic($A28,"Annual Sortino Ratio (vs 0%)",,,'PBA Summary'!$H$2,"m",'PBA Summary'!$F$2,'PBA Summary'!$G$2)</f>
        <v>-0.55410886362095646</v>
      </c>
      <c r="AZ28" s="26" cm="1">
        <f t="array" ref="AZ28">_xll.ASAssetStatistic($A28,"Annual Sortino Ratio (vs Rf)",,,'PBA Summary'!$H$2,"m",'PBA Summary'!$F$2,'PBA Summary'!$G$2)</f>
        <v>-0.56326620039106023</v>
      </c>
      <c r="BA28" s="26" cm="1">
        <f t="array" ref="BA28">_xll.ASAssetStatistic($A28,"Sterling ratio",,,'PBA Summary'!$H$2,"m",'PBA Summary'!$F$2,'PBA Summary'!$G$2)</f>
        <v>-0.31569211846893186</v>
      </c>
      <c r="BB28" s="26" cm="1">
        <f t="array" ref="BB28">_xll.ASAssetStatistic($A28,"Calmar ratio",,,'PBA Summary'!$H$2,"m",'PBA Summary'!$F$2,'PBA Summary'!$G$2)</f>
        <v>-0.40982060728331532</v>
      </c>
      <c r="BC28" s="26" cm="1">
        <f t="array" ref="BC28">_xll.ASAssetStatistic($A28,"Hurst index",,,'PBA Summary'!$H$2,"m",'PBA Summary'!$F$2,'PBA Summary'!$G$2)</f>
        <v>0.44408726512978147</v>
      </c>
      <c r="BD28" s="26" cm="1">
        <f t="array" ref="BD28">_xll.ASAssetStatistic($A28,"Omega (Threshold 1)",,,'PBA Summary'!$H$2,"m",'PBA Summary'!$F$2,'PBA Summary'!$G$2)</f>
        <v>0.79576579891204624</v>
      </c>
      <c r="BE28" s="26" cm="1">
        <f t="array" ref="BE28">_xll.ASAssetStatistic($A28,"Omega (Threshold 2)",,,'PBA Summary'!$H$2,"m",'PBA Summary'!$F$2,'PBA Summary'!$G$2)</f>
        <v>0.68962281990614149</v>
      </c>
      <c r="BF28" s="26" cm="1">
        <f t="array" ref="BF28">_xll.ASAssetStatistic($A28,"Omega (Threshold 3)",,,'PBA Summary'!$H$2,"m",'PBA Summary'!$F$2,'PBA Summary'!$G$2)</f>
        <v>0.59449951985495775</v>
      </c>
      <c r="BG28" s="26" cm="1">
        <f t="array" ref="BG28">_xll.ASAssetStatistic($A28,"Omega (Threshold 4)",,,'PBA Summary'!$H$2,"m",'PBA Summary'!$F$2,'PBA Summary'!$G$2)</f>
        <v>0.50876450253516547</v>
      </c>
      <c r="BH28" s="26" cm="1">
        <f t="array" ref="BH28">_xll.ASAssetStatistic($A28,"Omega (Threshold 5)",,,'PBA Summary'!$H$2,"m",'PBA Summary'!$F$2,'PBA Summary'!$G$2)</f>
        <v>0.43164299741320605</v>
      </c>
      <c r="BI28" s="26" t="str" cm="1">
        <f t="array" ref="BI28">_xll.ASAssetStatistic($A28,"Autocorrelated (illiquid)",,,'PBA Summary'!$H$2,"m",'PBA Summary'!$F$2,'PBA Summary'!$G$2)</f>
        <v>No</v>
      </c>
      <c r="BJ28" s="27" cm="1">
        <f t="array" ref="BJ28">_xll.ASAssetStatistic($A28,"% months in Run Up",,,'PBA Summary'!$H$2,"m",'PBA Summary'!$F$2,'PBA Summary'!$G$2)</f>
        <v>0.4</v>
      </c>
      <c r="BK28" s="27" cm="1">
        <f t="array" ref="BK28">_xll.ASAssetStatistic($A28,"% months in Drawdown",,,'PBA Summary'!$H$2,"m",'PBA Summary'!$F$2,'PBA Summary'!$G$2)</f>
        <v>0.6</v>
      </c>
      <c r="BL28" s="18" cm="1">
        <f t="array" ref="BL28">IF('PBA Summary'!$D$2="","",_xll.ASAssetStatistic($A28,"Bull Beta to Benchmark 1",'PBA Summary'!$D$2,,,"m",'PBA Summary'!$F$2,'PBA Summary'!$G$2))</f>
        <v>0.31056735792479678</v>
      </c>
      <c r="BM28" s="18" cm="1">
        <f t="array" ref="BM28">IF('PBA Summary'!$D$2="","",_xll.ASAssetStatistic($A28,"Average return during bear Benchmark 1",'PBA Summary'!$D$2,,,"m",'PBA Summary'!$F$2,'PBA Summary'!$G$2))</f>
        <v>-3.557438794452239E-2</v>
      </c>
      <c r="BN28" s="18" cm="1">
        <f t="array" ref="BN28">IF('PBA Summary'!$D$3="","",_xll.ASAssetStatistic($A28,"Average return during bull Benchmark 1",'PBA Summary'!$D$3,,,"m",'PBA Summary'!$F$2,'PBA Summary'!$G$2))</f>
        <v>1.7172019268799632E-3</v>
      </c>
      <c r="BO28" s="18" cm="1">
        <f t="array" ref="BO28">IF('PBA Summary'!$D$3="","",_xll.ASAssetStatistic($A28,"Average return during bear Benchmark 1",'PBA Summary'!$D$3,,,"m",'PBA Summary'!$F$2,'PBA Summary'!$G$2))</f>
        <v>-3.557438794452239E-2</v>
      </c>
      <c r="BP28" s="27" cm="1">
        <f t="array" ref="BP28">_xll.ASAssetStatistic($A28,"Maximum consecutive gain",,,'PBA Summary'!$H$2,"m",'PBA Summary'!$F$2,'PBA Summary'!$G$2)</f>
        <v>0.20126073451489201</v>
      </c>
      <c r="BQ28" s="27" cm="1">
        <f t="array" ref="BQ28">_xll.ASAssetStatistic($A28,"Maximum consecutive loss",,,'PBA Summary'!$H$2,"m",'PBA Summary'!$F$2,'PBA Summary'!$G$2)</f>
        <v>-0.285656459349511</v>
      </c>
      <c r="BR28" s="27" cm="1">
        <f t="array" ref="BR28">_xll.ASAssetStatistic($A28,"Max monthly gain",,,'PBA Summary'!$H$2,"m",'PBA Summary'!$F$2,'PBA Summary'!$G$2)</f>
        <v>0.13440997308400604</v>
      </c>
      <c r="BS28" s="27" cm="1">
        <f t="array" ref="BS28">_xll.ASAssetStatistic($A28,"Max monthly loss",,,'PBA Summary'!$H$2,"m",'PBA Summary'!$F$2,'PBA Summary'!$G$2)</f>
        <v>-0.20194068905364204</v>
      </c>
      <c r="BT28" s="27" cm="1">
        <f t="array" ref="BT28">_xll.ASAssetStatistic($A28,"Max drawdown",,,'PBA Summary'!$H$2,"m",'PBA Summary'!$F$2,'PBA Summary'!$G$2)</f>
        <v>-0.33538424173733494</v>
      </c>
      <c r="BU28" s="28" cm="1">
        <f t="array" ref="BU28">_xll.ASAssetStatistic($A28,"Date Max drawdown",,,'PBA Summary'!$H$2,"m",'PBA Summary'!$F$2,'PBA Summary'!$G$2)</f>
        <v>43769</v>
      </c>
      <c r="BV28" s="28" cm="1">
        <f t="array" ref="BV28">_xll.ASAssetStatistic($A28,"Start Date Max Drawdown",,,'PBA Summary'!$H$2,"m",'PBA Summary'!$F$2,'PBA Summary'!$G$2)</f>
        <v>43585</v>
      </c>
      <c r="BW28" s="28" t="str" cm="1">
        <f t="array" ref="BW28">_xll.ASAssetStatistic($A28,"End Date Max Drawdown",,,'PBA Summary'!$H$2,"m",'PBA Summary'!$F$2,'PBA Summary'!$G$2)</f>
        <v/>
      </c>
      <c r="BX28" s="29" cm="1">
        <f t="array" ref="BX28">_xll.ASAssetStatistic($A28,"Max Time-under-water (months)",,,'PBA Summary'!$H$2,"m",'PBA Summary'!$F$2,'PBA Summary'!$G$2)</f>
        <v>10</v>
      </c>
      <c r="BY28" s="27" cm="1">
        <f t="array" ref="BY28">_xll.ASAssetStatistic($A28,"Max possible drawdown 99%",,,'PBA Summary'!$H$2,"m",'PBA Summary'!$F$2,'PBA Summary'!$G$2)</f>
        <v>-1</v>
      </c>
      <c r="BZ28" s="27" cm="1">
        <f t="array" ref="BZ28">_xll.ASAssetStatistic($A28,"Max possible drawdown 99.9%",,,'PBA Summary'!$H$2,"m",'PBA Summary'!$F$2,'PBA Summary'!$G$2)</f>
        <v>-1</v>
      </c>
      <c r="CA28" s="30" t="str" cm="1">
        <f t="array" ref="CA28">_xll.ASAssetStatistic($A28,"Max Possible Time-under-water 99% (months)",,,'PBA Summary'!$H$2,"m",'PBA Summary'!$F$2,'PBA Summary'!$G$2)</f>
        <v/>
      </c>
      <c r="CB28" s="30" t="str" cm="1">
        <f t="array" ref="CB28">_xll.ASAssetStatistic($A28,"Max Possible Time-under-water 99.9% (months)",,,'PBA Summary'!$H$2,"m",'PBA Summary'!$F$2,'PBA Summary'!$G$2)</f>
        <v/>
      </c>
      <c r="CC28" s="17" t="str" cm="1">
        <f t="array" ref="CC28">_xll.ASPortfolioReturnAttribution('PBA Summary'!$C$2,"OR",A28,"Last 1m",'PBA Summary'!$F$2,'PBA Summary'!$G$2)</f>
        <v/>
      </c>
      <c r="CD28" s="11" t="str" cm="1">
        <f t="array" ref="CD28">_xll.ASAssetInfo($A28,"Strategy")</f>
        <v>Direct Holdings - Stocks</v>
      </c>
      <c r="CE28" s="14" cm="1">
        <f t="array" ref="CE28">_xll.ASAssetInfo($A28,"Start Date")</f>
        <v>38356</v>
      </c>
      <c r="CF28" s="14" t="str" cm="1">
        <f t="array" ref="CF28">_xll.ASAssetRatings($A28,"Quantitative",0,0,0,0,0,'PBA Summary'!$F$2,'PBA Summary'!$G$2)</f>
        <v/>
      </c>
      <c r="CG28" s="14" t="str" cm="1">
        <f t="array" ref="CG28">_xll.ASAssetRatings($A28,"Qualitative",0,0,0,0,0,'PBA Summary'!$F$2,'PBA Summary'!$G$2)</f>
        <v/>
      </c>
      <c r="CH28" s="14" t="str" cm="1">
        <f t="array" ref="CH28">_xll.ASAssetRatings($A28,"Final",0,0,0,0,0,'PBA Summary'!$F$2,'PBA Summary'!$G$2)</f>
        <v/>
      </c>
      <c r="CI28" s="14" cm="1">
        <f t="array" ref="CI28">_xll.ASAssetInfo($A28,"Last Return Date")</f>
        <v>44125</v>
      </c>
      <c r="CJ28" s="14" t="str" cm="1">
        <f t="array" ref="CJ28">_xll.ASAssetInfo($A28,"Company Name")</f>
        <v/>
      </c>
      <c r="CK28" s="14" t="str" cm="1">
        <f t="array" ref="CK28">_xll.ASAssetInfo($A28,"Manager Name")</f>
        <v/>
      </c>
      <c r="CL28" s="14" t="str" cm="1">
        <f t="array" ref="CL28">_xll.ASAssetInfo($A28,"Address")</f>
        <v/>
      </c>
      <c r="CM28" s="14" t="str" cm="1">
        <f t="array" ref="CM28">_xll.ASAssetInfo($A28,"Phone Number")</f>
        <v/>
      </c>
      <c r="CN28" s="14" t="str" cm="1">
        <f t="array" ref="CN28">_xll.ASAssetInfo($A28,"Email")</f>
        <v/>
      </c>
      <c r="CO28" s="14" t="str" cm="1">
        <f t="array" ref="CO28">_xll.ASAssetInfo($A28,"Asset Type")</f>
        <v>Equities</v>
      </c>
      <c r="CP28" s="14" t="str" cm="1">
        <f t="array" ref="CP28">_xll.ASAssetInfo($A28,"Proprietary ID")</f>
        <v/>
      </c>
      <c r="CQ28" s="14" t="str" cm="1">
        <f t="array" ref="CQ28">_xll.ASAssetInfo($A28,"Country")</f>
        <v>[Not Classified]</v>
      </c>
      <c r="CR28" s="14" t="str" cm="1">
        <f t="array" ref="CR28">_xll.ASAssetInfo($A28,"Currency")</f>
        <v>GBP</v>
      </c>
      <c r="CS28" s="14" t="str" cm="1">
        <f t="array" ref="CS28">_xll.ASAssetInfo($A28,"Sub-Strategy")</f>
        <v/>
      </c>
      <c r="CT28" s="31" t="str" cm="1">
        <f t="array" ref="CT28">_xll.ASAssetInfo($A28,"Fund AUM (m)")</f>
        <v/>
      </c>
      <c r="CU28" s="31" t="str" cm="1">
        <f t="array" ref="CU28">_xll.ASAssetInfo($A28,"Status")</f>
        <v>Unknown</v>
      </c>
      <c r="CV28" s="31" t="str" cm="1">
        <f t="array" ref="CV28">_xll.ASAssetInfo($A28,"Redemption 1 Frequency")</f>
        <v>Unknown</v>
      </c>
      <c r="CW28" s="31" t="str" cm="1">
        <f t="array" ref="CW28">_xll.ASAssetInfo($A28,"Redemption 2 Frequency")</f>
        <v>Unknown</v>
      </c>
      <c r="CX28" s="31" t="str" cm="1">
        <f t="array" ref="CX28">_xll.ASAssetInfo($A28,"Redemption 3 Frequency")</f>
        <v>Unknown</v>
      </c>
      <c r="CY28" s="31" t="str" cm="1">
        <f t="array" ref="CY28">_xll.ASAssetInfo($A28,"Notice Period")</f>
        <v/>
      </c>
      <c r="CZ28" s="15" t="str" cm="1">
        <f t="array" ref="CZ28">_xll.ASAssetInfo($A28,"Performance Fee")</f>
        <v/>
      </c>
      <c r="DA28" s="15" t="str" cm="1">
        <f t="array" ref="DA28">_xll.ASAssetInfo($A28,"Management Fee")</f>
        <v/>
      </c>
      <c r="DB28" s="15" t="str" cm="1">
        <f t="array" ref="DB28">_xll.ASAssetInfo($A28,"ISIN")</f>
        <v>GB0004544929</v>
      </c>
      <c r="DC28" s="16" cm="1">
        <f t="array" ref="DC28">_xll.ASAssetStatistic($A28,"Return during " &amp;YEAR(EOMONTH('PBA Summary'!$G$2,-60)),,,,"M",DATE(YEAR(EOMONTH('PBA Summary'!$G$2,-60)),1,31),DATE(YEAR(EOMONTH('PBA Summary'!$G$2,-60)),12,31))</f>
        <v>0.34009304544912622</v>
      </c>
      <c r="DD28" s="16" cm="1">
        <f t="array" ref="DD28">_xll.ASAssetStatistic($A28,"Return during " &amp;YEAR(EOMONTH('PBA Summary'!$G$2,-48)),,,,"M",DATE(YEAR(EOMONTH('PBA Summary'!$G$2,-48)),1,31),DATE(YEAR(EOMONTH('PBA Summary'!$G$2,-48)),12,31))</f>
        <v>2.925048958518861E-2</v>
      </c>
      <c r="DE28" s="16" cm="1">
        <f t="array" ref="DE28">_xll.ASAssetStatistic($A28,"Return during " &amp;YEAR(EOMONTH('PBA Summary'!$G$2,-36)),,,,"M",DATE(YEAR(EOMONTH('PBA Summary'!$G$2,-36)),1,31),DATE(YEAR(EOMONTH('PBA Summary'!$G$2,-36)),12,31))</f>
        <v>-6.1439468631624305E-2</v>
      </c>
      <c r="DF28" s="16" cm="1">
        <f t="array" ref="DF28">_xll.ASAssetStatistic($A28,"Return during " &amp;YEAR(EOMONTH('PBA Summary'!$G$2,-24)),,,,"M",DATE(YEAR(EOMONTH('PBA Summary'!$G$2,-24)),1,31),DATE(YEAR(EOMONTH('PBA Summary'!$G$2,-24)),12,31))</f>
        <v>-0.19553638893496195</v>
      </c>
      <c r="DG28" s="16" cm="1">
        <f t="array" ref="DG28">_xll.ASAssetStatistic($A28,"Return during " &amp;YEAR(EOMONTH('PBA Summary'!$G$2,-12)),,,,"M",DATE(YEAR(EOMONTH('PBA Summary'!$G$2,-12)),1,31),DATE(YEAR(EOMONTH('PBA Summary'!$G$2,-12)),12,31))</f>
        <v>-0.13420082014157653</v>
      </c>
      <c r="DH28" s="11" t="str" cm="1">
        <f t="array" ref="DH28">_xll.ASAssetInfo($A28,"Prime Broker")</f>
        <v/>
      </c>
      <c r="DI28" s="16" cm="1">
        <f t="array" ref="DI28">_xll.ASAssetStatistic($A28,"Return",,,,"m",'PBA Summary'!$F$2,'PBA Summary'!$G$2)</f>
        <v>-0.16874934148140219</v>
      </c>
      <c r="DJ28" s="33" cm="1">
        <f t="array" ref="DJ28">IF('PBA Summary'!$D$2="","",_xll.ASAssetStatistic($A28,"Ann. Information Ratio vs Benchmark 1",'PBA Summary'!$D$2,,,"m",'PBA Summary'!$F$2,'PBA Summary'!$G$2))</f>
        <v>-1.0204378760823218</v>
      </c>
      <c r="DK28" s="33" cm="1">
        <f t="array" ref="DK28">IF('PBA Summary'!$D$3="","",_xll.ASAssetStatistic($A28,"Ann. Information Ratio vs Benchmark 1",'PBA Summary'!$D$3,,,"m",'PBA Summary'!$F$2,'PBA Summary'!$G$2))</f>
        <v>-1.0204378760823218</v>
      </c>
      <c r="DL28" s="33" cm="1">
        <f t="array" ref="DL28">IF('PBA Summary'!$D$2="","",_xll.ASAssetStatistic($A28,"Ann. Tracking Error vs Benchmark 1",'PBA Summary'!$D$2,,,"m",'PBA Summary'!$F$2,'PBA Summary'!$G$2))</f>
        <v>0.30355567458741295</v>
      </c>
      <c r="DM28" s="33" cm="1">
        <f t="array" ref="DM28">IF('PBA Summary'!$D$3="","",_xll.ASAssetStatistic($A28,"Ann. Tracking Error vs Benchmark 1",'PBA Summary'!$D$3,,,"m",'PBA Summary'!$F$2,'PBA Summary'!$G$2))</f>
        <v>0.30355567458741295</v>
      </c>
      <c r="DN28" s="33" cm="1">
        <f t="array" ref="DN28">IF('PBA Summary'!$D$2="","",_xll.ASAssetStatistic($A28,"R² vs Benchmark 1",'PBA Summary'!$D$2,,,"m",'PBA Summary'!$F$2,'PBA Summary'!$G$2))</f>
        <v>9.6444139238557394E-2</v>
      </c>
      <c r="DO28" s="33" cm="1">
        <f t="array" ref="DO28">IF('PBA Summary'!$D$3="","",_xll.ASAssetStatistic($A28,"R² vs Benchmark 1",'PBA Summary'!$D$3,,,"m",'PBA Summary'!$F$2,'PBA Summary'!$G$2))</f>
        <v>9.6444139238557394E-2</v>
      </c>
      <c r="DP28" s="11" t="str" cm="1">
        <f t="array" ref="DP28">_xll.ASAssetInfo($A28,"On-/Offshore")</f>
        <v>Unknown</v>
      </c>
      <c r="DQ28" s="16" cm="1">
        <f t="array" ref="DQ28">_xll.ASAssetStatistic($A28,"Quarter-to-date",,,,"m",'PBA Summary'!$F$2,'PBA Summary'!$G$2)</f>
        <v>4.3764718334083241E-2</v>
      </c>
      <c r="DR28" s="16" cm="1">
        <f t="array" ref="DR28">_xll.ASAssetStatistic($A28,"Annualized Return Since inception",,,,"m",'PBA Summary'!$F$2,'PBA Summary'!$G$2)</f>
        <v>5.1916517754753366E-2</v>
      </c>
      <c r="DS28" s="16" cm="1">
        <f t="array" ref="DS28">IF('PBA Summary'!$D$2="","",_xll.ASAssetStatistic($A28,"Ann. Bear Market Return vs Benchmark 1",'PBA Summary'!$D$2,,,"m",'PBA Summary'!$F$2,'PBA Summary'!$G$2))</f>
        <v>-0.3947718234551203</v>
      </c>
      <c r="DT28" s="16" cm="1">
        <f t="array" ref="DT28">IF('PBA Summary'!$D$2="","",_xll.ASAssetStatistic($A28,"Ann. Bull Market Return vs Benchmark 1",'PBA Summary'!$D$2,,,"m",'PBA Summary'!$F$2,'PBA Summary'!$G$2))</f>
        <v>-1.8846306389240786E-2</v>
      </c>
      <c r="DU28" s="16" cm="1">
        <f t="array" ref="DU28">IF('PBA Summary'!$D$3="","",_xll.ASAssetStatistic($A28,"Ann. Bear Market Return vs Benchmark 1",'PBA Summary'!$D$3,,,"m",'PBA Summary'!$F$2,'PBA Summary'!$G$2))</f>
        <v>-0.3947718234551203</v>
      </c>
      <c r="DV28" s="16" cm="1">
        <f t="array" ref="DV28">IF('PBA Summary'!$D$3="","",_xll.ASAssetStatistic($A28,"Ann. Bull Market Return vs Benchmark 1",'PBA Summary'!$D$3,,,"m",'PBA Summary'!$F$2,'PBA Summary'!$G$2))</f>
        <v>-1.8846306389240786E-2</v>
      </c>
      <c r="DW28" s="17" cm="1">
        <f t="array" ref="DW28">_xll.ASAssetStatistic($A28,"Average Positive Return",,,,"m",'PBA Summary'!$F$2,'PBA Summary'!$G$2)</f>
        <v>6.0105095189236707E-2</v>
      </c>
      <c r="DX28" s="17" cm="1">
        <f t="array" ref="DX28">_xll.ASAssetStatistic($A28,"Average Negative Return",,,,"m",'PBA Summary'!$F$2,'PBA Summary'!$G$2)</f>
        <v>-8.6321298870900523E-2</v>
      </c>
      <c r="DY28" s="16" cm="1">
        <f t="array" ref="DY28">IF('PBA Summary'!$D$2="","",_xll.ASAssetStatistic($A28,"Outperformance vs Benchmark 1",'PBA Summary'!$D$2,,,"m",'PBA Summary'!$F$2,'PBA Summary'!$G$2))</f>
        <v>-0.38859298629012085</v>
      </c>
      <c r="DZ28" s="16" cm="1">
        <f t="array" ref="DZ28">IF('PBA Summary'!$D$3="","",_xll.ASAssetStatistic($A28,"Outperformance vs Benchmark 1",'PBA Summary'!$D$3,,,"m",'PBA Summary'!$F$2,'PBA Summary'!$G$2))</f>
        <v>-0.38859298629012085</v>
      </c>
      <c r="EA28" s="16" cm="1">
        <f t="array" ref="EA28">IF('PBA Summary'!$D$2="","",_xll.ASAssetStatistic($A28,"Annual Outperformance vs Benchmark 1",'PBA Summary'!$D$2,,,"m",'PBA Summary'!$F$2,'PBA Summary'!$G$2))</f>
        <v>-0.30975970784871609</v>
      </c>
      <c r="EB28" s="16" cm="1">
        <f t="array" ref="EB28">IF('PBA Summary'!$D$3="","",_xll.ASAssetStatistic($A28,"Annual Outperformance vs Benchmark 1",'PBA Summary'!$D$3,,,"m",'PBA Summary'!$F$2,'PBA Summary'!$G$2))</f>
        <v>-0.30975970784871609</v>
      </c>
      <c r="EC28" s="32" cm="1">
        <f t="array" ref="EC28">_xll.ASAssetStatistic($A28,"Rachev Ratio 99%",,,,"m",'PBA Summary'!$F$2,'PBA Summary'!$G$2)</f>
        <v>-0.66559133631708245</v>
      </c>
      <c r="ED28" s="32" cm="1">
        <f t="array" ref="ED28">_xll.ASAssetStatistic($A28,"Rachev Ratio 97%",,,,"m",'PBA Summary'!$F$2,'PBA Summary'!$G$2)</f>
        <v>-0.66559133631708245</v>
      </c>
      <c r="EE28" s="32" cm="1">
        <f t="array" ref="EE28">_xll.ASAssetStatistic($A28,"Rachev Ratio 95%",,,,"m",'PBA Summary'!$F$2,'PBA Summary'!$G$2)</f>
        <v>-0.66559133631708245</v>
      </c>
      <c r="EF28" s="32" cm="1">
        <f t="array" ref="EF28">_xll.ASAssetStatistic($A28,"Rachev Ratio 90%",,,,"m",'PBA Summary'!$F$2,'PBA Summary'!$G$2)</f>
        <v>-0.67882277746928543</v>
      </c>
      <c r="EG28" s="34" cm="1">
        <f t="array" ref="EG28">IF('PBA Summary'!$D$2="","",_xll.ASAssetStatistic($A28,"Annual Up Capture vs Benchmark 1",'PBA Summary'!$D$2,,,"m",'PBA Summary'!$F$2,'PBA Summary'!$G$2))</f>
        <v>-3.7230370431236684E-2</v>
      </c>
      <c r="EH28" s="34" cm="1">
        <f t="array" ref="EH28">IF('PBA Summary'!$D$3="","",_xll.ASAssetStatistic($A28,"Annual Up Capture vs Benchmark 1",'PBA Summary'!$D$3,,,"m",'PBA Summary'!$F$2,'PBA Summary'!$G$2))</f>
        <v>-3.7230370431236684E-2</v>
      </c>
      <c r="EI28" s="34" cm="1">
        <f t="array" ref="EI28">IF('PBA Summary'!$D$2="","",_xll.ASAssetStatistic($A28,"Annual Down Capture vs Benchmark 1",'PBA Summary'!$D$2,,,"m",'PBA Summary'!$F$2,'PBA Summary'!$G$2))</f>
        <v>0.95929310923063416</v>
      </c>
      <c r="EJ28" s="34" cm="1">
        <f t="array" ref="EJ28">IF('PBA Summary'!$D$3="","",_xll.ASAssetStatistic($A28,"Annual Down Capture vs Benchmark 1",'PBA Summary'!$D$3,,,"m",'PBA Summary'!$F$2,'PBA Summary'!$G$2))</f>
        <v>0.95929310923063416</v>
      </c>
      <c r="EK28" s="16" cm="1">
        <f t="array" ref="EK28">IF('PBA Summary'!$D$2="","",_xll.ASAssetStatistic($A28,"Ann. Tracking Error vs Benchmark 1",'PBA Summary'!$D$2,,,"m",'PBA Summary'!$F$2,'PBA Summary'!$G$2))</f>
        <v>0.30355567458741295</v>
      </c>
      <c r="EL28" s="16" cm="1">
        <f t="array" ref="EL28">IF('PBA Summary'!$D$3="","",_xll.ASAssetStatistic($A28,"Ann. Tracking Error vs Benchmark 1",'PBA Summary'!$D$3,,,"m",'PBA Summary'!$F$2,'PBA Summary'!$G$2))</f>
        <v>0.30355567458741295</v>
      </c>
      <c r="EM28" s="16" cm="1">
        <f t="array" ref="EM28">IF('PBA Summary'!$D$2="","",_xll.ASAssetStatistic($A28,"Annual Jensen Alpha vs Benchmark 1 (Rf)",'PBA Summary'!$D$2,,,"m",'PBA Summary'!$F$2,'PBA Summary'!$G$2))</f>
        <v>-0.24775705380427304</v>
      </c>
      <c r="EN28" s="16" cm="1">
        <f t="array" ref="EN28">IF('PBA Summary'!$D$3="","",_xll.ASAssetStatistic($A28,"Annual Jensen Alpha vs Benchmark 1 (Rf)",'PBA Summary'!$D$3,,,"m",'PBA Summary'!$F$2,'PBA Summary'!$G$2))</f>
        <v>-0.24775705380427304</v>
      </c>
      <c r="EO28" s="33" cm="1">
        <f t="array" ref="EO28">IF('PBA Summary'!$D$2="","",_xll.ASAssetStatistic($A28,"Ann. Information Ratio vs Benchmark 1",'PBA Summary'!$D$2,,,"m",'PBA Summary'!$F$2,'PBA Summary'!$G$2))</f>
        <v>-1.0204378760823218</v>
      </c>
      <c r="EP28" s="33" cm="1">
        <f t="array" ref="EP28">IF('PBA Summary'!$D$3="","",_xll.ASAssetStatistic($A28,"Ann. Information Ratio vs Benchmark 1",'PBA Summary'!$D$3,,,"m",'PBA Summary'!$F$2,'PBA Summary'!$G$2))</f>
        <v>-1.0204378760823218</v>
      </c>
      <c r="EQ28" s="17" cm="1">
        <f t="array" ref="EQ28">IF('PBA Summary'!$D$2="","",_xll.ASAssetStatistic($A28,"Alpha Monthly vs Benchmark 1",'PBA Summary'!$D$2,,,"m",'PBA Summary'!$F$2,'PBA Summary'!$G$2))</f>
        <v>-1.7285292700351819E-2</v>
      </c>
      <c r="ER28" s="17" cm="1">
        <f t="array" ref="ER28">IF('PBA Summary'!$D$3="","",_xll.ASAssetStatistic($A28,"Alpha Monthly vs Benchmark 1",'PBA Summary'!$D$3,,,"m",'PBA Summary'!$F$2,'PBA Summary'!$G$2))</f>
        <v>-1.7285292700351819E-2</v>
      </c>
      <c r="ES28" s="11" t="str" cm="1">
        <f t="array" ref="ES28">_xll.ASAssetInfo($A28,"Company AUM (m)")</f>
        <v/>
      </c>
      <c r="ET28" s="16" cm="1">
        <f t="array" ref="ET28">_xll.ASAssetStatistic($A28,"Exponential Annualized Volatility",,,,"m",'PBA Summary'!$F$2,'PBA Summary'!$G$2)</f>
        <v>0.32027541737043191</v>
      </c>
      <c r="EU28" s="16" cm="1">
        <f t="array" ref="EU28">_xll.ASAssetStatistic($A28,"Exponential Annualized Volatility Last 1 year",,,,"m",'PBA Summary'!$F$2,'PBA Summary'!$G$2)</f>
        <v>0.33355565904857176</v>
      </c>
      <c r="EV28" s="16" t="str" cm="1">
        <f t="array" ref="EV28">_xll.ASAssetStatistic($A28,"Exponential Annualized Volatility Last 3 years",,,,"m",'PBA Summary'!$F$2,'PBA Summary'!$G$2)</f>
        <v/>
      </c>
      <c r="EW28" s="34" cm="1">
        <f t="array" ref="EW28">IF('PBA Summary'!$D$2="","",_xll.ASAssetStatistic($A28,"Exponential Correlation to Benchmark 1",'PBA Summary'!$D$2,,,"m",'PBA Summary'!$F$2,'PBA Summary'!$G$2))</f>
        <v>0.25813987080256812</v>
      </c>
      <c r="EX28" s="34" cm="1">
        <f t="array" ref="EX28">IF('PBA Summary'!$D$3="","",_xll.ASAssetStatistic($A28,"Exponential Correlation to Benchmark 1",'PBA Summary'!$D$3,,,"m",'PBA Summary'!$F$2,'PBA Summary'!$G$2))</f>
        <v>0.25813987080256812</v>
      </c>
      <c r="EY28" s="34" cm="1">
        <f t="array" ref="EY28">_xll.ASAssetStatistic($A28,"Exponential Annual Sharpe Ratio (Rf)",,,,"m",'PBA Summary'!$F$2,'PBA Summary'!$G$2)</f>
        <v>5.9037120171324059E-3</v>
      </c>
      <c r="EZ28" s="34" cm="1">
        <f t="array" ref="EZ28">_xll.ASAssetStatistic($A28,"Exponential Normal Monthly VaR 99%",,,,"m",'PBA Summary'!$F$2,'PBA Summary'!$G$2)</f>
        <v>-0.21471860351231536</v>
      </c>
      <c r="FA28" s="34" cm="1">
        <f t="array" ref="FA28">_xll.ASAssetStatistic($A28,"Exponential Normal Monthly VaR 97%",,,,"m",'PBA Summary'!$F$2,'PBA Summary'!$G$2)</f>
        <v>-0.17352463915359656</v>
      </c>
      <c r="FB28" s="34" cm="1">
        <f t="array" ref="FB28">_xll.ASAssetStatistic($A28,"Exponential Normal Monthly VaR 95%",,,,"m",'PBA Summary'!$F$2,'PBA Summary'!$G$2)</f>
        <v>-0.151710678609565</v>
      </c>
      <c r="FC28" s="34" cm="1">
        <f t="array" ref="FC28">_xll.ASAssetStatistic($A28,"Exponential Normal Monthly VaR 90%",,,,"m",'PBA Summary'!$F$2,'PBA Summary'!$G$2)</f>
        <v>-0.11812138699059006</v>
      </c>
      <c r="FD28" s="34" t="str" cm="1">
        <f t="array" ref="FD28">_xll.ASAssetStatistic($A28,"Exponential Normal weekly VaR 99%",,,,"m",'PBA Summary'!$F$2,'PBA Summary'!$G$2)</f>
        <v/>
      </c>
      <c r="FE28" s="34" t="str" cm="1">
        <f t="array" ref="FE28">_xll.ASAssetStatistic($A28,"Exponential Normal weekly VaR 97%",,,,"m",'PBA Summary'!$F$2,'PBA Summary'!$G$2)</f>
        <v/>
      </c>
      <c r="FF28" s="34" t="str" cm="1">
        <f t="array" ref="FF28">_xll.ASAssetStatistic($A28,"Exponential Normal weekly VaR 95%",,,,"m",'PBA Summary'!$F$2,'PBA Summary'!$G$2)</f>
        <v/>
      </c>
      <c r="FG28" s="34" t="str" cm="1">
        <f t="array" ref="FG28">_xll.ASAssetStatistic($A28,"Exponential Normal weekly VaR 90%",,,,"m",'PBA Summary'!$F$2,'PBA Summary'!$G$2)</f>
        <v/>
      </c>
      <c r="FH28" s="34" t="str" cm="1">
        <f t="array" ref="FH28">_xll.ASAssetStatistic($A28,"Exponential Normal daily VaR 99%",,,,"m",'PBA Summary'!$F$2,'PBA Summary'!$G$2)</f>
        <v/>
      </c>
      <c r="FI28" s="34" t="str" cm="1">
        <f t="array" ref="FI28">_xll.ASAssetStatistic($A28,"Exponential Normal daily VaR 97%",,,,"m",'PBA Summary'!$F$2,'PBA Summary'!$G$2)</f>
        <v/>
      </c>
      <c r="FJ28" s="34" t="str" cm="1">
        <f t="array" ref="FJ28">_xll.ASAssetStatistic($A28,"Exponential Normal daily VaR 95%",,,,"m",'PBA Summary'!$F$2,'PBA Summary'!$G$2)</f>
        <v/>
      </c>
      <c r="FK28" s="34" t="str" cm="1">
        <f t="array" ref="FK28">_xll.ASAssetStatistic($A28,"Exponential Normal daily VaR 90%",,,,"m",'PBA Summary'!$F$2,'PBA Summary'!$G$2)</f>
        <v/>
      </c>
      <c r="FL28" s="34" cm="1">
        <f t="array" ref="FL28">_xll.ASAssetStatistic($A28,"Bias Ratio",,,,"m",'PBA Summary'!$F$2,'PBA Summary'!$G$2)</f>
        <v>1</v>
      </c>
      <c r="FM28" s="11" t="str" cm="1">
        <f t="array" ref="FM28">_xll.ASAssetInfo($A28,"Manager's Biography")</f>
        <v/>
      </c>
      <c r="FN28" s="11" cm="1">
        <f t="array" ref="FN28">_xll.ASAssetInfo($A28,"Investment Min")</f>
        <v>0</v>
      </c>
      <c r="FO28" s="11" t="str" cm="1">
        <f t="array" ref="FO28">_xll.ASAssetInfo($A28,"Auditor")</f>
        <v/>
      </c>
      <c r="FP28" s="11" t="str" cm="1">
        <f t="array" ref="FP28">_xll.ASAssetInfo($A28,"Custodian")</f>
        <v/>
      </c>
      <c r="FQ28" s="11" t="str" cm="1">
        <f t="array" ref="FQ28">_xll.ASAssetInfo($A28,"Administrator")</f>
        <v/>
      </c>
      <c r="FR28" s="14" t="str" cm="1">
        <f t="array" ref="FR28">_xll.ASAssetInfo($A28,"Proxy 1 Start Date")</f>
        <v/>
      </c>
      <c r="FS28" s="14" t="str" cm="1">
        <f t="array" ref="FS28">_xll.ASAssetInfo($A28,"Proxy 1 End Date")</f>
        <v/>
      </c>
      <c r="FT28" s="14" t="str" cm="1">
        <f t="array" ref="FT28">_xll.ASAssetInfo($A28,"Proxy 2 Start Date")</f>
        <v/>
      </c>
      <c r="FU28" s="14" t="str" cm="1">
        <f t="array" ref="FU28">_xll.ASAssetInfo($A28,"Proxy 2 End Date")</f>
        <v/>
      </c>
      <c r="FV28" s="14" t="str" cm="1">
        <f t="array" ref="FV28">_xll.ASAssetInfo($A28,"Proxy 3 Start Date")</f>
        <v/>
      </c>
      <c r="FW28" s="14" t="str" cm="1">
        <f t="array" ref="FW28">_xll.ASAssetInfo($A28,"Proxy 3 End Date")</f>
        <v/>
      </c>
      <c r="FX28" s="14" t="str" cm="1">
        <f t="array" ref="FX28">_xll.ASAssetInfo($A28,"Fund Domicile")</f>
        <v/>
      </c>
      <c r="FY28" s="14" t="str" cm="1">
        <f t="array" ref="FY28">_xll.ASAssetInfo($A28,"Fund Contact")</f>
        <v/>
      </c>
      <c r="FZ28" s="14" t="str" cm="1">
        <f t="array" ref="FZ28">_xll.ASAssetInfo($A28,"Fund Contact Email")</f>
        <v/>
      </c>
      <c r="GA28" s="14" t="str" cm="1">
        <f t="array" ref="GA28">_xll.ASAssetInfo($A28,"Fund Contact Number")</f>
        <v/>
      </c>
      <c r="GB28" s="14" t="str" cm="1">
        <f t="array" ref="GB28">_xll.ASAssetInfo($A28,"City")</f>
        <v/>
      </c>
      <c r="GC28" s="14" t="str" cm="1">
        <f t="array" ref="GC28">_xll.ASAssetInfo($A28,"Leverage")</f>
        <v/>
      </c>
      <c r="GD28" s="14" t="str" cm="1">
        <f t="array" ref="GD28">_xll.ASAssetInfo($A28,"Lockup 1 Duration")</f>
        <v>0 Months</v>
      </c>
      <c r="GE28" s="14" t="str" cm="1">
        <f t="array" ref="GE28">_xll.ASAssetInfo($A28,"Lockup 2 Duration")</f>
        <v>0 Months</v>
      </c>
      <c r="GF28" s="14" t="str" cm="1">
        <f t="array" ref="GF28">_xll.ASAssetInfo($A28,"Lockup 3 Duration")</f>
        <v>0 Months</v>
      </c>
      <c r="GG28" s="31" t="str" cm="1">
        <f t="array" ref="GG28">_xll.ASAssetInfo($A28,"Fund Level Gate")</f>
        <v/>
      </c>
      <c r="GH28" s="31" t="str" cm="1">
        <f t="array" ref="GH28">_xll.ASAssetInfo($A28,"Fund Level Gate Frequency")</f>
        <v>Unknown</v>
      </c>
      <c r="GI28" s="35" cm="1">
        <f t="array" ref="GI28">_xll.ASAssetInfo($A28,"Payment 2 (%)")</f>
        <v>0</v>
      </c>
      <c r="GJ28" s="35" t="str" cm="1">
        <f t="array" ref="GJ28">_xll.ASAssetInfo($A28,"Payment 2 (days)")</f>
        <v/>
      </c>
      <c r="GK28" s="35" t="str" cm="1">
        <f t="array" ref="GK28">_xll.ASAssetInfo($A28,"Payment 2 (Paid After)")</f>
        <v>NAV Date</v>
      </c>
      <c r="GL28" s="35" cm="1">
        <f t="array" ref="GL28">_xll.ASAssetInfo($A28,"Payment 3 (%)")</f>
        <v>0</v>
      </c>
      <c r="GM28" s="36" t="str" cm="1">
        <f t="array" ref="GM28">_xll.ASAssetInfo($A28,"Payment 3 (Days)")</f>
        <v/>
      </c>
      <c r="GN28" s="35" t="str" cm="1">
        <f t="array" ref="GN28">_xll.ASAssetInfo($A28,"Payment 3 (Paid After)")</f>
        <v>NAV Date</v>
      </c>
      <c r="GO28" s="35" cm="1">
        <f t="array" ref="GO28">_xll.ASAssetInfo($A28,"Payment 4 (%)")</f>
        <v>0</v>
      </c>
      <c r="GP28" s="36" t="str" cm="1">
        <f t="array" ref="GP28">_xll.ASAssetInfo($A28,"Payment 4 (days)")</f>
        <v/>
      </c>
      <c r="GQ28" s="35" t="str" cm="1">
        <f t="array" ref="GQ28">_xll.ASAssetInfo($A28,"Payment 4 (Paid After)")</f>
        <v>NAV Date</v>
      </c>
      <c r="GR28" s="11" cm="1">
        <f t="array" ref="GR28">_xll.ASAssetInfo($A28,"Payment 1 (%)")</f>
        <v>1</v>
      </c>
      <c r="GS28" s="35" cm="1">
        <f t="array" ref="GS28">_xll.ASAssetInfo($A28,"Lockup 1 Fee")</f>
        <v>0</v>
      </c>
      <c r="GT28" s="35" cm="1">
        <f t="array" ref="GT28">_xll.ASAssetInfo($A28,"Lockup 2 Fee")</f>
        <v>0</v>
      </c>
      <c r="GU28" s="35" cm="1">
        <f t="array" ref="GU28">_xll.ASAssetInfo($A28,"Lockup 3 Fee")</f>
        <v>0</v>
      </c>
      <c r="GV28" s="35" t="str" cm="1">
        <f t="array" ref="GV28">_xll.ASAssetInfo($A28,"Lockup 1 type")</f>
        <v>None</v>
      </c>
      <c r="GW28" s="35" t="str" cm="1">
        <f t="array" ref="GW28">_xll.ASAssetInfo($A28,"Lockup 2 type")</f>
        <v>None</v>
      </c>
      <c r="GX28" s="35" t="str" cm="1">
        <f t="array" ref="GX28">_xll.ASAssetInfo($A28,"Lockup 3 type")</f>
        <v>None</v>
      </c>
      <c r="GY28" s="35" t="str" cm="1">
        <f t="array" ref="GY28">_xll.ASAssetInfo($A28,"Redemption 1 type")</f>
        <v>Calendar</v>
      </c>
      <c r="GZ28" s="35" t="str" cm="1">
        <f t="array" ref="GZ28">_xll.ASAssetInfo($A28,"Redemption 2 type")</f>
        <v>Calendar</v>
      </c>
      <c r="HA28" s="35" t="str" cm="1">
        <f t="array" ref="HA28">_xll.ASAssetInfo($A28,"Redemption 3 type")</f>
        <v>Calendar</v>
      </c>
      <c r="HB28" s="35" t="str" cm="1">
        <f t="array" ref="HB28">_xll.ASAssetInfo($A28,"Redemption 1 Fee")</f>
        <v/>
      </c>
      <c r="HC28" s="35" t="str" cm="1">
        <f t="array" ref="HC28">_xll.ASAssetInfo($A28,"Redemption 2 Fee")</f>
        <v/>
      </c>
      <c r="HD28" s="35" t="str" cm="1">
        <f t="array" ref="HD28">_xll.ASAssetInfo($A28,"Redemption 3 Fee")</f>
        <v/>
      </c>
      <c r="HE28" s="35" t="str" cm="1">
        <f t="array" ref="HE28">_xll.ASAssetInfo($A28,"Redemption 1 Frequency")</f>
        <v>Unknown</v>
      </c>
      <c r="HF28" s="35" t="str" cm="1">
        <f t="array" ref="HF28">_xll.ASAssetInfo($A28,"Redemption 2 Frequency")</f>
        <v>Unknown</v>
      </c>
      <c r="HG28" s="35" t="str" cm="1">
        <f t="array" ref="HG28">_xll.ASAssetInfo($A28,"Redemption 3 Frequency")</f>
        <v>Unknown</v>
      </c>
      <c r="HH28" s="35" t="str" cm="1">
        <f t="array" ref="HH28">_xll.ASAssetInfo($A28,"Asset Calendar")</f>
        <v>[Default]</v>
      </c>
      <c r="HI28" s="16" cm="1">
        <f t="array" ref="HI28">_xll.ASAssetStatistic($A28,"Max Second Drawdown",,,,"m",'PBA Summary'!$F$2,'PBA Summary'!$G$2)</f>
        <v>-8.0160151722684425E-2</v>
      </c>
      <c r="HJ28" s="37" cm="1">
        <f t="array" ref="HJ28">_xll.ASAssetStatistic($A28,"Date Max Second Drawdown",,,,"m",'PBA Summary'!$F$2,'PBA Summary'!$G$2)</f>
        <v>43465</v>
      </c>
      <c r="HK28" s="37"/>
      <c r="HL28" s="37" t="str" cm="1">
        <f t="array" ref="HL28">_xll.ASAssetInfo($A28,HL$1)</f>
        <v/>
      </c>
      <c r="HM28" s="34" cm="1">
        <f t="array" ref="HM28">_xll.ASAssetInfo($A28,HM$1)</f>
        <v>12.77</v>
      </c>
      <c r="HN28" s="37" t="str" cm="1">
        <f t="array" ref="HN28">_xll.ASAssetInfo($A28,HN$1)</f>
        <v/>
      </c>
      <c r="HO28" s="15" cm="1">
        <f t="array" ref="HO28">_xll.ASAssetInfo($A28,HO$1)</f>
        <v>0</v>
      </c>
      <c r="HP28" s="15" t="str" cm="1">
        <f t="array" ref="HP28">_xll.ASAssetInfo($A28,HP$1)</f>
        <v/>
      </c>
      <c r="HQ28" s="34" t="str" cm="1">
        <f t="array" ref="HQ28">_xll.ASAssetInfo($A28,HQ$1)</f>
        <v/>
      </c>
      <c r="HR28" s="37" t="str" cm="1">
        <f t="array" ref="HR28">_xll.ASAssetInfo($A28,HR$1)</f>
        <v/>
      </c>
      <c r="HS28" s="37" t="str" cm="1">
        <f t="array" ref="HS28">_xll.ASAssetInfo($A28,HS$1)</f>
        <v/>
      </c>
      <c r="HT28" s="37" t="str" cm="1">
        <f t="array" ref="HT28">_xll.ASAssetInfo($A28,HT$1)</f>
        <v/>
      </c>
      <c r="HU28" s="37" t="str" cm="1">
        <f t="array" ref="HU28">_xll.ASAssetInfo($A28,HU$1)</f>
        <v>Great Britain</v>
      </c>
      <c r="HV28" s="37" t="str" cm="1">
        <f t="array" ref="HV28">_xll.ASAssetInfo($A28,HV$1)</f>
        <v/>
      </c>
      <c r="HW28" s="37" t="str" cm="1">
        <f t="array" ref="HW28">_xll.ASAssetInfo($A28,HW$1)</f>
        <v/>
      </c>
    </row>
    <row r="29" spans="1:231" s="11" customFormat="1" x14ac:dyDescent="0.25">
      <c r="A29" t="s">
        <v>298</v>
      </c>
      <c r="B29" cm="1">
        <f t="array" ref="B29">_xll.ASPortfolioWeights('PBA Summary'!$C$2,"OR",$A29)</f>
        <v>0</v>
      </c>
      <c r="C29" cm="1">
        <f t="array" ref="C29">_xll.ASAssetStatistic($A29,"Annualized Return since inception",,,,"m",_xll.ASAssetInfo($A29,"Start Date"),_xll.ASAssetInfo($A29,"Last Return Date"))</f>
        <v>0.18068644693035485</v>
      </c>
      <c r="D29" cm="1">
        <f t="array" ref="D29">_xll.ASAssetStatistic($A29,"Annualized Return",,,,"m",'PBA Summary'!$F$2,'PBA Summary'!$G$2)</f>
        <v>0.21897034959209538</v>
      </c>
      <c r="E29" s="19" cm="1">
        <f t="array" ref="E29">_xll.ASAssetStatistic($A29,"Equilibrium Annual Return",,,,"m",'PBA Summary'!$F$2,'PBA Summary'!$G$2)</f>
        <v>0.77690771593596186</v>
      </c>
      <c r="F29" cm="1">
        <f t="array" ref="F29">_xll.ASAssetStatistic($A29,"Annualized Volatility (Inception)",,,,"m",_xll.ASAssetInfo($A29,"Start Date"),_xll.ASAssetInfo($A29,"Last Return Date"))</f>
        <v>0.20009787569813045</v>
      </c>
      <c r="G29" cm="1">
        <f t="array" ref="G29">_xll.ASAssetStatistic($A29,"Annualized Volatility",,,,"m",'PBA Summary'!$F$2,'PBA Summary'!$G$2)</f>
        <v>0.21721234568748468</v>
      </c>
      <c r="H29" s="20" cm="1">
        <f t="array" ref="H29">_xll.ASAssetStatistic($A29,"Skewness",,,,"m",'PBA Summary'!$F$2,'PBA Summary'!$G$2)</f>
        <v>-0.83079794452661293</v>
      </c>
      <c r="I29" s="20" cm="1">
        <f t="array" ref="I29">_xll.ASAssetStatistic($A29,"Excess kurtosis",,,,"m",'PBA Summary'!$F$2,'PBA Summary'!$G$2)</f>
        <v>0.4808915808646485</v>
      </c>
      <c r="J29" s="19" cm="1">
        <f t="array" ref="J29">_xll.ASAssetStatistic($A29,"Return Last 1 month",,,,"m",'PBA Summary'!$F$2,'PBA Summary'!$G$2)</f>
        <v>-1.941176470588224E-2</v>
      </c>
      <c r="K29" s="19" cm="1">
        <f t="array" ref="K29">_xll.ASAssetStatistic($A29,"Return Last 3 months",,,,"m",'PBA Summary'!$F$2,'PBA Summary'!$G$2)</f>
        <v>5.74056454170635E-2</v>
      </c>
      <c r="L29" s="19" cm="1">
        <f t="array" ref="L29">_xll.ASAssetStatistic($A29,"Return Last 1 year",,,,"m",'PBA Summary'!$F$2,'PBA Summary'!$G$2)</f>
        <v>0.20057616132517109</v>
      </c>
      <c r="M29" s="19" cm="1">
        <f t="array" ref="M29">_xll.ASAssetStatistic($A29,"Year-to-date Return",,,,"m",'PBA Summary'!$F$2,'PBA Summary'!$G$2)</f>
        <v>-1.941176470588224E-2</v>
      </c>
      <c r="N29" s="19" cm="1">
        <f t="array" ref="N29">_xll.ASAssetStatistic($A29,"Annualized Return",,,,"m",EOMONTH('PBA Summary'!$G$2,-2),'PBA Summary'!$G$2)</f>
        <v>0.25016259025895216</v>
      </c>
      <c r="O29" s="19" t="str" cm="1">
        <f t="array" ref="O29">_xll.ASAssetStatistic($A29,"Annualized Return Last 3 years",,,,"m",'PBA Summary'!$F$2,'PBA Summary'!$G$2)</f>
        <v/>
      </c>
      <c r="P29" s="19" t="str" cm="1">
        <f t="array" ref="P29">_xll.ASAssetStatistic($A29,"Annualized Return Last 5 years",,,,"m",'PBA Summary'!$F$2,'PBA Summary'!$G$2)</f>
        <v/>
      </c>
      <c r="Q29" s="19" cm="1">
        <f t="array" ref="Q29">_xll.ASAssetStatistic($A29,"Annualized Volatility Last 1 year",,,,"m",'PBA Summary'!$F$2,'PBA Summary'!$G$2)</f>
        <v>0.19703957664691055</v>
      </c>
      <c r="R29" s="19" t="str" cm="1">
        <f t="array" ref="R29">_xll.ASAssetStatistic($A29,"Annualized Volatility Last 3 years",,,,"m",'PBA Summary'!$F$2,'PBA Summary'!$G$2)</f>
        <v/>
      </c>
      <c r="S29" s="19" t="str" cm="1">
        <f t="array" ref="S29">_xll.ASAssetStatistic($A29,"Annualized Volatility Last 5 years",,,,"m",'PBA Summary'!$F$2,'PBA Summary'!$G$2)</f>
        <v/>
      </c>
      <c r="T29" s="19" cm="1">
        <f t="array" ref="T29">_xll.ASAssetStatistic($A29,"Normal monthly VaR 99%",,,,"m",'PBA Summary'!$F$2,'PBA Summary'!$G$2)</f>
        <v>-0.12737027898091496</v>
      </c>
      <c r="U29" s="19" cm="1">
        <f t="array" ref="U29">_xll.ASAssetStatistic($A29,"Modified monthly VaR 99%",,,,"m",'PBA Summary'!$F$2,'PBA Summary'!$G$2)</f>
        <v>-0.15643772734142464</v>
      </c>
      <c r="V29" s="19" cm="1">
        <f t="array" ref="V29">_xll.ASAssetStatistic($A29,"Conditional monthly VaR 99%",,,,"m",'PBA Summary'!$F$2,'PBA Summary'!$G$2)</f>
        <v>-0.11856015156299382</v>
      </c>
      <c r="W29" s="19" cm="1">
        <f t="array" ref="W29">_xll.ASAssetStatistic($A29,"Normal monthly VaR 97%",,,,"m",'PBA Summary'!$F$2,'PBA Summary'!$G$2)</f>
        <v>-9.9432332010183672E-2</v>
      </c>
      <c r="X29" s="19" cm="1">
        <f t="array" ref="X29">_xll.ASAssetStatistic($A29,"Modified monthly VaR 97%",,,,"m",'PBA Summary'!$F$2,'PBA Summary'!$G$2)</f>
        <v>-0.11804139321093439</v>
      </c>
      <c r="Y29" s="19" cm="1">
        <f t="array" ref="Y29">_xll.ASAssetStatistic($A29,"Conditional monthly VaR 97%",,,,"m",'PBA Summary'!$F$2,'PBA Summary'!$G$2)</f>
        <v>-0.11856015156299382</v>
      </c>
      <c r="Z29" s="19" cm="1">
        <f t="array" ref="Z29">_xll.ASAssetStatistic($A29,"Normal monthly VaR 95%",,,,"m",'PBA Summary'!$F$2,'PBA Summary'!$G$2)</f>
        <v>-8.4637997879247126E-2</v>
      </c>
      <c r="AA29" s="19" cm="1">
        <f t="array" ref="AA29">_xll.ASAssetStatistic($A29,"Modified monthly VaR 95%",,,,"m",'PBA Summary'!$F$2,'PBA Summary'!$G$2)</f>
        <v>-9.8024712873256703E-2</v>
      </c>
      <c r="AB29" s="19" cm="1">
        <f t="array" ref="AB29">_xll.ASAssetStatistic($A29,"Conditional monthly VaR 95%",,,,"m",'PBA Summary'!$F$2,'PBA Summary'!$G$2)</f>
        <v>-0.11856015156299382</v>
      </c>
      <c r="AC29" s="66" cm="1">
        <f t="array" ref="AC29">_xll.ASAssetStatistic($A29,"Correlation to Benchmark 1","MSCI ACWI Index",,,"m",'PBA Summary'!$F$2,'PBA Summary'!$G$2)</f>
        <v>0.97088514424252181</v>
      </c>
      <c r="AD29" s="38" cm="1">
        <f t="array" ref="AD29">IF('PBA Summary'!$D$3="","",_xll.ASAssetStatistic($A29,"Correlation to Benchmark 1",'PBA Summary'!$D$3,,,"m",'PBA Summary'!$F$2,'PBA Summary'!$G$2))</f>
        <v>0.94805923816065307</v>
      </c>
      <c r="AE29" s="21" cm="1">
        <f t="array" ref="AE29">IF('PBA Summary'!$D$2="","",_xll.ASAssetStatistic($A29,"Bull correlation to Benchmark 1",'PBA Summary'!$D$2,,,"m",'PBA Summary'!$F$2,'PBA Summary'!$G$2))</f>
        <v>0.94817079375363456</v>
      </c>
      <c r="AF29" s="21" cm="1">
        <f t="array" ref="AF29">IF('PBA Summary'!$D$2="","",_xll.ASAssetStatistic($A29,"Bear correlation to Benchmark 1",'PBA Summary'!$D$2,,,"m",'PBA Summary'!$F$2,'PBA Summary'!$G$2))</f>
        <v>0.75250905577855198</v>
      </c>
      <c r="AG29" s="21" cm="1">
        <f t="array" ref="AG29">IF('PBA Summary'!$D$3="","",_xll.ASAssetStatistic($A29,"Bull correlation to Benchmark 1",'PBA Summary'!$D$3,,,"m",'PBA Summary'!$F$2,'PBA Summary'!$G$2))</f>
        <v>0.94817079375363456</v>
      </c>
      <c r="AH29" s="21" cm="1">
        <f t="array" ref="AH29">IF('PBA Summary'!$D$3="","",_xll.ASAssetStatistic($A29,"Bear correlation to Benchmark 1",'PBA Summary'!$D$3,,,"m",'PBA Summary'!$F$2,'PBA Summary'!$G$2))</f>
        <v>0.75250905577855198</v>
      </c>
      <c r="AI29" s="24" cm="1">
        <f t="array" ref="AI29">IF('PBA Summary'!$D$2="","",_xll.ASAssetStatistic($A29,"Beta to Benchmark 1",'PBA Summary'!$D$2,,,"m",'PBA Summary'!$F$2,'PBA Summary'!$G$2))</f>
        <v>1.3413549383263488</v>
      </c>
      <c r="AJ29" s="24" t="str" cm="1">
        <f t="array" ref="AJ29">IF('PBA Summary'!$D$2="","",_xll.ASAssetStatistic($A29,"Beta to Benchmark 1 Last 3 years",'PBA Summary'!$D$2,,,"m",'PBA Summary'!$F$2,'PBA Summary'!$G$2))</f>
        <v/>
      </c>
      <c r="AK29" s="24" t="str" cm="1">
        <f t="array" ref="AK29">IF('PBA Summary'!$D$2="","",_xll.ASAssetStatistic($A29,"Beta to Benchmark 1 Last 5 years",'PBA Summary'!$D$2,,,"m",'PBA Summary'!$F$2,'PBA Summary'!$G$2))</f>
        <v/>
      </c>
      <c r="AL29" s="25" cm="1">
        <f t="array" ref="AL29">IF('PBA Summary'!$D$3="","",_xll.ASAssetStatistic($A29,"Beta to Benchmark 1",'PBA Summary'!$D$3,,,"m",'PBA Summary'!$F$2,'PBA Summary'!$G$2))</f>
        <v>1.3413549383263488</v>
      </c>
      <c r="AM29" s="25" t="str" cm="1">
        <f t="array" ref="AM29">IF('PBA Summary'!$D$3="","",_xll.ASAssetStatistic($A29,"Beta to Benchmark 1 Last 3 years",'PBA Summary'!$D$3,,,"m",'PBA Summary'!$F$2,'PBA Summary'!$G$2))</f>
        <v/>
      </c>
      <c r="AN29" s="25" t="str" cm="1">
        <f t="array" ref="AN29">IF('PBA Summary'!$D$3="","",_xll.ASAssetStatistic($A29,"Beta to Benchmark 1 Last 5 years",'PBA Summary'!$D$3,,,"m",'PBA Summary'!$F$2,'PBA Summary'!$G$2))</f>
        <v/>
      </c>
      <c r="AO29" s="25" cm="1">
        <f t="array" ref="AO29">IF('PBA Summary'!$D$2="","",_xll.ASAssetStatistic($A29,"Bull Beta to Benchmark 1",'PBA Summary'!$D$2,,,"m",'PBA Summary'!$F$2,'PBA Summary'!$G$2))</f>
        <v>1.31124027912748</v>
      </c>
      <c r="AP29" s="25" cm="1">
        <f t="array" ref="AP29">IF('PBA Summary'!$D$2="","",_xll.ASAssetStatistic($A29,"Bear Beta to Benchmark 1",'PBA Summary'!$D$2,,,"m",'PBA Summary'!$F$2,'PBA Summary'!$G$2))</f>
        <v>0.74831518851499157</v>
      </c>
      <c r="AQ29" s="25" cm="1">
        <f t="array" ref="AQ29">IF('PBA Summary'!$D$3="","",_xll.ASAssetStatistic($A29,"Bull Beta to Benchmark 1",'PBA Summary'!$D$3,,,"m",'PBA Summary'!$F$2,'PBA Summary'!$G$2))</f>
        <v>1.31124027912748</v>
      </c>
      <c r="AR29" s="25" cm="1">
        <f t="array" ref="AR29">IF('PBA Summary'!$D$3="","",_xll.ASAssetStatistic($A29,"Bear Beta to Benchmark 1",'PBA Summary'!$D$3,,,"m",'PBA Summary'!$F$2,'PBA Summary'!$G$2))</f>
        <v>0.74831518851499157</v>
      </c>
      <c r="AS29" s="25" cm="1">
        <f t="array" ref="AS29">_xll.ASAssetStatistic($A29,"Annual Sharpe Ratio (Rf)",,,'PBA Summary'!$H$2,"m",'PBA Summary'!$F$2,'PBA Summary'!$G$2)</f>
        <v>0.99658400588124552</v>
      </c>
      <c r="AT29" s="25" t="str" cm="1">
        <f t="array" ref="AT29">_xll.ASAssetStatistic($A29,"Annual Sharpe Ratio (Rf) Last 3 years",,,'PBA Summary'!$H$2,"m",'PBA Summary'!$F$2,'PBA Summary'!$G$2)</f>
        <v/>
      </c>
      <c r="AU29" s="25" t="str" cm="1">
        <f t="array" ref="AU29">_xll.ASAssetStatistic($A29,"Annual Sharpe Ratio (Rf) Last 5 years",,,'PBA Summary'!$H$2,"m",'PBA Summary'!$F$2,'PBA Summary'!$G$2)</f>
        <v/>
      </c>
      <c r="AV29" s="18" cm="1">
        <f t="array" ref="AV29">_xll.ASAssetStatistic($A29,"Ann. Downside Deviation (vs 0%)",,,'PBA Summary'!$H$2,"m",'PBA Summary'!$F$2,'PBA Summary'!$G$2)</f>
        <v>0.13774700051508962</v>
      </c>
      <c r="AW29" s="18" cm="1">
        <f t="array" ref="AW29">_xll.ASAssetStatistic($A29,"Ann. Downside Deviation (vs Rf)",,,'PBA Summary'!$H$2,"m",'PBA Summary'!$F$2,'PBA Summary'!$G$2)</f>
        <v>0.13807645093086368</v>
      </c>
      <c r="AX29" s="39" cm="1">
        <f t="array" ref="AX29">_xll.ASAssetStatistic($A29,"Annual Treynor ratio",,,'PBA Summary'!$H$2,"m",'PBA Summary'!$F$2,'PBA Summary'!$G$2)</f>
        <v>6.0813041514315679E-2</v>
      </c>
      <c r="AY29" s="26" cm="1">
        <f t="array" ref="AY29">_xll.ASAssetStatistic($A29,"Annual Sortino Ratio (vs 0%)",,,'PBA Summary'!$H$2,"m",'PBA Summary'!$F$2,'PBA Summary'!$G$2)</f>
        <v>1.5896560271605193</v>
      </c>
      <c r="AZ29" s="26" cm="1">
        <f t="array" ref="AZ29">_xll.ASAssetStatistic($A29,"Annual Sortino Ratio (vs Rf)",,,'PBA Summary'!$H$2,"m",'PBA Summary'!$F$2,'PBA Summary'!$G$2)</f>
        <v>1.5677571963410644</v>
      </c>
      <c r="BA29" s="26" cm="1">
        <f t="array" ref="BA29">_xll.ASAssetStatistic($A29,"Sterling ratio",,,'PBA Summary'!$H$2,"m",'PBA Summary'!$F$2,'PBA Summary'!$G$2)</f>
        <v>1.0018768198418975</v>
      </c>
      <c r="BB29" s="26" cm="1">
        <f t="array" ref="BB29">_xll.ASAssetStatistic($A29,"Calmar ratio",,,'PBA Summary'!$H$2,"m",'PBA Summary'!$F$2,'PBA Summary'!$G$2)</f>
        <v>1.8469135430866184</v>
      </c>
      <c r="BC29" s="26" cm="1">
        <f t="array" ref="BC29">_xll.ASAssetStatistic($A29,"Hurst index",,,'PBA Summary'!$H$2,"m",'PBA Summary'!$F$2,'PBA Summary'!$G$2)</f>
        <v>0.38594547965399112</v>
      </c>
      <c r="BD29" s="26" cm="1">
        <f t="array" ref="BD29">_xll.ASAssetStatistic($A29,"Omega (Threshold 1)",,,'PBA Summary'!$H$2,"m",'PBA Summary'!$F$2,'PBA Summary'!$G$2)</f>
        <v>2.0183563122142369</v>
      </c>
      <c r="BE29" s="26" cm="1">
        <f t="array" ref="BE29">_xll.ASAssetStatistic($A29,"Omega (Threshold 2)",,,'PBA Summary'!$H$2,"m",'PBA Summary'!$F$2,'PBA Summary'!$G$2)</f>
        <v>1.6923220863529851</v>
      </c>
      <c r="BF29" s="26" cm="1">
        <f t="array" ref="BF29">_xll.ASAssetStatistic($A29,"Omega (Threshold 3)",,,'PBA Summary'!$H$2,"m",'PBA Summary'!$F$2,'PBA Summary'!$G$2)</f>
        <v>1.4080193750422856</v>
      </c>
      <c r="BG29" s="26" cm="1">
        <f t="array" ref="BG29">_xll.ASAssetStatistic($A29,"Omega (Threshold 4)",,,'PBA Summary'!$H$2,"m",'PBA Summary'!$F$2,'PBA Summary'!$G$2)</f>
        <v>1.1570599958503187</v>
      </c>
      <c r="BH29" s="26" cm="1">
        <f t="array" ref="BH29">_xll.ASAssetStatistic($A29,"Omega (Threshold 5)",,,'PBA Summary'!$H$2,"m",'PBA Summary'!$F$2,'PBA Summary'!$G$2)</f>
        <v>0.93740638638782892</v>
      </c>
      <c r="BI29" s="26" t="str" cm="1">
        <f t="array" ref="BI29">_xll.ASAssetStatistic($A29,"Autocorrelated (illiquid)",,,'PBA Summary'!$H$2,"m",'PBA Summary'!$F$2,'PBA Summary'!$G$2)</f>
        <v>No</v>
      </c>
      <c r="BJ29" s="27" cm="1">
        <f t="array" ref="BJ29">_xll.ASAssetStatistic($A29,"% months in Run Up",,,'PBA Summary'!$H$2,"m",'PBA Summary'!$F$2,'PBA Summary'!$G$2)</f>
        <v>0.8</v>
      </c>
      <c r="BK29" s="27" cm="1">
        <f t="array" ref="BK29">_xll.ASAssetStatistic($A29,"% months in Drawdown",,,'PBA Summary'!$H$2,"m",'PBA Summary'!$F$2,'PBA Summary'!$G$2)</f>
        <v>0.2</v>
      </c>
      <c r="BL29" s="18" cm="1">
        <f t="array" ref="BL29">IF('PBA Summary'!$D$2="","",_xll.ASAssetStatistic($A29,"Bull Beta to Benchmark 1",'PBA Summary'!$D$2,,,"m",'PBA Summary'!$F$2,'PBA Summary'!$G$2))</f>
        <v>1.31124027912748</v>
      </c>
      <c r="BM29" s="18" cm="1">
        <f t="array" ref="BM29">IF('PBA Summary'!$D$2="","",_xll.ASAssetStatistic($A29,"Average return during bear Benchmark 1",'PBA Summary'!$D$2,,,"m",'PBA Summary'!$F$2,'PBA Summary'!$G$2))</f>
        <v>-6.8126621900172463E-2</v>
      </c>
      <c r="BN29" s="18" cm="1">
        <f t="array" ref="BN29">IF('PBA Summary'!$D$3="","",_xll.ASAssetStatistic($A29,"Average return during bull Benchmark 1",'PBA Summary'!$D$3,,,"m",'PBA Summary'!$F$2,'PBA Summary'!$G$2))</f>
        <v>5.0001380851653003E-2</v>
      </c>
      <c r="BO29" s="18" cm="1">
        <f t="array" ref="BO29">IF('PBA Summary'!$D$3="","",_xll.ASAssetStatistic($A29,"Average return during bear Benchmark 1",'PBA Summary'!$D$3,,,"m",'PBA Summary'!$F$2,'PBA Summary'!$G$2))</f>
        <v>-6.8126621900172463E-2</v>
      </c>
      <c r="BP29" s="27" cm="1">
        <f t="array" ref="BP29">_xll.ASAssetStatistic($A29,"Maximum consecutive gain",,,'PBA Summary'!$H$2,"m",'PBA Summary'!$F$2,'PBA Summary'!$G$2)</f>
        <v>0.27444668008048212</v>
      </c>
      <c r="BQ29" s="27" cm="1">
        <f t="array" ref="BQ29">_xll.ASAssetStatistic($A29,"Maximum consecutive loss",,,'PBA Summary'!$H$2,"m",'PBA Summary'!$F$2,'PBA Summary'!$G$2)</f>
        <v>-0.11856015156299382</v>
      </c>
      <c r="BR29" s="27" cm="1">
        <f t="array" ref="BR29">_xll.ASAssetStatistic($A29,"Max monthly gain",,,'PBA Summary'!$H$2,"m",'PBA Summary'!$F$2,'PBA Summary'!$G$2)</f>
        <v>0.11750503018108627</v>
      </c>
      <c r="BS29" s="27" cm="1">
        <f t="array" ref="BS29">_xll.ASAssetStatistic($A29,"Max monthly loss",,,'PBA Summary'!$H$2,"m",'PBA Summary'!$F$2,'PBA Summary'!$G$2)</f>
        <v>-0.11856015156299382</v>
      </c>
      <c r="BT29" s="27" cm="1">
        <f t="array" ref="BT29">_xll.ASAssetStatistic($A29,"Max drawdown",,,'PBA Summary'!$H$2,"m",'PBA Summary'!$F$2,'PBA Summary'!$G$2)</f>
        <v>-0.11856015156299382</v>
      </c>
      <c r="BU29" s="28" cm="1">
        <f t="array" ref="BU29">_xll.ASAssetStatistic($A29,"Date Max drawdown",,,'PBA Summary'!$H$2,"m",'PBA Summary'!$F$2,'PBA Summary'!$G$2)</f>
        <v>43616</v>
      </c>
      <c r="BV29" s="28" cm="1">
        <f t="array" ref="BV29">_xll.ASAssetStatistic($A29,"Start Date Max Drawdown",,,'PBA Summary'!$H$2,"m",'PBA Summary'!$F$2,'PBA Summary'!$G$2)</f>
        <v>43616</v>
      </c>
      <c r="BW29" s="28" cm="1">
        <f t="array" ref="BW29">_xll.ASAssetStatistic($A29,"End Date Max Drawdown",,,'PBA Summary'!$H$2,"m",'PBA Summary'!$F$2,'PBA Summary'!$G$2)</f>
        <v>43769</v>
      </c>
      <c r="BX29" s="29" cm="1">
        <f t="array" ref="BX29">_xll.ASAssetStatistic($A29,"Max Time-under-water (months)",,,'PBA Summary'!$H$2,"m",'PBA Summary'!$F$2,'PBA Summary'!$G$2)</f>
        <v>6</v>
      </c>
      <c r="BY29" s="27" cm="1">
        <f t="array" ref="BY29">_xll.ASAssetStatistic($A29,"Max possible drawdown 99%",,,'PBA Summary'!$H$2,"m",'PBA Summary'!$F$2,'PBA Summary'!$G$2)</f>
        <v>-0.28753567994465734</v>
      </c>
      <c r="BZ29" s="27" cm="1">
        <f t="array" ref="BZ29">_xll.ASAssetStatistic($A29,"Max possible drawdown 99.9%",,,'PBA Summary'!$H$2,"m",'PBA Summary'!$F$2,'PBA Summary'!$G$2)</f>
        <v>-0.50736988265114558</v>
      </c>
      <c r="CA29" s="30" cm="1">
        <f t="array" ref="CA29">_xll.ASAssetStatistic($A29,"Max Possible Time-under-water 99% (months)",,,'PBA Summary'!$H$2,"m",'PBA Summary'!$F$2,'PBA Summary'!$G$2)</f>
        <v>62.167927300290231</v>
      </c>
      <c r="CB29" s="30" cm="1">
        <f t="array" ref="CB29">_xll.ASAssetStatistic($A29,"Max Possible Time-under-water 99.9% (months)",,,'PBA Summary'!$H$2,"m",'PBA Summary'!$F$2,'PBA Summary'!$G$2)</f>
        <v>109.69815636474817</v>
      </c>
      <c r="CC29" s="17" cm="1">
        <f t="array" ref="CC29">_xll.ASPortfolioReturnAttribution('PBA Summary'!$C$2,"OR",A29,"Last 1m",'PBA Summary'!$F$2,'PBA Summary'!$G$2)</f>
        <v>0</v>
      </c>
      <c r="CD29" s="11" t="str" cm="1">
        <f t="array" ref="CD29">_xll.ASAssetInfo($A29,"Strategy")</f>
        <v>Funds - Robotics Long Only</v>
      </c>
      <c r="CE29" s="14" cm="1">
        <f t="array" ref="CE29">_xll.ASAssetInfo($A29,"Start Date")</f>
        <v>42626</v>
      </c>
      <c r="CF29" s="14" t="str" cm="1">
        <f t="array" ref="CF29">_xll.ASAssetRatings($A29,"Quantitative",0,0,0,0,0,'PBA Summary'!$F$2,'PBA Summary'!$G$2)</f>
        <v/>
      </c>
      <c r="CG29" s="14" t="str" cm="1">
        <f t="array" ref="CG29">_xll.ASAssetRatings($A29,"Qualitative",0,0,0,0,0,'PBA Summary'!$F$2,'PBA Summary'!$G$2)</f>
        <v/>
      </c>
      <c r="CH29" s="14" t="str" cm="1">
        <f t="array" ref="CH29">_xll.ASAssetRatings($A29,"Final",0,0,0,0,0,'PBA Summary'!$F$2,'PBA Summary'!$G$2)</f>
        <v/>
      </c>
      <c r="CI29" s="14" cm="1">
        <f t="array" ref="CI29">_xll.ASAssetInfo($A29,"Last Return Date")</f>
        <v>44134</v>
      </c>
      <c r="CJ29" s="14" t="str" cm="1">
        <f t="array" ref="CJ29">_xll.ASAssetInfo($A29,"Company Name")</f>
        <v>iShares ETFs/Ireland</v>
      </c>
      <c r="CK29" s="14" t="str" cm="1">
        <f t="array" ref="CK29">_xll.ASAssetInfo($A29,"Manager Name")</f>
        <v>Sanjit Khuman</v>
      </c>
      <c r="CL29" s="14" t="str" cm="1">
        <f t="array" ref="CL29">_xll.ASAssetInfo($A29,"Address")</f>
        <v>BlackRock Inc. JP Morgan House. International Financial Services Ctr. Dublin 1. Ireland</v>
      </c>
      <c r="CM29" s="14" t="str" cm="1">
        <f t="array" ref="CM29">_xll.ASAssetInfo($A29,"Phone Number")</f>
        <v>+44-20-7668-8007 Tel</v>
      </c>
      <c r="CN29" s="14" t="str" cm="1">
        <f t="array" ref="CN29">_xll.ASAssetInfo($A29,"Email")</f>
        <v/>
      </c>
      <c r="CO29" s="14" t="str" cm="1">
        <f t="array" ref="CO29">_xll.ASAssetInfo($A29,"Asset Type")</f>
        <v>Equities</v>
      </c>
      <c r="CP29" s="14" t="str" cm="1">
        <f t="array" ref="CP29">_xll.ASAssetInfo($A29,"Proprietary ID")</f>
        <v/>
      </c>
      <c r="CQ29" s="14" t="str" cm="1">
        <f t="array" ref="CQ29">_xll.ASAssetInfo($A29,"Country")</f>
        <v>[Not Classified]</v>
      </c>
      <c r="CR29" s="14" t="str" cm="1">
        <f t="array" ref="CR29">_xll.ASAssetInfo($A29,"Currency")</f>
        <v>USD</v>
      </c>
      <c r="CS29" s="14" t="str" cm="1">
        <f t="array" ref="CS29">_xll.ASAssetInfo($A29,"Sub-Strategy")</f>
        <v/>
      </c>
      <c r="CT29" s="31" cm="1">
        <f t="array" ref="CT29">_xll.ASAssetInfo($A29,"Fund AUM (m)")</f>
        <v>2880.9</v>
      </c>
      <c r="CU29" s="31" t="str" cm="1">
        <f t="array" ref="CU29">_xll.ASAssetInfo($A29,"Status")</f>
        <v>Unknown</v>
      </c>
      <c r="CV29" s="31" t="str" cm="1">
        <f t="array" ref="CV29">_xll.ASAssetInfo($A29,"Redemption 1 Frequency")</f>
        <v>Daily</v>
      </c>
      <c r="CW29" s="31" t="str" cm="1">
        <f t="array" ref="CW29">_xll.ASAssetInfo($A29,"Redemption 2 Frequency")</f>
        <v>Unknown</v>
      </c>
      <c r="CX29" s="31" t="str" cm="1">
        <f t="array" ref="CX29">_xll.ASAssetInfo($A29,"Redemption 3 Frequency")</f>
        <v>Unknown</v>
      </c>
      <c r="CY29" s="31" t="str" cm="1">
        <f t="array" ref="CY29">_xll.ASAssetInfo($A29,"Notice Period")</f>
        <v/>
      </c>
      <c r="CZ29" s="15" cm="1">
        <f t="array" ref="CZ29">_xll.ASAssetInfo($A29,"Performance Fee")</f>
        <v>0</v>
      </c>
      <c r="DA29" s="15" cm="1">
        <f t="array" ref="DA29">_xll.ASAssetInfo($A29,"Management Fee")</f>
        <v>0</v>
      </c>
      <c r="DB29" s="15" t="str" cm="1">
        <f t="array" ref="DB29">_xll.ASAssetInfo($A29,"ISIN")</f>
        <v>IE00BYZK4552</v>
      </c>
      <c r="DC29" s="16" t="str" cm="1">
        <f t="array" ref="DC29">_xll.ASAssetStatistic($A29,"Return during " &amp;YEAR(EOMONTH('PBA Summary'!$G$2,-60)),,,,"M",DATE(YEAR(EOMONTH('PBA Summary'!$G$2,-60)),1,31),DATE(YEAR(EOMONTH('PBA Summary'!$G$2,-60)),12,31))</f>
        <v/>
      </c>
      <c r="DD29" s="16" cm="1">
        <f t="array" ref="DD29">_xll.ASAssetStatistic($A29,"Return during " &amp;YEAR(EOMONTH('PBA Summary'!$G$2,-48)),,,,"M",DATE(YEAR(EOMONTH('PBA Summary'!$G$2,-48)),1,31),DATE(YEAR(EOMONTH('PBA Summary'!$G$2,-48)),12,31))</f>
        <v>6.7057492543454389E-2</v>
      </c>
      <c r="DE29" s="16" cm="1">
        <f t="array" ref="DE29">_xll.ASAssetStatistic($A29,"Return during " &amp;YEAR(EOMONTH('PBA Summary'!$G$2,-36)),,,,"M",DATE(YEAR(EOMONTH('PBA Summary'!$G$2,-36)),1,31),DATE(YEAR(EOMONTH('PBA Summary'!$G$2,-36)),12,31))</f>
        <v>0.47205783132529966</v>
      </c>
      <c r="DF29" s="16" cm="1">
        <f t="array" ref="DF29">_xll.ASAssetStatistic($A29,"Return during " &amp;YEAR(EOMONTH('PBA Summary'!$G$2,-24)),,,,"M",DATE(YEAR(EOMONTH('PBA Summary'!$G$2,-24)),1,31),DATE(YEAR(EOMONTH('PBA Summary'!$G$2,-24)),12,31))</f>
        <v>-0.18645155376294831</v>
      </c>
      <c r="DG29" s="16" cm="1">
        <f t="array" ref="DG29">_xll.ASAssetStatistic($A29,"Return during " &amp;YEAR(EOMONTH('PBA Summary'!$G$2,-12)),,,,"M",DATE(YEAR(EOMONTH('PBA Summary'!$G$2,-12)),1,31),DATE(YEAR(EOMONTH('PBA Summary'!$G$2,-12)),12,31))</f>
        <v>0.36820925553319883</v>
      </c>
      <c r="DH29" s="11" t="str" cm="1">
        <f t="array" ref="DH29">_xll.ASAssetInfo($A29,"Prime Broker")</f>
        <v/>
      </c>
      <c r="DI29" s="16" cm="1">
        <f t="array" ref="DI29">_xll.ASAssetStatistic($A29,"Return",,,,"m",'PBA Summary'!$F$2,'PBA Summary'!$G$2)</f>
        <v>0.28082981175566646</v>
      </c>
      <c r="DJ29" s="33" cm="1">
        <f t="array" ref="DJ29">IF('PBA Summary'!$D$2="","",_xll.ASAssetStatistic($A29,"Ann. Information Ratio vs Benchmark 1",'PBA Summary'!$D$2,,,"m",'PBA Summary'!$F$2,'PBA Summary'!$G$2))</f>
        <v>0.53803002916931841</v>
      </c>
      <c r="DK29" s="33" cm="1">
        <f t="array" ref="DK29">IF('PBA Summary'!$D$3="","",_xll.ASAssetStatistic($A29,"Ann. Information Ratio vs Benchmark 1",'PBA Summary'!$D$3,,,"m",'PBA Summary'!$F$2,'PBA Summary'!$G$2))</f>
        <v>0.53803002916931841</v>
      </c>
      <c r="DL29" s="33" cm="1">
        <f t="array" ref="DL29">IF('PBA Summary'!$D$2="","",_xll.ASAssetStatistic($A29,"Ann. Tracking Error vs Benchmark 1",'PBA Summary'!$D$2,,,"m",'PBA Summary'!$F$2,'PBA Summary'!$G$2))</f>
        <v>8.6720095228634192E-2</v>
      </c>
      <c r="DM29" s="33" cm="1">
        <f t="array" ref="DM29">IF('PBA Summary'!$D$3="","",_xll.ASAssetStatistic($A29,"Ann. Tracking Error vs Benchmark 1",'PBA Summary'!$D$3,,,"m",'PBA Summary'!$F$2,'PBA Summary'!$G$2))</f>
        <v>8.6720095228634192E-2</v>
      </c>
      <c r="DN29" s="33" cm="1">
        <f t="array" ref="DN29">IF('PBA Summary'!$D$2="","",_xll.ASAssetStatistic($A29,"R² vs Benchmark 1",'PBA Summary'!$D$2,,,"m",'PBA Summary'!$F$2,'PBA Summary'!$G$2))</f>
        <v>0.89881631906175785</v>
      </c>
      <c r="DO29" s="33" cm="1">
        <f t="array" ref="DO29">IF('PBA Summary'!$D$3="","",_xll.ASAssetStatistic($A29,"R² vs Benchmark 1",'PBA Summary'!$D$3,,,"m",'PBA Summary'!$F$2,'PBA Summary'!$G$2))</f>
        <v>0.89881631906175785</v>
      </c>
      <c r="DP29" s="11" t="str" cm="1">
        <f t="array" ref="DP29">_xll.ASAssetInfo($A29,"On-/Offshore")</f>
        <v>Unknown</v>
      </c>
      <c r="DQ29" s="16" cm="1">
        <f t="array" ref="DQ29">_xll.ASAssetStatistic($A29,"Quarter-to-date",,,,"m",'PBA Summary'!$F$2,'PBA Summary'!$G$2)</f>
        <v>-1.941176470588224E-2</v>
      </c>
      <c r="DR29" s="16" cm="1">
        <f t="array" ref="DR29">_xll.ASAssetStatistic($A29,"Annualized Return Since inception",,,,"m",'PBA Summary'!$F$2,'PBA Summary'!$G$2)</f>
        <v>0.18068644693035485</v>
      </c>
      <c r="DS29" s="16" cm="1">
        <f t="array" ref="DS29">IF('PBA Summary'!$D$2="","",_xll.ASAssetStatistic($A29,"Ann. Bear Market Return vs Benchmark 1",'PBA Summary'!$D$2,,,"m",'PBA Summary'!$F$2,'PBA Summary'!$G$2))</f>
        <v>-0.57498370235083385</v>
      </c>
      <c r="DT29" s="16" cm="1">
        <f t="array" ref="DT29">IF('PBA Summary'!$D$2="","",_xll.ASAssetStatistic($A29,"Ann. Bull Market Return vs Benchmark 1",'PBA Summary'!$D$2,,,"m",'PBA Summary'!$F$2,'PBA Summary'!$G$2))</f>
        <v>0.78808688412937933</v>
      </c>
      <c r="DU29" s="16" cm="1">
        <f t="array" ref="DU29">IF('PBA Summary'!$D$3="","",_xll.ASAssetStatistic($A29,"Ann. Bear Market Return vs Benchmark 1",'PBA Summary'!$D$3,,,"m",'PBA Summary'!$F$2,'PBA Summary'!$G$2))</f>
        <v>-0.57498370235083385</v>
      </c>
      <c r="DV29" s="16" cm="1">
        <f t="array" ref="DV29">IF('PBA Summary'!$D$3="","",_xll.ASAssetStatistic($A29,"Ann. Bull Market Return vs Benchmark 1",'PBA Summary'!$D$3,,,"m",'PBA Summary'!$F$2,'PBA Summary'!$G$2))</f>
        <v>0.78808688412937933</v>
      </c>
      <c r="DW29" s="17" cm="1">
        <f t="array" ref="DW29">_xll.ASAssetStatistic($A29,"Average Positive Return",,,,"m",'PBA Summary'!$F$2,'PBA Summary'!$G$2)</f>
        <v>5.0001380851653003E-2</v>
      </c>
      <c r="DX29" s="17" cm="1">
        <f t="array" ref="DX29">_xll.ASAssetStatistic($A29,"Average Negative Return",,,,"m",'PBA Summary'!$F$2,'PBA Summary'!$G$2)</f>
        <v>-6.8126621900172463E-2</v>
      </c>
      <c r="DY29" s="16" cm="1">
        <f t="array" ref="DY29">IF('PBA Summary'!$D$2="","",_xll.ASAssetStatistic($A29,"Outperformance vs Benchmark 1",'PBA Summary'!$D$2,,,"m",'PBA Summary'!$F$2,'PBA Summary'!$G$2))</f>
        <v>6.0986166946947806E-2</v>
      </c>
      <c r="DZ29" s="16" cm="1">
        <f t="array" ref="DZ29">IF('PBA Summary'!$D$3="","",_xll.ASAssetStatistic($A29,"Outperformance vs Benchmark 1",'PBA Summary'!$D$3,,,"m",'PBA Summary'!$F$2,'PBA Summary'!$G$2))</f>
        <v>6.0986166946947806E-2</v>
      </c>
      <c r="EA29" s="16" cm="1">
        <f t="array" ref="EA29">IF('PBA Summary'!$D$2="","",_xll.ASAssetStatistic($A29,"Annual Outperformance vs Benchmark 1",'PBA Summary'!$D$2,,,"m",'PBA Summary'!$F$2,'PBA Summary'!$G$2))</f>
        <v>4.6658015365428129E-2</v>
      </c>
      <c r="EB29" s="16" cm="1">
        <f t="array" ref="EB29">IF('PBA Summary'!$D$3="","",_xll.ASAssetStatistic($A29,"Annual Outperformance vs Benchmark 1",'PBA Summary'!$D$3,,,"m",'PBA Summary'!$F$2,'PBA Summary'!$G$2))</f>
        <v>4.6658015365428129E-2</v>
      </c>
      <c r="EC29" s="32" cm="1">
        <f t="array" ref="EC29">_xll.ASAssetStatistic($A29,"Rachev Ratio 99%",,,,"m",'PBA Summary'!$F$2,'PBA Summary'!$G$2)</f>
        <v>-0.99110053953206245</v>
      </c>
      <c r="ED29" s="32" cm="1">
        <f t="array" ref="ED29">_xll.ASAssetStatistic($A29,"Rachev Ratio 97%",,,,"m",'PBA Summary'!$F$2,'PBA Summary'!$G$2)</f>
        <v>-0.99110053953206245</v>
      </c>
      <c r="EE29" s="32" cm="1">
        <f t="array" ref="EE29">_xll.ASAssetStatistic($A29,"Rachev Ratio 95%",,,,"m",'PBA Summary'!$F$2,'PBA Summary'!$G$2)</f>
        <v>-0.99110053953206245</v>
      </c>
      <c r="EF29" s="32" cm="1">
        <f t="array" ref="EF29">_xll.ASAssetStatistic($A29,"Rachev Ratio 90%",,,,"m",'PBA Summary'!$F$2,'PBA Summary'!$G$2)</f>
        <v>-1.0391944822114596</v>
      </c>
      <c r="EG29" s="34" cm="1">
        <f t="array" ref="EG29">IF('PBA Summary'!$D$2="","",_xll.ASAssetStatistic($A29,"Annual Up Capture vs Benchmark 1",'PBA Summary'!$D$2,,,"m",'PBA Summary'!$F$2,'PBA Summary'!$G$2))</f>
        <v>1.5568444034681679</v>
      </c>
      <c r="EH29" s="34" cm="1">
        <f t="array" ref="EH29">IF('PBA Summary'!$D$3="","",_xll.ASAssetStatistic($A29,"Annual Up Capture vs Benchmark 1",'PBA Summary'!$D$3,,,"m",'PBA Summary'!$F$2,'PBA Summary'!$G$2))</f>
        <v>1.5568444034681679</v>
      </c>
      <c r="EI29" s="34" cm="1">
        <f t="array" ref="EI29">IF('PBA Summary'!$D$2="","",_xll.ASAssetStatistic($A29,"Annual Down Capture vs Benchmark 1",'PBA Summary'!$D$2,,,"m",'PBA Summary'!$F$2,'PBA Summary'!$G$2))</f>
        <v>1.3972068694203021</v>
      </c>
      <c r="EJ29" s="34" cm="1">
        <f t="array" ref="EJ29">IF('PBA Summary'!$D$3="","",_xll.ASAssetStatistic($A29,"Annual Down Capture vs Benchmark 1",'PBA Summary'!$D$3,,,"m",'PBA Summary'!$F$2,'PBA Summary'!$G$2))</f>
        <v>1.3972068694203021</v>
      </c>
      <c r="EK29" s="16" cm="1">
        <f t="array" ref="EK29">IF('PBA Summary'!$D$2="","",_xll.ASAssetStatistic($A29,"Ann. Tracking Error vs Benchmark 1",'PBA Summary'!$D$2,,,"m",'PBA Summary'!$F$2,'PBA Summary'!$G$2))</f>
        <v>8.6720095228634192E-2</v>
      </c>
      <c r="EL29" s="16" cm="1">
        <f t="array" ref="EL29">IF('PBA Summary'!$D$3="","",_xll.ASAssetStatistic($A29,"Ann. Tracking Error vs Benchmark 1",'PBA Summary'!$D$3,,,"m",'PBA Summary'!$F$2,'PBA Summary'!$G$2))</f>
        <v>8.6720095228634192E-2</v>
      </c>
      <c r="EM29" s="16" cm="1">
        <f t="array" ref="EM29">IF('PBA Summary'!$D$2="","",_xll.ASAssetStatistic($A29,"Annual Jensen Alpha vs Benchmark 1 (Rf)",'PBA Summary'!$D$2,,,"m",'PBA Summary'!$F$2,'PBA Summary'!$G$2))</f>
        <v>-1.1308263511569189E-2</v>
      </c>
      <c r="EN29" s="16" cm="1">
        <f t="array" ref="EN29">IF('PBA Summary'!$D$3="","",_xll.ASAssetStatistic($A29,"Annual Jensen Alpha vs Benchmark 1 (Rf)",'PBA Summary'!$D$3,,,"m",'PBA Summary'!$F$2,'PBA Summary'!$G$2))</f>
        <v>-1.1308263511569189E-2</v>
      </c>
      <c r="EO29" s="33" cm="1">
        <f t="array" ref="EO29">IF('PBA Summary'!$D$2="","",_xll.ASAssetStatistic($A29,"Ann. Information Ratio vs Benchmark 1",'PBA Summary'!$D$2,,,"m",'PBA Summary'!$F$2,'PBA Summary'!$G$2))</f>
        <v>0.53803002916931841</v>
      </c>
      <c r="EP29" s="33" cm="1">
        <f t="array" ref="EP29">IF('PBA Summary'!$D$3="","",_xll.ASAssetStatistic($A29,"Ann. Information Ratio vs Benchmark 1",'PBA Summary'!$D$3,,,"m",'PBA Summary'!$F$2,'PBA Summary'!$G$2))</f>
        <v>0.53803002916931841</v>
      </c>
      <c r="EQ29" s="17" cm="1">
        <f t="array" ref="EQ29">IF('PBA Summary'!$D$2="","",_xll.ASAssetStatistic($A29,"Alpha Monthly vs Benchmark 1",'PBA Summary'!$D$2,,,"m",'PBA Summary'!$F$2,'PBA Summary'!$G$2))</f>
        <v>-6.3717049222068722E-4</v>
      </c>
      <c r="ER29" s="17" cm="1">
        <f t="array" ref="ER29">IF('PBA Summary'!$D$3="","",_xll.ASAssetStatistic($A29,"Alpha Monthly vs Benchmark 1",'PBA Summary'!$D$3,,,"m",'PBA Summary'!$F$2,'PBA Summary'!$G$2))</f>
        <v>-6.3717049222068722E-4</v>
      </c>
      <c r="ES29" s="11" t="str" cm="1">
        <f t="array" ref="ES29">_xll.ASAssetInfo($A29,"Company AUM (m)")</f>
        <v/>
      </c>
      <c r="ET29" s="16" cm="1">
        <f t="array" ref="ET29">_xll.ASAssetStatistic($A29,"Exponential Annualized Volatility",,,,"m",'PBA Summary'!$F$2,'PBA Summary'!$G$2)</f>
        <v>0.19398874124461488</v>
      </c>
      <c r="EU29" s="16" cm="1">
        <f t="array" ref="EU29">_xll.ASAssetStatistic($A29,"Exponential Annualized Volatility Last 1 year",,,,"m",'PBA Summary'!$F$2,'PBA Summary'!$G$2)</f>
        <v>0.18065888998313429</v>
      </c>
      <c r="EV29" s="16" t="str" cm="1">
        <f t="array" ref="EV29">_xll.ASAssetStatistic($A29,"Exponential Annualized Volatility Last 3 years",,,,"m",'PBA Summary'!$F$2,'PBA Summary'!$G$2)</f>
        <v/>
      </c>
      <c r="EW29" s="34" cm="1">
        <f t="array" ref="EW29">IF('PBA Summary'!$D$2="","",_xll.ASAssetStatistic($A29,"Exponential Correlation to Benchmark 1",'PBA Summary'!$D$2,,,"m",'PBA Summary'!$F$2,'PBA Summary'!$G$2))</f>
        <v>0.87075056043239552</v>
      </c>
      <c r="EX29" s="34" cm="1">
        <f t="array" ref="EX29">IF('PBA Summary'!$D$3="","",_xll.ASAssetStatistic($A29,"Exponential Correlation to Benchmark 1",'PBA Summary'!$D$3,,,"m",'PBA Summary'!$F$2,'PBA Summary'!$G$2))</f>
        <v>0.87075056043239552</v>
      </c>
      <c r="EY29" s="34" cm="1">
        <f t="array" ref="EY29">_xll.ASAssetStatistic($A29,"Exponential Annual Sharpe Ratio (Rf)",,,,"m",'PBA Summary'!$F$2,'PBA Summary'!$G$2)</f>
        <v>1.1772485678292426</v>
      </c>
      <c r="EZ29" s="34" cm="1">
        <f t="array" ref="EZ29">_xll.ASAssetStatistic($A29,"Exponential Normal Monthly VaR 99%",,,,"m",'PBA Summary'!$F$2,'PBA Summary'!$G$2)</f>
        <v>-0.11281384797508648</v>
      </c>
      <c r="FA29" s="34" cm="1">
        <f t="array" ref="FA29">_xll.ASAssetStatistic($A29,"Exponential Normal Monthly VaR 97%",,,,"m",'PBA Summary'!$F$2,'PBA Summary'!$G$2)</f>
        <v>-8.7862931172187492E-2</v>
      </c>
      <c r="FB29" s="34" cm="1">
        <f t="array" ref="FB29">_xll.ASAssetStatistic($A29,"Exponential Normal Monthly VaR 95%",,,,"m",'PBA Summary'!$F$2,'PBA Summary'!$G$2)</f>
        <v>-7.465035687522853E-2</v>
      </c>
      <c r="FC29" s="34" cm="1">
        <f t="array" ref="FC29">_xll.ASAssetStatistic($A29,"Exponential Normal Monthly VaR 90%",,,,"m",'PBA Summary'!$F$2,'PBA Summary'!$G$2)</f>
        <v>-5.4305540985325654E-2</v>
      </c>
      <c r="FD29" s="34" t="str" cm="1">
        <f t="array" ref="FD29">_xll.ASAssetStatistic($A29,"Exponential Normal weekly VaR 99%",,,,"m",'PBA Summary'!$F$2,'PBA Summary'!$G$2)</f>
        <v/>
      </c>
      <c r="FE29" s="34" t="str" cm="1">
        <f t="array" ref="FE29">_xll.ASAssetStatistic($A29,"Exponential Normal weekly VaR 97%",,,,"m",'PBA Summary'!$F$2,'PBA Summary'!$G$2)</f>
        <v/>
      </c>
      <c r="FF29" s="34" t="str" cm="1">
        <f t="array" ref="FF29">_xll.ASAssetStatistic($A29,"Exponential Normal weekly VaR 95%",,,,"m",'PBA Summary'!$F$2,'PBA Summary'!$G$2)</f>
        <v/>
      </c>
      <c r="FG29" s="34" t="str" cm="1">
        <f t="array" ref="FG29">_xll.ASAssetStatistic($A29,"Exponential Normal weekly VaR 90%",,,,"m",'PBA Summary'!$F$2,'PBA Summary'!$G$2)</f>
        <v/>
      </c>
      <c r="FH29" s="34" t="str" cm="1">
        <f t="array" ref="FH29">_xll.ASAssetStatistic($A29,"Exponential Normal daily VaR 99%",,,,"m",'PBA Summary'!$F$2,'PBA Summary'!$G$2)</f>
        <v/>
      </c>
      <c r="FI29" s="34" t="str" cm="1">
        <f t="array" ref="FI29">_xll.ASAssetStatistic($A29,"Exponential Normal daily VaR 97%",,,,"m",'PBA Summary'!$F$2,'PBA Summary'!$G$2)</f>
        <v/>
      </c>
      <c r="FJ29" s="34" t="str" cm="1">
        <f t="array" ref="FJ29">_xll.ASAssetStatistic($A29,"Exponential Normal daily VaR 95%",,,,"m",'PBA Summary'!$F$2,'PBA Summary'!$G$2)</f>
        <v/>
      </c>
      <c r="FK29" s="34" t="str" cm="1">
        <f t="array" ref="FK29">_xll.ASAssetStatistic($A29,"Exponential Normal daily VaR 90%",,,,"m",'PBA Summary'!$F$2,'PBA Summary'!$G$2)</f>
        <v/>
      </c>
      <c r="FL29" s="34" cm="1">
        <f t="array" ref="FL29">_xll.ASAssetStatistic($A29,"Bias Ratio",,,,"m",'PBA Summary'!$F$2,'PBA Summary'!$G$2)</f>
        <v>2.6666666666666665</v>
      </c>
      <c r="FM29" s="11" t="str" cm="1">
        <f t="array" ref="FM29">_xll.ASAssetInfo($A29,"Manager's Biography")</f>
        <v/>
      </c>
      <c r="FN29" s="11" cm="1">
        <f t="array" ref="FN29">_xll.ASAssetInfo($A29,"Investment Min")</f>
        <v>0</v>
      </c>
      <c r="FO29" s="11" t="str" cm="1">
        <f t="array" ref="FO29">_xll.ASAssetInfo($A29,"Auditor")</f>
        <v>Deloitte/Ireland</v>
      </c>
      <c r="FP29" s="11" t="str" cm="1">
        <f t="array" ref="FP29">_xll.ASAssetInfo($A29,"Custodian")</f>
        <v>State Street Custodial Services Ireland Ltd</v>
      </c>
      <c r="FQ29" s="11" t="str" cm="1">
        <f t="array" ref="FQ29">_xll.ASAssetInfo($A29,"Administrator")</f>
        <v>State Street Fund Services Ireland Ltd</v>
      </c>
      <c r="FR29" s="14" t="str" cm="1">
        <f t="array" ref="FR29">_xll.ASAssetInfo($A29,"Proxy 1 Start Date")</f>
        <v/>
      </c>
      <c r="FS29" s="14" t="str" cm="1">
        <f t="array" ref="FS29">_xll.ASAssetInfo($A29,"Proxy 1 End Date")</f>
        <v/>
      </c>
      <c r="FT29" s="14" t="str" cm="1">
        <f t="array" ref="FT29">_xll.ASAssetInfo($A29,"Proxy 2 Start Date")</f>
        <v/>
      </c>
      <c r="FU29" s="14" t="str" cm="1">
        <f t="array" ref="FU29">_xll.ASAssetInfo($A29,"Proxy 2 End Date")</f>
        <v/>
      </c>
      <c r="FV29" s="14" t="str" cm="1">
        <f t="array" ref="FV29">_xll.ASAssetInfo($A29,"Proxy 3 Start Date")</f>
        <v/>
      </c>
      <c r="FW29" s="14" t="str" cm="1">
        <f t="array" ref="FW29">_xll.ASAssetInfo($A29,"Proxy 3 End Date")</f>
        <v/>
      </c>
      <c r="FX29" s="14" t="str" cm="1">
        <f t="array" ref="FX29">_xll.ASAssetInfo($A29,"Fund Domicile")</f>
        <v>IE</v>
      </c>
      <c r="FY29" s="14" t="str" cm="1">
        <f t="array" ref="FY29">_xll.ASAssetInfo($A29,"Fund Contact")</f>
        <v/>
      </c>
      <c r="FZ29" s="14" t="str" cm="1">
        <f t="array" ref="FZ29">_xll.ASAssetInfo($A29,"Fund Contact Email")</f>
        <v/>
      </c>
      <c r="GA29" s="14" t="str" cm="1">
        <f t="array" ref="GA29">_xll.ASAssetInfo($A29,"Fund Contact Number")</f>
        <v/>
      </c>
      <c r="GB29" s="14" t="str" cm="1">
        <f t="array" ref="GB29">_xll.ASAssetInfo($A29,"City")</f>
        <v/>
      </c>
      <c r="GC29" s="14" t="str" cm="1">
        <f t="array" ref="GC29">_xll.ASAssetInfo($A29,"Leverage")</f>
        <v>N</v>
      </c>
      <c r="GD29" s="14" t="str" cm="1">
        <f t="array" ref="GD29">_xll.ASAssetInfo($A29,"Lockup 1 Duration")</f>
        <v>0 Months</v>
      </c>
      <c r="GE29" s="14" t="str" cm="1">
        <f t="array" ref="GE29">_xll.ASAssetInfo($A29,"Lockup 2 Duration")</f>
        <v>0 Months</v>
      </c>
      <c r="GF29" s="14" t="str" cm="1">
        <f t="array" ref="GF29">_xll.ASAssetInfo($A29,"Lockup 3 Duration")</f>
        <v>0 Months</v>
      </c>
      <c r="GG29" s="31" t="str" cm="1">
        <f t="array" ref="GG29">_xll.ASAssetInfo($A29,"Fund Level Gate")</f>
        <v/>
      </c>
      <c r="GH29" s="31" t="str" cm="1">
        <f t="array" ref="GH29">_xll.ASAssetInfo($A29,"Fund Level Gate Frequency")</f>
        <v>Unknown</v>
      </c>
      <c r="GI29" s="35" cm="1">
        <f t="array" ref="GI29">_xll.ASAssetInfo($A29,"Payment 2 (%)")</f>
        <v>0</v>
      </c>
      <c r="GJ29" s="35" t="str" cm="1">
        <f t="array" ref="GJ29">_xll.ASAssetInfo($A29,"Payment 2 (days)")</f>
        <v/>
      </c>
      <c r="GK29" s="35" t="str" cm="1">
        <f t="array" ref="GK29">_xll.ASAssetInfo($A29,"Payment 2 (Paid After)")</f>
        <v>NAV Date</v>
      </c>
      <c r="GL29" s="35" cm="1">
        <f t="array" ref="GL29">_xll.ASAssetInfo($A29,"Payment 3 (%)")</f>
        <v>0</v>
      </c>
      <c r="GM29" s="36" t="str" cm="1">
        <f t="array" ref="GM29">_xll.ASAssetInfo($A29,"Payment 3 (Days)")</f>
        <v/>
      </c>
      <c r="GN29" s="35" t="str" cm="1">
        <f t="array" ref="GN29">_xll.ASAssetInfo($A29,"Payment 3 (Paid After)")</f>
        <v>NAV Date</v>
      </c>
      <c r="GO29" s="35" cm="1">
        <f t="array" ref="GO29">_xll.ASAssetInfo($A29,"Payment 4 (%)")</f>
        <v>0</v>
      </c>
      <c r="GP29" s="36" t="str" cm="1">
        <f t="array" ref="GP29">_xll.ASAssetInfo($A29,"Payment 4 (days)")</f>
        <v/>
      </c>
      <c r="GQ29" s="35" t="str" cm="1">
        <f t="array" ref="GQ29">_xll.ASAssetInfo($A29,"Payment 4 (Paid After)")</f>
        <v>NAV Date</v>
      </c>
      <c r="GR29" s="11" cm="1">
        <f t="array" ref="GR29">_xll.ASAssetInfo($A29,"Payment 1 (%)")</f>
        <v>1</v>
      </c>
      <c r="GS29" s="35" cm="1">
        <f t="array" ref="GS29">_xll.ASAssetInfo($A29,"Lockup 1 Fee")</f>
        <v>0</v>
      </c>
      <c r="GT29" s="35" cm="1">
        <f t="array" ref="GT29">_xll.ASAssetInfo($A29,"Lockup 2 Fee")</f>
        <v>0</v>
      </c>
      <c r="GU29" s="35" cm="1">
        <f t="array" ref="GU29">_xll.ASAssetInfo($A29,"Lockup 3 Fee")</f>
        <v>0</v>
      </c>
      <c r="GV29" s="35" t="str" cm="1">
        <f t="array" ref="GV29">_xll.ASAssetInfo($A29,"Lockup 1 type")</f>
        <v>None</v>
      </c>
      <c r="GW29" s="35" t="str" cm="1">
        <f t="array" ref="GW29">_xll.ASAssetInfo($A29,"Lockup 2 type")</f>
        <v>None</v>
      </c>
      <c r="GX29" s="35" t="str" cm="1">
        <f t="array" ref="GX29">_xll.ASAssetInfo($A29,"Lockup 3 type")</f>
        <v>None</v>
      </c>
      <c r="GY29" s="35" t="str" cm="1">
        <f t="array" ref="GY29">_xll.ASAssetInfo($A29,"Redemption 1 type")</f>
        <v>Calendar</v>
      </c>
      <c r="GZ29" s="35" t="str" cm="1">
        <f t="array" ref="GZ29">_xll.ASAssetInfo($A29,"Redemption 2 type")</f>
        <v>Calendar</v>
      </c>
      <c r="HA29" s="35" t="str" cm="1">
        <f t="array" ref="HA29">_xll.ASAssetInfo($A29,"Redemption 3 type")</f>
        <v>Calendar</v>
      </c>
      <c r="HB29" s="35" t="str" cm="1">
        <f t="array" ref="HB29">_xll.ASAssetInfo($A29,"Redemption 1 Fee")</f>
        <v/>
      </c>
      <c r="HC29" s="35" t="str" cm="1">
        <f t="array" ref="HC29">_xll.ASAssetInfo($A29,"Redemption 2 Fee")</f>
        <v/>
      </c>
      <c r="HD29" s="35" t="str" cm="1">
        <f t="array" ref="HD29">_xll.ASAssetInfo($A29,"Redemption 3 Fee")</f>
        <v/>
      </c>
      <c r="HE29" s="35" t="str" cm="1">
        <f t="array" ref="HE29">_xll.ASAssetInfo($A29,"Redemption 1 Frequency")</f>
        <v>Daily</v>
      </c>
      <c r="HF29" s="35" t="str" cm="1">
        <f t="array" ref="HF29">_xll.ASAssetInfo($A29,"Redemption 2 Frequency")</f>
        <v>Unknown</v>
      </c>
      <c r="HG29" s="35" t="str" cm="1">
        <f t="array" ref="HG29">_xll.ASAssetInfo($A29,"Redemption 3 Frequency")</f>
        <v>Unknown</v>
      </c>
      <c r="HH29" s="35" t="str" cm="1">
        <f t="array" ref="HH29">_xll.ASAssetInfo($A29,"Asset Calendar")</f>
        <v>[Default]</v>
      </c>
      <c r="HI29" s="16" cm="1">
        <f t="array" ref="HI29">_xll.ASAssetStatistic($A29,"Max Second Drawdown",,,,"m",'PBA Summary'!$F$2,'PBA Summary'!$G$2)</f>
        <v>-7.8099958449575735E-2</v>
      </c>
      <c r="HJ29" s="37" cm="1">
        <f t="array" ref="HJ29">_xll.ASAssetStatistic($A29,"Date Max Second Drawdown",,,,"m",'PBA Summary'!$F$2,'PBA Summary'!$G$2)</f>
        <v>43465</v>
      </c>
      <c r="HK29" s="37"/>
      <c r="HL29" s="37" t="str" cm="1">
        <f t="array" ref="HL29">_xll.ASAssetInfo($A29,HL$1)</f>
        <v/>
      </c>
      <c r="HM29" s="34" t="str" cm="1">
        <f t="array" ref="HM29">_xll.ASAssetInfo($A29,HM$1)</f>
        <v/>
      </c>
      <c r="HN29" s="37" t="str" cm="1">
        <f t="array" ref="HN29">_xll.ASAssetInfo($A29,HN$1)</f>
        <v/>
      </c>
      <c r="HO29" s="15" cm="1">
        <f t="array" ref="HO29">_xll.ASAssetInfo($A29,HO$1)</f>
        <v>0</v>
      </c>
      <c r="HP29" s="15" t="str" cm="1">
        <f t="array" ref="HP29">_xll.ASAssetInfo($A29,HP$1)</f>
        <v/>
      </c>
      <c r="HQ29" s="34" t="str" cm="1">
        <f t="array" ref="HQ29">_xll.ASAssetInfo($A29,HQ$1)</f>
        <v/>
      </c>
      <c r="HR29" s="37" t="str" cm="1">
        <f t="array" ref="HR29">_xll.ASAssetInfo($A29,HR$1)</f>
        <v/>
      </c>
      <c r="HS29" s="37" t="str" cm="1">
        <f t="array" ref="HS29">_xll.ASAssetInfo($A29,HS$1)</f>
        <v/>
      </c>
      <c r="HT29" s="37" t="str" cm="1">
        <f t="array" ref="HT29">_xll.ASAssetInfo($A29,HT$1)</f>
        <v/>
      </c>
      <c r="HU29" s="37" t="str" cm="1">
        <f t="array" ref="HU29">_xll.ASAssetInfo($A29,HU$1)</f>
        <v>Americas</v>
      </c>
      <c r="HV29" s="37" t="str" cm="1">
        <f t="array" ref="HV29">_xll.ASAssetInfo($A29,HV$1)</f>
        <v>Thematic</v>
      </c>
      <c r="HW29" s="37" t="str" cm="1">
        <f t="array" ref="HW29">_xll.ASAssetInfo($A29,HW$1)</f>
        <v/>
      </c>
    </row>
    <row r="30" spans="1:231" s="11" customFormat="1" x14ac:dyDescent="0.25">
      <c r="A30" t="s">
        <v>299</v>
      </c>
      <c r="B30" cm="1">
        <f t="array" ref="B30">_xll.ASPortfolioWeights('PBA Summary'!$C$2,"OR",$A30)</f>
        <v>0</v>
      </c>
      <c r="C30" cm="1">
        <f t="array" ref="C30">_xll.ASAssetStatistic($A30,"Annualized Return since inception",,,,"m",_xll.ASAssetInfo($A30,"Start Date"),_xll.ASAssetInfo($A30,"Last Return Date"))</f>
        <v>0.12923505088331155</v>
      </c>
      <c r="D30" cm="1">
        <f t="array" ref="D30">_xll.ASAssetStatistic($A30,"Annualized Return",,,,"m",'PBA Summary'!$F$2,'PBA Summary'!$G$2)</f>
        <v>0.17012090288034365</v>
      </c>
      <c r="E30" s="19" cm="1">
        <f t="array" ref="E30">_xll.ASAssetStatistic($A30,"Equilibrium Annual Return",,,,"m",'PBA Summary'!$F$2,'PBA Summary'!$G$2)</f>
        <v>8.748660524408014E-2</v>
      </c>
      <c r="F30" cm="1">
        <f t="array" ref="F30">_xll.ASAssetStatistic($A30,"Annualized Volatility (Inception)",,,,"m",_xll.ASAssetInfo($A30,"Start Date"),_xll.ASAssetInfo($A30,"Last Return Date"))</f>
        <v>0.12979128775113188</v>
      </c>
      <c r="G30" cm="1">
        <f t="array" ref="G30">_xll.ASAssetStatistic($A30,"Annualized Volatility",,,,"m",'PBA Summary'!$F$2,'PBA Summary'!$G$2)</f>
        <v>0.144508034401511</v>
      </c>
      <c r="H30" s="20" cm="1">
        <f t="array" ref="H30">_xll.ASAssetStatistic($A30,"Skewness",,,,"m",'PBA Summary'!$F$2,'PBA Summary'!$G$2)</f>
        <v>-1.0073358593615409</v>
      </c>
      <c r="I30" s="20" cm="1">
        <f t="array" ref="I30">_xll.ASAssetStatistic($A30,"Excess kurtosis",,,,"m",'PBA Summary'!$F$2,'PBA Summary'!$G$2)</f>
        <v>1.0722432722989117</v>
      </c>
      <c r="J30" s="19" cm="1">
        <f t="array" ref="J30">_xll.ASAssetStatistic($A30,"Return Last 1 month",,,,"m",'PBA Summary'!$F$2,'PBA Summary'!$G$2)</f>
        <v>6.1192631907589501E-3</v>
      </c>
      <c r="K30" s="19" cm="1">
        <f t="array" ref="K30">_xll.ASAssetStatistic($A30,"Return Last 3 months",,,,"m",'PBA Summary'!$F$2,'PBA Summary'!$G$2)</f>
        <v>7.3949411803913234E-2</v>
      </c>
      <c r="L30" s="19" cm="1">
        <f t="array" ref="L30">_xll.ASAssetStatistic($A30,"Return Last 1 year",,,,"m",'PBA Summary'!$F$2,'PBA Summary'!$G$2)</f>
        <v>0.21938852731950753</v>
      </c>
      <c r="M30" s="19" cm="1">
        <f t="array" ref="M30">_xll.ASAssetStatistic($A30,"Year-to-date Return",,,,"m",'PBA Summary'!$F$2,'PBA Summary'!$G$2)</f>
        <v>6.1192631907589501E-3</v>
      </c>
      <c r="N30" s="19" cm="1">
        <f t="array" ref="N30">_xll.ASAssetStatistic($A30,"Annualized Return",,,,"m",EOMONTH('PBA Summary'!$G$2,-2),'PBA Summary'!$G$2)</f>
        <v>0.33025621893484236</v>
      </c>
      <c r="O30" s="19" t="str" cm="1">
        <f t="array" ref="O30">_xll.ASAssetStatistic($A30,"Annualized Return Last 3 years",,,,"m",'PBA Summary'!$F$2,'PBA Summary'!$G$2)</f>
        <v/>
      </c>
      <c r="P30" s="19" t="str" cm="1">
        <f t="array" ref="P30">_xll.ASAssetStatistic($A30,"Annualized Return Last 5 years",,,,"m",'PBA Summary'!$F$2,'PBA Summary'!$G$2)</f>
        <v/>
      </c>
      <c r="Q30" s="19" cm="1">
        <f t="array" ref="Q30">_xll.ASAssetStatistic($A30,"Annualized Volatility Last 1 year",,,,"m",'PBA Summary'!$F$2,'PBA Summary'!$G$2)</f>
        <v>0.10965586718361839</v>
      </c>
      <c r="R30" s="19" t="str" cm="1">
        <f t="array" ref="R30">_xll.ASAssetStatistic($A30,"Annualized Volatility Last 3 years",,,,"m",'PBA Summary'!$F$2,'PBA Summary'!$G$2)</f>
        <v/>
      </c>
      <c r="S30" s="19" t="str" cm="1">
        <f t="array" ref="S30">_xll.ASAssetStatistic($A30,"Annualized Volatility Last 5 years",,,,"m",'PBA Summary'!$F$2,'PBA Summary'!$G$2)</f>
        <v/>
      </c>
      <c r="T30" s="19" cm="1">
        <f t="array" ref="T30">_xll.ASAssetStatistic($A30,"Normal monthly VaR 99%",,,,"m",'PBA Summary'!$F$2,'PBA Summary'!$G$2)</f>
        <v>-8.3045322119829609E-2</v>
      </c>
      <c r="U30" s="19" cm="1">
        <f t="array" ref="U30">_xll.ASAssetStatistic($A30,"Modified monthly VaR 99%",,,,"m",'PBA Summary'!$F$2,'PBA Summary'!$G$2)</f>
        <v>-0.10847147037130563</v>
      </c>
      <c r="V30" s="19" cm="1">
        <f t="array" ref="V30">_xll.ASAssetStatistic($A30,"Conditional monthly VaR 99%",,,,"m",'PBA Summary'!$F$2,'PBA Summary'!$G$2)</f>
        <v>-8.194881005837451E-2</v>
      </c>
      <c r="W30" s="19" cm="1">
        <f t="array" ref="W30">_xll.ASAssetStatistic($A30,"Normal monthly VaR 97%",,,,"m",'PBA Summary'!$F$2,'PBA Summary'!$G$2)</f>
        <v>-6.4458635487557564E-2</v>
      </c>
      <c r="X30" s="19" cm="1">
        <f t="array" ref="X30">_xll.ASAssetStatistic($A30,"Modified monthly VaR 97%",,,,"m",'PBA Summary'!$F$2,'PBA Summary'!$G$2)</f>
        <v>-7.952491039983503E-2</v>
      </c>
      <c r="Y30" s="19" cm="1">
        <f t="array" ref="Y30">_xll.ASAssetStatistic($A30,"Conditional monthly VaR 97%",,,,"m",'PBA Summary'!$F$2,'PBA Summary'!$G$2)</f>
        <v>-8.194881005837451E-2</v>
      </c>
      <c r="Z30" s="19" cm="1">
        <f t="array" ref="Z30">_xll.ASAssetStatistic($A30,"Normal monthly VaR 95%",,,,"m",'PBA Summary'!$F$2,'PBA Summary'!$G$2)</f>
        <v>-5.4616192422112547E-2</v>
      </c>
      <c r="AA30" s="19" cm="1">
        <f t="array" ref="AA30">_xll.ASAssetStatistic($A30,"Modified monthly VaR 95%",,,,"m",'PBA Summary'!$F$2,'PBA Summary'!$G$2)</f>
        <v>-6.4863469737157856E-2</v>
      </c>
      <c r="AB30" s="19" cm="1">
        <f t="array" ref="AB30">_xll.ASAssetStatistic($A30,"Conditional monthly VaR 95%",,,,"m",'PBA Summary'!$F$2,'PBA Summary'!$G$2)</f>
        <v>-8.194881005837451E-2</v>
      </c>
      <c r="AC30" s="66" cm="1">
        <f t="array" ref="AC30">_xll.ASAssetStatistic($A30,"Correlation to Benchmark 1","MSCI ACWI Index",,,"m",'PBA Summary'!$F$2,'PBA Summary'!$G$2)</f>
        <v>0.96573151940115487</v>
      </c>
      <c r="AD30" s="38" cm="1">
        <f t="array" ref="AD30">IF('PBA Summary'!$D$3="","",_xll.ASAssetStatistic($A30,"Correlation to Benchmark 1",'PBA Summary'!$D$3,,,"m",'PBA Summary'!$F$2,'PBA Summary'!$G$2))</f>
        <v>0.98530106855580057</v>
      </c>
      <c r="AE30" s="21" cm="1">
        <f t="array" ref="AE30">IF('PBA Summary'!$D$2="","",_xll.ASAssetStatistic($A30,"Bull correlation to Benchmark 1",'PBA Summary'!$D$2,,,"m",'PBA Summary'!$F$2,'PBA Summary'!$G$2))</f>
        <v>0.94711804067863503</v>
      </c>
      <c r="AF30" s="21" cm="1">
        <f t="array" ref="AF30">IF('PBA Summary'!$D$2="","",_xll.ASAssetStatistic($A30,"Bear correlation to Benchmark 1",'PBA Summary'!$D$2,,,"m",'PBA Summary'!$F$2,'PBA Summary'!$G$2))</f>
        <v>0.97008728872431238</v>
      </c>
      <c r="AG30" s="21" cm="1">
        <f t="array" ref="AG30">IF('PBA Summary'!$D$3="","",_xll.ASAssetStatistic($A30,"Bull correlation to Benchmark 1",'PBA Summary'!$D$3,,,"m",'PBA Summary'!$F$2,'PBA Summary'!$G$2))</f>
        <v>0.94711804067863503</v>
      </c>
      <c r="AH30" s="21" cm="1">
        <f t="array" ref="AH30">IF('PBA Summary'!$D$3="","",_xll.ASAssetStatistic($A30,"Bear correlation to Benchmark 1",'PBA Summary'!$D$3,,,"m",'PBA Summary'!$F$2,'PBA Summary'!$G$2))</f>
        <v>0.97008728872431238</v>
      </c>
      <c r="AI30" s="24" cm="1">
        <f t="array" ref="AI30">IF('PBA Summary'!$D$2="","",_xll.ASAssetStatistic($A30,"Beta to Benchmark 1",'PBA Summary'!$D$2,,,"m",'PBA Summary'!$F$2,'PBA Summary'!$G$2))</f>
        <v>0.92743755945283934</v>
      </c>
      <c r="AJ30" s="24" t="str" cm="1">
        <f t="array" ref="AJ30">IF('PBA Summary'!$D$2="","",_xll.ASAssetStatistic($A30,"Beta to Benchmark 1 Last 3 years",'PBA Summary'!$D$2,,,"m",'PBA Summary'!$F$2,'PBA Summary'!$G$2))</f>
        <v/>
      </c>
      <c r="AK30" s="24" t="str" cm="1">
        <f t="array" ref="AK30">IF('PBA Summary'!$D$2="","",_xll.ASAssetStatistic($A30,"Beta to Benchmark 1 Last 5 years",'PBA Summary'!$D$2,,,"m",'PBA Summary'!$F$2,'PBA Summary'!$G$2))</f>
        <v/>
      </c>
      <c r="AL30" s="25" cm="1">
        <f t="array" ref="AL30">IF('PBA Summary'!$D$3="","",_xll.ASAssetStatistic($A30,"Beta to Benchmark 1",'PBA Summary'!$D$3,,,"m",'PBA Summary'!$F$2,'PBA Summary'!$G$2))</f>
        <v>0.92743755945283934</v>
      </c>
      <c r="AM30" s="25" t="str" cm="1">
        <f t="array" ref="AM30">IF('PBA Summary'!$D$3="","",_xll.ASAssetStatistic($A30,"Beta to Benchmark 1 Last 3 years",'PBA Summary'!$D$3,,,"m",'PBA Summary'!$F$2,'PBA Summary'!$G$2))</f>
        <v/>
      </c>
      <c r="AN30" s="25" t="str" cm="1">
        <f t="array" ref="AN30">IF('PBA Summary'!$D$3="","",_xll.ASAssetStatistic($A30,"Beta to Benchmark 1 Last 5 years",'PBA Summary'!$D$3,,,"m",'PBA Summary'!$F$2,'PBA Summary'!$G$2))</f>
        <v/>
      </c>
      <c r="AO30" s="25" cm="1">
        <f t="array" ref="AO30">IF('PBA Summary'!$D$2="","",_xll.ASAssetStatistic($A30,"Bull Beta to Benchmark 1",'PBA Summary'!$D$2,,,"m",'PBA Summary'!$F$2,'PBA Summary'!$G$2))</f>
        <v>0.89690091162550478</v>
      </c>
      <c r="AP30" s="25" cm="1">
        <f t="array" ref="AP30">IF('PBA Summary'!$D$2="","",_xll.ASAssetStatistic($A30,"Bear Beta to Benchmark 1",'PBA Summary'!$D$2,,,"m",'PBA Summary'!$F$2,'PBA Summary'!$G$2))</f>
        <v>0.87499039210291718</v>
      </c>
      <c r="AQ30" s="25" cm="1">
        <f t="array" ref="AQ30">IF('PBA Summary'!$D$3="","",_xll.ASAssetStatistic($A30,"Bull Beta to Benchmark 1",'PBA Summary'!$D$3,,,"m",'PBA Summary'!$F$2,'PBA Summary'!$G$2))</f>
        <v>0.89690091162550478</v>
      </c>
      <c r="AR30" s="25" cm="1">
        <f t="array" ref="AR30">IF('PBA Summary'!$D$3="","",_xll.ASAssetStatistic($A30,"Bear Beta to Benchmark 1",'PBA Summary'!$D$3,,,"m",'PBA Summary'!$F$2,'PBA Summary'!$G$2))</f>
        <v>0.87499039210291718</v>
      </c>
      <c r="AS30" s="25" cm="1">
        <f t="array" ref="AS30">_xll.ASAssetStatistic($A30,"Annual Sharpe Ratio (Rf)",,,'PBA Summary'!$H$2,"m",'PBA Summary'!$F$2,'PBA Summary'!$G$2)</f>
        <v>1.1599417539277732</v>
      </c>
      <c r="AT30" s="25" t="str" cm="1">
        <f t="array" ref="AT30">_xll.ASAssetStatistic($A30,"Annual Sharpe Ratio (Rf) Last 3 years",,,'PBA Summary'!$H$2,"m",'PBA Summary'!$F$2,'PBA Summary'!$G$2)</f>
        <v/>
      </c>
      <c r="AU30" s="25" t="str" cm="1">
        <f t="array" ref="AU30">_xll.ASAssetStatistic($A30,"Annual Sharpe Ratio (Rf) Last 5 years",,,'PBA Summary'!$H$2,"m",'PBA Summary'!$F$2,'PBA Summary'!$G$2)</f>
        <v/>
      </c>
      <c r="AV30" s="18" cm="1">
        <f t="array" ref="AV30">_xll.ASAssetStatistic($A30,"Ann. Downside Deviation (vs 0%)",,,'PBA Summary'!$H$2,"m",'PBA Summary'!$F$2,'PBA Summary'!$G$2)</f>
        <v>9.213460930510195E-2</v>
      </c>
      <c r="AW30" s="18" cm="1">
        <f t="array" ref="AW30">_xll.ASAssetStatistic($A30,"Ann. Downside Deviation (vs Rf)",,,'PBA Summary'!$H$2,"m",'PBA Summary'!$F$2,'PBA Summary'!$G$2)</f>
        <v>9.2435048446461596E-2</v>
      </c>
      <c r="AX30" s="39" cm="1">
        <f t="array" ref="AX30">_xll.ASAssetStatistic($A30,"Annual Treynor ratio",,,'PBA Summary'!$H$2,"m",'PBA Summary'!$F$2,'PBA Summary'!$G$2)</f>
        <v>0.18076791067973078</v>
      </c>
      <c r="AY30" s="26" cm="1">
        <f t="array" ref="AY30">_xll.ASAssetStatistic($A30,"Annual Sortino Ratio (vs 0%)",,,'PBA Summary'!$H$2,"m",'PBA Summary'!$F$2,'PBA Summary'!$G$2)</f>
        <v>1.8464386419330396</v>
      </c>
      <c r="AZ30" s="26" cm="1">
        <f t="array" ref="AZ30">_xll.ASAssetStatistic($A30,"Annual Sortino Ratio (vs Rf)",,,'PBA Summary'!$H$2,"m",'PBA Summary'!$F$2,'PBA Summary'!$G$2)</f>
        <v>1.8133911941143162</v>
      </c>
      <c r="BA30" s="26" cm="1">
        <f t="array" ref="BA30">_xll.ASAssetStatistic($A30,"Sterling ratio",,,'PBA Summary'!$H$2,"m",'PBA Summary'!$F$2,'PBA Summary'!$G$2)</f>
        <v>1.0958195542398543</v>
      </c>
      <c r="BB30" s="26" cm="1">
        <f t="array" ref="BB30">_xll.ASAssetStatistic($A30,"Calmar ratio",,,'PBA Summary'!$H$2,"m",'PBA Summary'!$F$2,'PBA Summary'!$G$2)</f>
        <v>2.0759410998056178</v>
      </c>
      <c r="BC30" s="26" cm="1">
        <f t="array" ref="BC30">_xll.ASAssetStatistic($A30,"Hurst index",,,'PBA Summary'!$H$2,"m",'PBA Summary'!$F$2,'PBA Summary'!$G$2)</f>
        <v>0.35736738924615524</v>
      </c>
      <c r="BD30" s="26" cm="1">
        <f t="array" ref="BD30">_xll.ASAssetStatistic($A30,"Omega (Threshold 1)",,,'PBA Summary'!$H$2,"m",'PBA Summary'!$F$2,'PBA Summary'!$G$2)</f>
        <v>2.263306371698099</v>
      </c>
      <c r="BE30" s="26" cm="1">
        <f t="array" ref="BE30">_xll.ASAssetStatistic($A30,"Omega (Threshold 2)",,,'PBA Summary'!$H$2,"m",'PBA Summary'!$F$2,'PBA Summary'!$G$2)</f>
        <v>1.7449186896531483</v>
      </c>
      <c r="BF30" s="26" cm="1">
        <f t="array" ref="BF30">_xll.ASAssetStatistic($A30,"Omega (Threshold 3)",,,'PBA Summary'!$H$2,"m",'PBA Summary'!$F$2,'PBA Summary'!$G$2)</f>
        <v>1.2986790885669446</v>
      </c>
      <c r="BG30" s="26" cm="1">
        <f t="array" ref="BG30">_xll.ASAssetStatistic($A30,"Omega (Threshold 4)",,,'PBA Summary'!$H$2,"m",'PBA Summary'!$F$2,'PBA Summary'!$G$2)</f>
        <v>0.9336254513293093</v>
      </c>
      <c r="BH30" s="26" cm="1">
        <f t="array" ref="BH30">_xll.ASAssetStatistic($A30,"Omega (Threshold 5)",,,'PBA Summary'!$H$2,"m",'PBA Summary'!$F$2,'PBA Summary'!$G$2)</f>
        <v>0.65161068400168354</v>
      </c>
      <c r="BI30" s="26" t="str" cm="1">
        <f t="array" ref="BI30">_xll.ASAssetStatistic($A30,"Autocorrelated (illiquid)",,,'PBA Summary'!$H$2,"m",'PBA Summary'!$F$2,'PBA Summary'!$G$2)</f>
        <v>No</v>
      </c>
      <c r="BJ30" s="27" cm="1">
        <f t="array" ref="BJ30">_xll.ASAssetStatistic($A30,"% months in Run Up",,,'PBA Summary'!$H$2,"m",'PBA Summary'!$F$2,'PBA Summary'!$G$2)</f>
        <v>0.8</v>
      </c>
      <c r="BK30" s="27" cm="1">
        <f t="array" ref="BK30">_xll.ASAssetStatistic($A30,"% months in Drawdown",,,'PBA Summary'!$H$2,"m",'PBA Summary'!$F$2,'PBA Summary'!$G$2)</f>
        <v>0.2</v>
      </c>
      <c r="BL30" s="18" cm="1">
        <f t="array" ref="BL30">IF('PBA Summary'!$D$2="","",_xll.ASAssetStatistic($A30,"Bull Beta to Benchmark 1",'PBA Summary'!$D$2,,,"m",'PBA Summary'!$F$2,'PBA Summary'!$G$2))</f>
        <v>0.89690091162550478</v>
      </c>
      <c r="BM30" s="18" cm="1">
        <f t="array" ref="BM30">IF('PBA Summary'!$D$2="","",_xll.ASAssetStatistic($A30,"Average return during bear Benchmark 1",'PBA Summary'!$D$2,,,"m",'PBA Summary'!$F$2,'PBA Summary'!$G$2))</f>
        <v>-4.0028743235221875E-2</v>
      </c>
      <c r="BN30" s="18" cm="1">
        <f t="array" ref="BN30">IF('PBA Summary'!$D$3="","",_xll.ASAssetStatistic($A30,"Average return during bull Benchmark 1",'PBA Summary'!$D$3,,,"m",'PBA Summary'!$F$2,'PBA Summary'!$G$2))</f>
        <v>3.3647249330942076E-2</v>
      </c>
      <c r="BO30" s="18" cm="1">
        <f t="array" ref="BO30">IF('PBA Summary'!$D$3="","",_xll.ASAssetStatistic($A30,"Average return during bear Benchmark 1",'PBA Summary'!$D$3,,,"m",'PBA Summary'!$F$2,'PBA Summary'!$G$2))</f>
        <v>-4.0028743235221875E-2</v>
      </c>
      <c r="BP30" s="27" cm="1">
        <f t="array" ref="BP30">_xll.ASAssetStatistic($A30,"Maximum consecutive gain",,,'PBA Summary'!$H$2,"m",'PBA Summary'!$F$2,'PBA Summary'!$G$2)</f>
        <v>0.17530773620281948</v>
      </c>
      <c r="BQ30" s="27" cm="1">
        <f t="array" ref="BQ30">_xll.ASAssetStatistic($A30,"Maximum consecutive loss",,,'PBA Summary'!$H$2,"m",'PBA Summary'!$F$2,'PBA Summary'!$G$2)</f>
        <v>-8.194881005837451E-2</v>
      </c>
      <c r="BR30" s="27" cm="1">
        <f t="array" ref="BR30">_xll.ASAssetStatistic($A30,"Max monthly gain",,,'PBA Summary'!$H$2,"m",'PBA Summary'!$F$2,'PBA Summary'!$G$2)</f>
        <v>7.7198989157903242E-2</v>
      </c>
      <c r="BS30" s="27" cm="1">
        <f t="array" ref="BS30">_xll.ASAssetStatistic($A30,"Max monthly loss",,,'PBA Summary'!$H$2,"m",'PBA Summary'!$F$2,'PBA Summary'!$G$2)</f>
        <v>-8.194881005837451E-2</v>
      </c>
      <c r="BT30" s="27" cm="1">
        <f t="array" ref="BT30">_xll.ASAssetStatistic($A30,"Max drawdown",,,'PBA Summary'!$H$2,"m",'PBA Summary'!$F$2,'PBA Summary'!$G$2)</f>
        <v>-8.194881005837451E-2</v>
      </c>
      <c r="BU30" s="28" cm="1">
        <f t="array" ref="BU30">_xll.ASAssetStatistic($A30,"Date Max drawdown",,,'PBA Summary'!$H$2,"m",'PBA Summary'!$F$2,'PBA Summary'!$G$2)</f>
        <v>43465</v>
      </c>
      <c r="BV30" s="28" cm="1">
        <f t="array" ref="BV30">_xll.ASAssetStatistic($A30,"Start Date Max Drawdown",,,'PBA Summary'!$H$2,"m",'PBA Summary'!$F$2,'PBA Summary'!$G$2)</f>
        <v>43465</v>
      </c>
      <c r="BW30" s="28" cm="1">
        <f t="array" ref="BW30">_xll.ASAssetStatistic($A30,"End Date Max Drawdown",,,'PBA Summary'!$H$2,"m",'PBA Summary'!$F$2,'PBA Summary'!$G$2)</f>
        <v>43496</v>
      </c>
      <c r="BX30" s="29" cm="1">
        <f t="array" ref="BX30">_xll.ASAssetStatistic($A30,"Max Time-under-water (months)",,,'PBA Summary'!$H$2,"m",'PBA Summary'!$F$2,'PBA Summary'!$G$2)</f>
        <v>2</v>
      </c>
      <c r="BY30" s="27" cm="1">
        <f t="array" ref="BY30">_xll.ASAssetStatistic($A30,"Max possible drawdown 99%",,,'PBA Summary'!$H$2,"m",'PBA Summary'!$F$2,'PBA Summary'!$G$2)</f>
        <v>-0.16817218501494344</v>
      </c>
      <c r="BZ30" s="27" cm="1">
        <f t="array" ref="BZ30">_xll.ASAssetStatistic($A30,"Max possible drawdown 99.9%",,,'PBA Summary'!$H$2,"m",'PBA Summary'!$F$2,'PBA Summary'!$G$2)</f>
        <v>-0.29674752640312796</v>
      </c>
      <c r="CA30" s="30" cm="1">
        <f t="array" ref="CA30">_xll.ASAssetStatistic($A30,"Max Possible Time-under-water 99% (months)",,,'PBA Summary'!$H$2,"m",'PBA Summary'!$F$2,'PBA Summary'!$G$2)</f>
        <v>48.048104408943885</v>
      </c>
      <c r="CB30" s="30" cm="1">
        <f t="array" ref="CB30">_xll.ASAssetStatistic($A30,"Max Possible Time-under-water 99.9% (months)",,,'PBA Summary'!$H$2,"m",'PBA Summary'!$F$2,'PBA Summary'!$G$2)</f>
        <v>84.783081877935842</v>
      </c>
      <c r="CC30" s="17" cm="1">
        <f t="array" ref="CC30">_xll.ASPortfolioReturnAttribution('PBA Summary'!$C$2,"OR",A30,"Last 1m",'PBA Summary'!$F$2,'PBA Summary'!$G$2)</f>
        <v>0</v>
      </c>
      <c r="CD30" s="11" t="str" cm="1">
        <f t="array" ref="CD30">_xll.ASAssetInfo($A30,"Strategy")</f>
        <v>Funds - Equities Long Only</v>
      </c>
      <c r="CE30" s="14" cm="1">
        <f t="array" ref="CE30">_xll.ASAssetInfo($A30,"Start Date")</f>
        <v>40437</v>
      </c>
      <c r="CF30" s="14" t="str" cm="1">
        <f t="array" ref="CF30">_xll.ASAssetRatings($A30,"Quantitative",0,0,0,0,0,'PBA Summary'!$F$2,'PBA Summary'!$G$2)</f>
        <v/>
      </c>
      <c r="CG30" s="14" t="str" cm="1">
        <f t="array" ref="CG30">_xll.ASAssetRatings($A30,"Qualitative",0,0,0,0,0,'PBA Summary'!$F$2,'PBA Summary'!$G$2)</f>
        <v/>
      </c>
      <c r="CH30" s="14" t="str" cm="1">
        <f t="array" ref="CH30">_xll.ASAssetRatings($A30,"Final",0,0,0,0,0,'PBA Summary'!$F$2,'PBA Summary'!$G$2)</f>
        <v/>
      </c>
      <c r="CI30" s="14" cm="1">
        <f t="array" ref="CI30">_xll.ASAssetInfo($A30,"Last Return Date")</f>
        <v>44134</v>
      </c>
      <c r="CJ30" s="14" t="str" cm="1">
        <f t="array" ref="CJ30">_xll.ASAssetInfo($A30,"Company Name")</f>
        <v>iShares ETFs/Ireland</v>
      </c>
      <c r="CK30" s="14" t="str" cm="1">
        <f t="array" ref="CK30">_xll.ASAssetInfo($A30,"Manager Name")</f>
        <v/>
      </c>
      <c r="CL30" s="14" t="str" cm="1">
        <f t="array" ref="CL30">_xll.ASAssetInfo($A30,"Address")</f>
        <v>BlackRock Inc. JP Morgan House. International Financial Services Ctr. Dublin 1. Ireland</v>
      </c>
      <c r="CM30" s="14" t="str" cm="1">
        <f t="array" ref="CM30">_xll.ASAssetInfo($A30,"Phone Number")</f>
        <v>+44-20-7668-8007 Tel</v>
      </c>
      <c r="CN30" s="14" t="str" cm="1">
        <f t="array" ref="CN30">_xll.ASAssetInfo($A30,"Email")</f>
        <v/>
      </c>
      <c r="CO30" s="14" t="str" cm="1">
        <f t="array" ref="CO30">_xll.ASAssetInfo($A30,"Asset Type")</f>
        <v>Equities</v>
      </c>
      <c r="CP30" s="14" t="str" cm="1">
        <f t="array" ref="CP30">_xll.ASAssetInfo($A30,"Proprietary ID")</f>
        <v/>
      </c>
      <c r="CQ30" s="14" t="str" cm="1">
        <f t="array" ref="CQ30">_xll.ASAssetInfo($A30,"Country")</f>
        <v>Ireland</v>
      </c>
      <c r="CR30" s="14" t="str" cm="1">
        <f t="array" ref="CR30">_xll.ASAssetInfo($A30,"Currency")</f>
        <v>USD</v>
      </c>
      <c r="CS30" s="14" t="str" cm="1">
        <f t="array" ref="CS30">_xll.ASAssetInfo($A30,"Sub-Strategy")</f>
        <v/>
      </c>
      <c r="CT30" s="31" cm="1">
        <f t="array" ref="CT30">_xll.ASAssetInfo($A30,"Fund AUM (m)")</f>
        <v>40659.796875</v>
      </c>
      <c r="CU30" s="31" t="str" cm="1">
        <f t="array" ref="CU30">_xll.ASAssetInfo($A30,"Status")</f>
        <v>Unknown</v>
      </c>
      <c r="CV30" s="31" t="str" cm="1">
        <f t="array" ref="CV30">_xll.ASAssetInfo($A30,"Redemption 1 Frequency")</f>
        <v>Daily</v>
      </c>
      <c r="CW30" s="31" t="str" cm="1">
        <f t="array" ref="CW30">_xll.ASAssetInfo($A30,"Redemption 2 Frequency")</f>
        <v>Unknown</v>
      </c>
      <c r="CX30" s="31" t="str" cm="1">
        <f t="array" ref="CX30">_xll.ASAssetInfo($A30,"Redemption 3 Frequency")</f>
        <v>Unknown</v>
      </c>
      <c r="CY30" s="31" t="str" cm="1">
        <f t="array" ref="CY30">_xll.ASAssetInfo($A30,"Notice Period")</f>
        <v/>
      </c>
      <c r="CZ30" s="15" t="str" cm="1">
        <f t="array" ref="CZ30">_xll.ASAssetInfo($A30,"Performance Fee")</f>
        <v/>
      </c>
      <c r="DA30" s="15" cm="1">
        <f t="array" ref="DA30">_xll.ASAssetInfo($A30,"Management Fee")</f>
        <v>7.000000000000001E-4</v>
      </c>
      <c r="DB30" s="15" t="str" cm="1">
        <f t="array" ref="DB30">_xll.ASAssetInfo($A30,"ISIN")</f>
        <v>IE00B5BMR087</v>
      </c>
      <c r="DC30" s="16" cm="1">
        <f t="array" ref="DC30">_xll.ASAssetStatistic($A30,"Return during " &amp;YEAR(EOMONTH('PBA Summary'!$G$2,-60)),,,,"M",DATE(YEAR(EOMONTH('PBA Summary'!$G$2,-60)),1,31),DATE(YEAR(EOMONTH('PBA Summary'!$G$2,-60)),12,31))</f>
        <v>5.0903938495432399E-3</v>
      </c>
      <c r="DD30" s="16" cm="1">
        <f t="array" ref="DD30">_xll.ASAssetStatistic($A30,"Return during " &amp;YEAR(EOMONTH('PBA Summary'!$G$2,-48)),,,,"M",DATE(YEAR(EOMONTH('PBA Summary'!$G$2,-48)),1,31),DATE(YEAR(EOMONTH('PBA Summary'!$G$2,-48)),12,31))</f>
        <v>0.11426706696253786</v>
      </c>
      <c r="DE30" s="16" cm="1">
        <f t="array" ref="DE30">_xll.ASAssetStatistic($A30,"Return during " &amp;YEAR(EOMONTH('PBA Summary'!$G$2,-36)),,,,"M",DATE(YEAR(EOMONTH('PBA Summary'!$G$2,-36)),1,31),DATE(YEAR(EOMONTH('PBA Summary'!$G$2,-36)),12,31))</f>
        <v>0.21599269012698552</v>
      </c>
      <c r="DF30" s="16" cm="1">
        <f t="array" ref="DF30">_xll.ASAssetStatistic($A30,"Return during " &amp;YEAR(EOMONTH('PBA Summary'!$G$2,-24)),,,,"M",DATE(YEAR(EOMONTH('PBA Summary'!$G$2,-24)),1,31),DATE(YEAR(EOMONTH('PBA Summary'!$G$2,-24)),12,31))</f>
        <v>-5.4584690083041787E-2</v>
      </c>
      <c r="DG30" s="16" cm="1">
        <f t="array" ref="DG30">_xll.ASAssetStatistic($A30,"Return during " &amp;YEAR(EOMONTH('PBA Summary'!$G$2,-12)),,,,"M",DATE(YEAR(EOMONTH('PBA Summary'!$G$2,-12)),1,31),DATE(YEAR(EOMONTH('PBA Summary'!$G$2,-12)),12,31))</f>
        <v>0.30553517567457145</v>
      </c>
      <c r="DH30" s="11" t="str" cm="1">
        <f t="array" ref="DH30">_xll.ASAssetInfo($A30,"Prime Broker")</f>
        <v/>
      </c>
      <c r="DI30" s="16" cm="1">
        <f t="array" ref="DI30">_xll.ASAssetStatistic($A30,"Return",,,,"m",'PBA Summary'!$F$2,'PBA Summary'!$G$2)</f>
        <v>0.21699395770392593</v>
      </c>
      <c r="DJ30" s="33" cm="1">
        <f t="array" ref="DJ30">IF('PBA Summary'!$D$2="","",_xll.ASAssetStatistic($A30,"Ann. Information Ratio vs Benchmark 1",'PBA Summary'!$D$2,,,"m",'PBA Summary'!$F$2,'PBA Summary'!$G$2))</f>
        <v>-8.0915189284569061E-2</v>
      </c>
      <c r="DK30" s="33" cm="1">
        <f t="array" ref="DK30">IF('PBA Summary'!$D$3="","",_xll.ASAssetStatistic($A30,"Ann. Information Ratio vs Benchmark 1",'PBA Summary'!$D$3,,,"m",'PBA Summary'!$F$2,'PBA Summary'!$G$2))</f>
        <v>-8.0915189284569061E-2</v>
      </c>
      <c r="DL30" s="33" cm="1">
        <f t="array" ref="DL30">IF('PBA Summary'!$D$2="","",_xll.ASAssetStatistic($A30,"Ann. Tracking Error vs Benchmark 1",'PBA Summary'!$D$2,,,"m",'PBA Summary'!$F$2,'PBA Summary'!$G$2))</f>
        <v>2.708306519084569E-2</v>
      </c>
      <c r="DM30" s="33" cm="1">
        <f t="array" ref="DM30">IF('PBA Summary'!$D$3="","",_xll.ASAssetStatistic($A30,"Ann. Tracking Error vs Benchmark 1",'PBA Summary'!$D$3,,,"m",'PBA Summary'!$F$2,'PBA Summary'!$G$2))</f>
        <v>2.708306519084569E-2</v>
      </c>
      <c r="DN30" s="33" cm="1">
        <f t="array" ref="DN30">IF('PBA Summary'!$D$2="","",_xll.ASAssetStatistic($A30,"R² vs Benchmark 1",'PBA Summary'!$D$2,,,"m",'PBA Summary'!$F$2,'PBA Summary'!$G$2))</f>
        <v>0.9708181956972024</v>
      </c>
      <c r="DO30" s="33" cm="1">
        <f t="array" ref="DO30">IF('PBA Summary'!$D$3="","",_xll.ASAssetStatistic($A30,"R² vs Benchmark 1",'PBA Summary'!$D$3,,,"m",'PBA Summary'!$F$2,'PBA Summary'!$G$2))</f>
        <v>0.9708181956972024</v>
      </c>
      <c r="DP30" s="11" t="str" cm="1">
        <f t="array" ref="DP30">_xll.ASAssetInfo($A30,"On-/Offshore")</f>
        <v>Unknown</v>
      </c>
      <c r="DQ30" s="16" cm="1">
        <f t="array" ref="DQ30">_xll.ASAssetStatistic($A30,"Quarter-to-date",,,,"m",'PBA Summary'!$F$2,'PBA Summary'!$G$2)</f>
        <v>6.1192631907589501E-3</v>
      </c>
      <c r="DR30" s="16" cm="1">
        <f t="array" ref="DR30">_xll.ASAssetStatistic($A30,"Annualized Return Since inception",,,,"m",'PBA Summary'!$F$2,'PBA Summary'!$G$2)</f>
        <v>0.12923505088331155</v>
      </c>
      <c r="DS30" s="16" cm="1">
        <f t="array" ref="DS30">IF('PBA Summary'!$D$2="","",_xll.ASAssetStatistic($A30,"Ann. Bear Market Return vs Benchmark 1",'PBA Summary'!$D$2,,,"m",'PBA Summary'!$F$2,'PBA Summary'!$G$2))</f>
        <v>-0.39171078760671818</v>
      </c>
      <c r="DT30" s="16" cm="1">
        <f t="array" ref="DT30">IF('PBA Summary'!$D$2="","",_xll.ASAssetStatistic($A30,"Ann. Bull Market Return vs Benchmark 1",'PBA Summary'!$D$2,,,"m",'PBA Summary'!$F$2,'PBA Summary'!$G$2))</f>
        <v>0.48438763420195796</v>
      </c>
      <c r="DU30" s="16" cm="1">
        <f t="array" ref="DU30">IF('PBA Summary'!$D$3="","",_xll.ASAssetStatistic($A30,"Ann. Bear Market Return vs Benchmark 1",'PBA Summary'!$D$3,,,"m",'PBA Summary'!$F$2,'PBA Summary'!$G$2))</f>
        <v>-0.39171078760671818</v>
      </c>
      <c r="DV30" s="16" cm="1">
        <f t="array" ref="DV30">IF('PBA Summary'!$D$3="","",_xll.ASAssetStatistic($A30,"Ann. Bull Market Return vs Benchmark 1",'PBA Summary'!$D$3,,,"m",'PBA Summary'!$F$2,'PBA Summary'!$G$2))</f>
        <v>0.48438763420195796</v>
      </c>
      <c r="DW30" s="17" cm="1">
        <f t="array" ref="DW30">_xll.ASAssetStatistic($A30,"Average Positive Return",,,,"m",'PBA Summary'!$F$2,'PBA Summary'!$G$2)</f>
        <v>3.1353250485926819E-2</v>
      </c>
      <c r="DX30" s="17" cm="1">
        <f t="array" ref="DX30">_xll.ASAssetStatistic($A30,"Average Negative Return",,,,"m",'PBA Summary'!$F$2,'PBA Summary'!$G$2)</f>
        <v>-5.5411412043882148E-2</v>
      </c>
      <c r="DY30" s="16" cm="1">
        <f t="array" ref="DY30">IF('PBA Summary'!$D$2="","",_xll.ASAssetStatistic($A30,"Outperformance vs Benchmark 1",'PBA Summary'!$D$2,,,"m",'PBA Summary'!$F$2,'PBA Summary'!$G$2))</f>
        <v>-2.8496871047927197E-3</v>
      </c>
      <c r="DZ30" s="16" cm="1">
        <f t="array" ref="DZ30">IF('PBA Summary'!$D$3="","",_xll.ASAssetStatistic($A30,"Outperformance vs Benchmark 1",'PBA Summary'!$D$3,,,"m",'PBA Summary'!$F$2,'PBA Summary'!$G$2))</f>
        <v>-2.8496871047927197E-3</v>
      </c>
      <c r="EA30" s="16" cm="1">
        <f t="array" ref="EA30">IF('PBA Summary'!$D$2="","",_xll.ASAssetStatistic($A30,"Annual Outperformance vs Benchmark 1",'PBA Summary'!$D$2,,,"m",'PBA Summary'!$F$2,'PBA Summary'!$G$2))</f>
        <v>-2.1914313463236024E-3</v>
      </c>
      <c r="EB30" s="16" cm="1">
        <f t="array" ref="EB30">IF('PBA Summary'!$D$3="","",_xll.ASAssetStatistic($A30,"Annual Outperformance vs Benchmark 1",'PBA Summary'!$D$3,,,"m",'PBA Summary'!$F$2,'PBA Summary'!$G$2))</f>
        <v>-2.1914313463236024E-3</v>
      </c>
      <c r="EC30" s="32" cm="1">
        <f t="array" ref="EC30">_xll.ASAssetStatistic($A30,"Rachev Ratio 99%",,,,"m",'PBA Summary'!$F$2,'PBA Summary'!$G$2)</f>
        <v>-0.94203917180630403</v>
      </c>
      <c r="ED30" s="32" cm="1">
        <f t="array" ref="ED30">_xll.ASAssetStatistic($A30,"Rachev Ratio 97%",,,,"m",'PBA Summary'!$F$2,'PBA Summary'!$G$2)</f>
        <v>-0.94203917180630403</v>
      </c>
      <c r="EE30" s="32" cm="1">
        <f t="array" ref="EE30">_xll.ASAssetStatistic($A30,"Rachev Ratio 95%",,,,"m",'PBA Summary'!$F$2,'PBA Summary'!$G$2)</f>
        <v>-0.94203917180630403</v>
      </c>
      <c r="EF30" s="32" cm="1">
        <f t="array" ref="EF30">_xll.ASAssetStatistic($A30,"Rachev Ratio 90%",,,,"m",'PBA Summary'!$F$2,'PBA Summary'!$G$2)</f>
        <v>-1.0127389854587658</v>
      </c>
      <c r="EG30" s="34" cm="1">
        <f t="array" ref="EG30">IF('PBA Summary'!$D$2="","",_xll.ASAssetStatistic($A30,"Annual Up Capture vs Benchmark 1",'PBA Summary'!$D$2,,,"m",'PBA Summary'!$F$2,'PBA Summary'!$G$2))</f>
        <v>0.95689471884765176</v>
      </c>
      <c r="EH30" s="34" cm="1">
        <f t="array" ref="EH30">IF('PBA Summary'!$D$3="","",_xll.ASAssetStatistic($A30,"Annual Up Capture vs Benchmark 1",'PBA Summary'!$D$3,,,"m",'PBA Summary'!$F$2,'PBA Summary'!$G$2))</f>
        <v>0.95689471884765176</v>
      </c>
      <c r="EI30" s="34" cm="1">
        <f t="array" ref="EI30">IF('PBA Summary'!$D$2="","",_xll.ASAssetStatistic($A30,"Annual Down Capture vs Benchmark 1",'PBA Summary'!$D$2,,,"m",'PBA Summary'!$F$2,'PBA Summary'!$G$2))</f>
        <v>0.95185481089723256</v>
      </c>
      <c r="EJ30" s="34" cm="1">
        <f t="array" ref="EJ30">IF('PBA Summary'!$D$3="","",_xll.ASAssetStatistic($A30,"Annual Down Capture vs Benchmark 1",'PBA Summary'!$D$3,,,"m",'PBA Summary'!$F$2,'PBA Summary'!$G$2))</f>
        <v>0.95185481089723256</v>
      </c>
      <c r="EK30" s="16" cm="1">
        <f t="array" ref="EK30">IF('PBA Summary'!$D$2="","",_xll.ASAssetStatistic($A30,"Ann. Tracking Error vs Benchmark 1",'PBA Summary'!$D$2,,,"m",'PBA Summary'!$F$2,'PBA Summary'!$G$2))</f>
        <v>2.708306519084569E-2</v>
      </c>
      <c r="EL30" s="16" cm="1">
        <f t="array" ref="EL30">IF('PBA Summary'!$D$3="","",_xll.ASAssetStatistic($A30,"Ann. Tracking Error vs Benchmark 1",'PBA Summary'!$D$3,,,"m",'PBA Summary'!$F$2,'PBA Summary'!$G$2))</f>
        <v>2.708306519084569E-2</v>
      </c>
      <c r="EM30" s="16" cm="1">
        <f t="array" ref="EM30">IF('PBA Summary'!$D$2="","",_xll.ASAssetStatistic($A30,"Annual Jensen Alpha vs Benchmark 1 (Rf)",'PBA Summary'!$D$2,,,"m",'PBA Summary'!$F$2,'PBA Summary'!$G$2))</f>
        <v>1.0130566060173513E-2</v>
      </c>
      <c r="EN30" s="16" cm="1">
        <f t="array" ref="EN30">IF('PBA Summary'!$D$3="","",_xll.ASAssetStatistic($A30,"Annual Jensen Alpha vs Benchmark 1 (Rf)",'PBA Summary'!$D$3,,,"m",'PBA Summary'!$F$2,'PBA Summary'!$G$2))</f>
        <v>1.0130566060173513E-2</v>
      </c>
      <c r="EO30" s="33" cm="1">
        <f t="array" ref="EO30">IF('PBA Summary'!$D$2="","",_xll.ASAssetStatistic($A30,"Ann. Information Ratio vs Benchmark 1",'PBA Summary'!$D$2,,,"m",'PBA Summary'!$F$2,'PBA Summary'!$G$2))</f>
        <v>-8.0915189284569061E-2</v>
      </c>
      <c r="EP30" s="33" cm="1">
        <f t="array" ref="EP30">IF('PBA Summary'!$D$3="","",_xll.ASAssetStatistic($A30,"Ann. Information Ratio vs Benchmark 1",'PBA Summary'!$D$3,,,"m",'PBA Summary'!$F$2,'PBA Summary'!$G$2))</f>
        <v>-8.0915189284569061E-2</v>
      </c>
      <c r="EQ30" s="17" cm="1">
        <f t="array" ref="EQ30">IF('PBA Summary'!$D$2="","",_xll.ASAssetStatistic($A30,"Alpha Monthly vs Benchmark 1",'PBA Summary'!$D$2,,,"m",'PBA Summary'!$F$2,'PBA Summary'!$G$2))</f>
        <v>7.6812401544192228E-4</v>
      </c>
      <c r="ER30" s="17" cm="1">
        <f t="array" ref="ER30">IF('PBA Summary'!$D$3="","",_xll.ASAssetStatistic($A30,"Alpha Monthly vs Benchmark 1",'PBA Summary'!$D$3,,,"m",'PBA Summary'!$F$2,'PBA Summary'!$G$2))</f>
        <v>7.6812401544192228E-4</v>
      </c>
      <c r="ES30" s="11" t="str" cm="1">
        <f t="array" ref="ES30">_xll.ASAssetInfo($A30,"Company AUM (m)")</f>
        <v/>
      </c>
      <c r="ET30" s="16" cm="1">
        <f t="array" ref="ET30">_xll.ASAssetStatistic($A30,"Exponential Annualized Volatility",,,,"m",'PBA Summary'!$F$2,'PBA Summary'!$G$2)</f>
        <v>0.12134640232844937</v>
      </c>
      <c r="EU30" s="16" cm="1">
        <f t="array" ref="EU30">_xll.ASAssetStatistic($A30,"Exponential Annualized Volatility Last 1 year",,,,"m",'PBA Summary'!$F$2,'PBA Summary'!$G$2)</f>
        <v>0.10028046104374302</v>
      </c>
      <c r="EV30" s="16" t="str" cm="1">
        <f t="array" ref="EV30">_xll.ASAssetStatistic($A30,"Exponential Annualized Volatility Last 3 years",,,,"m",'PBA Summary'!$F$2,'PBA Summary'!$G$2)</f>
        <v/>
      </c>
      <c r="EW30" s="34" cm="1">
        <f t="array" ref="EW30">IF('PBA Summary'!$D$2="","",_xll.ASAssetStatistic($A30,"Exponential Correlation to Benchmark 1",'PBA Summary'!$D$2,,,"m",'PBA Summary'!$F$2,'PBA Summary'!$G$2))</f>
        <v>0.90064698165759782</v>
      </c>
      <c r="EX30" s="34" cm="1">
        <f t="array" ref="EX30">IF('PBA Summary'!$D$3="","",_xll.ASAssetStatistic($A30,"Exponential Correlation to Benchmark 1",'PBA Summary'!$D$3,,,"m",'PBA Summary'!$F$2,'PBA Summary'!$G$2))</f>
        <v>0.90064698165759782</v>
      </c>
      <c r="EY30" s="34" cm="1">
        <f t="array" ref="EY30">_xll.ASAssetStatistic($A30,"Exponential Annual Sharpe Ratio (Rf)",,,,"m",'PBA Summary'!$F$2,'PBA Summary'!$G$2)</f>
        <v>1.7035964281083169</v>
      </c>
      <c r="EZ30" s="34" cm="1">
        <f t="array" ref="EZ30">_xll.ASAssetStatistic($A30,"Exponential Normal Monthly VaR 99%",,,,"m",'PBA Summary'!$F$2,'PBA Summary'!$G$2)</f>
        <v>-6.5533599193139197E-2</v>
      </c>
      <c r="FA30" s="34" cm="1">
        <f t="array" ref="FA30">_xll.ASAssetStatistic($A30,"Exponential Normal Monthly VaR 97%",,,,"m",'PBA Summary'!$F$2,'PBA Summary'!$G$2)</f>
        <v>-4.9925971815370965E-2</v>
      </c>
      <c r="FB30" s="34" cm="1">
        <f t="array" ref="FB30">_xll.ASAssetStatistic($A30,"Exponential Normal Monthly VaR 95%",,,,"m",'PBA Summary'!$F$2,'PBA Summary'!$G$2)</f>
        <v>-4.1661067645434674E-2</v>
      </c>
      <c r="FC30" s="34" cm="1">
        <f t="array" ref="FC30">_xll.ASAssetStatistic($A30,"Exponential Normal Monthly VaR 90%",,,,"m",'PBA Summary'!$F$2,'PBA Summary'!$G$2)</f>
        <v>-2.8934709412297175E-2</v>
      </c>
      <c r="FD30" s="34" t="str" cm="1">
        <f t="array" ref="FD30">_xll.ASAssetStatistic($A30,"Exponential Normal weekly VaR 99%",,,,"m",'PBA Summary'!$F$2,'PBA Summary'!$G$2)</f>
        <v/>
      </c>
      <c r="FE30" s="34" t="str" cm="1">
        <f t="array" ref="FE30">_xll.ASAssetStatistic($A30,"Exponential Normal weekly VaR 97%",,,,"m",'PBA Summary'!$F$2,'PBA Summary'!$G$2)</f>
        <v/>
      </c>
      <c r="FF30" s="34" t="str" cm="1">
        <f t="array" ref="FF30">_xll.ASAssetStatistic($A30,"Exponential Normal weekly VaR 95%",,,,"m",'PBA Summary'!$F$2,'PBA Summary'!$G$2)</f>
        <v/>
      </c>
      <c r="FG30" s="34" t="str" cm="1">
        <f t="array" ref="FG30">_xll.ASAssetStatistic($A30,"Exponential Normal weekly VaR 90%",,,,"m",'PBA Summary'!$F$2,'PBA Summary'!$G$2)</f>
        <v/>
      </c>
      <c r="FH30" s="34" t="str" cm="1">
        <f t="array" ref="FH30">_xll.ASAssetStatistic($A30,"Exponential Normal daily VaR 99%",,,,"m",'PBA Summary'!$F$2,'PBA Summary'!$G$2)</f>
        <v/>
      </c>
      <c r="FI30" s="34" t="str" cm="1">
        <f t="array" ref="FI30">_xll.ASAssetStatistic($A30,"Exponential Normal daily VaR 97%",,,,"m",'PBA Summary'!$F$2,'PBA Summary'!$G$2)</f>
        <v/>
      </c>
      <c r="FJ30" s="34" t="str" cm="1">
        <f t="array" ref="FJ30">_xll.ASAssetStatistic($A30,"Exponential Normal daily VaR 95%",,,,"m",'PBA Summary'!$F$2,'PBA Summary'!$G$2)</f>
        <v/>
      </c>
      <c r="FK30" s="34" t="str" cm="1">
        <f t="array" ref="FK30">_xll.ASAssetStatistic($A30,"Exponential Normal daily VaR 90%",,,,"m",'PBA Summary'!$F$2,'PBA Summary'!$G$2)</f>
        <v/>
      </c>
      <c r="FL30" s="34" cm="1">
        <f t="array" ref="FL30">_xll.ASAssetStatistic($A30,"Bias Ratio",,,,"m",'PBA Summary'!$F$2,'PBA Summary'!$G$2)</f>
        <v>5</v>
      </c>
      <c r="FM30" s="11" t="str" cm="1">
        <f t="array" ref="FM30">_xll.ASAssetInfo($A30,"Manager's Biography")</f>
        <v/>
      </c>
      <c r="FN30" s="11" cm="1">
        <f t="array" ref="FN30">_xll.ASAssetInfo($A30,"Investment Min")</f>
        <v>0</v>
      </c>
      <c r="FO30" s="11" t="str" cm="1">
        <f t="array" ref="FO30">_xll.ASAssetInfo($A30,"Auditor")</f>
        <v>PricewaterhouseCoopers/Ireland</v>
      </c>
      <c r="FP30" s="11" t="str" cm="1">
        <f t="array" ref="FP30">_xll.ASAssetInfo($A30,"Custodian")</f>
        <v>State Street Custodial Services Ireland Ltd</v>
      </c>
      <c r="FQ30" s="11" t="str" cm="1">
        <f t="array" ref="FQ30">_xll.ASAssetInfo($A30,"Administrator")</f>
        <v>State Street Fund Services Ireland Ltd</v>
      </c>
      <c r="FR30" s="14" t="str" cm="1">
        <f t="array" ref="FR30">_xll.ASAssetInfo($A30,"Proxy 1 Start Date")</f>
        <v/>
      </c>
      <c r="FS30" s="14" t="str" cm="1">
        <f t="array" ref="FS30">_xll.ASAssetInfo($A30,"Proxy 1 End Date")</f>
        <v/>
      </c>
      <c r="FT30" s="14" t="str" cm="1">
        <f t="array" ref="FT30">_xll.ASAssetInfo($A30,"Proxy 2 Start Date")</f>
        <v/>
      </c>
      <c r="FU30" s="14" t="str" cm="1">
        <f t="array" ref="FU30">_xll.ASAssetInfo($A30,"Proxy 2 End Date")</f>
        <v/>
      </c>
      <c r="FV30" s="14" t="str" cm="1">
        <f t="array" ref="FV30">_xll.ASAssetInfo($A30,"Proxy 3 Start Date")</f>
        <v/>
      </c>
      <c r="FW30" s="14" t="str" cm="1">
        <f t="array" ref="FW30">_xll.ASAssetInfo($A30,"Proxy 3 End Date")</f>
        <v/>
      </c>
      <c r="FX30" s="14" t="str" cm="1">
        <f t="array" ref="FX30">_xll.ASAssetInfo($A30,"Fund Domicile")</f>
        <v>IE</v>
      </c>
      <c r="FY30" s="14" t="str" cm="1">
        <f t="array" ref="FY30">_xll.ASAssetInfo($A30,"Fund Contact")</f>
        <v/>
      </c>
      <c r="FZ30" s="14" t="str" cm="1">
        <f t="array" ref="FZ30">_xll.ASAssetInfo($A30,"Fund Contact Email")</f>
        <v/>
      </c>
      <c r="GA30" s="14" t="str" cm="1">
        <f t="array" ref="GA30">_xll.ASAssetInfo($A30,"Fund Contact Number")</f>
        <v/>
      </c>
      <c r="GB30" s="14" t="str" cm="1">
        <f t="array" ref="GB30">_xll.ASAssetInfo($A30,"City")</f>
        <v>Dublin</v>
      </c>
      <c r="GC30" s="14" t="str" cm="1">
        <f t="array" ref="GC30">_xll.ASAssetInfo($A30,"Leverage")</f>
        <v>N</v>
      </c>
      <c r="GD30" s="14" t="str" cm="1">
        <f t="array" ref="GD30">_xll.ASAssetInfo($A30,"Lockup 1 Duration")</f>
        <v>0 Months</v>
      </c>
      <c r="GE30" s="14" t="str" cm="1">
        <f t="array" ref="GE30">_xll.ASAssetInfo($A30,"Lockup 2 Duration")</f>
        <v>0 Months</v>
      </c>
      <c r="GF30" s="14" t="str" cm="1">
        <f t="array" ref="GF30">_xll.ASAssetInfo($A30,"Lockup 3 Duration")</f>
        <v>0 Months</v>
      </c>
      <c r="GG30" s="31" t="str" cm="1">
        <f t="array" ref="GG30">_xll.ASAssetInfo($A30,"Fund Level Gate")</f>
        <v/>
      </c>
      <c r="GH30" s="31" t="str" cm="1">
        <f t="array" ref="GH30">_xll.ASAssetInfo($A30,"Fund Level Gate Frequency")</f>
        <v>Unknown</v>
      </c>
      <c r="GI30" s="35" cm="1">
        <f t="array" ref="GI30">_xll.ASAssetInfo($A30,"Payment 2 (%)")</f>
        <v>0</v>
      </c>
      <c r="GJ30" s="35" t="str" cm="1">
        <f t="array" ref="GJ30">_xll.ASAssetInfo($A30,"Payment 2 (days)")</f>
        <v/>
      </c>
      <c r="GK30" s="35" t="str" cm="1">
        <f t="array" ref="GK30">_xll.ASAssetInfo($A30,"Payment 2 (Paid After)")</f>
        <v>NAV Date</v>
      </c>
      <c r="GL30" s="35" cm="1">
        <f t="array" ref="GL30">_xll.ASAssetInfo($A30,"Payment 3 (%)")</f>
        <v>0</v>
      </c>
      <c r="GM30" s="36" t="str" cm="1">
        <f t="array" ref="GM30">_xll.ASAssetInfo($A30,"Payment 3 (Days)")</f>
        <v/>
      </c>
      <c r="GN30" s="35" t="str" cm="1">
        <f t="array" ref="GN30">_xll.ASAssetInfo($A30,"Payment 3 (Paid After)")</f>
        <v>NAV Date</v>
      </c>
      <c r="GO30" s="35" cm="1">
        <f t="array" ref="GO30">_xll.ASAssetInfo($A30,"Payment 4 (%)")</f>
        <v>0</v>
      </c>
      <c r="GP30" s="36" t="str" cm="1">
        <f t="array" ref="GP30">_xll.ASAssetInfo($A30,"Payment 4 (days)")</f>
        <v/>
      </c>
      <c r="GQ30" s="35" t="str" cm="1">
        <f t="array" ref="GQ30">_xll.ASAssetInfo($A30,"Payment 4 (Paid After)")</f>
        <v>NAV Date</v>
      </c>
      <c r="GR30" s="11" cm="1">
        <f t="array" ref="GR30">_xll.ASAssetInfo($A30,"Payment 1 (%)")</f>
        <v>1</v>
      </c>
      <c r="GS30" s="35" cm="1">
        <f t="array" ref="GS30">_xll.ASAssetInfo($A30,"Lockup 1 Fee")</f>
        <v>0</v>
      </c>
      <c r="GT30" s="35" cm="1">
        <f t="array" ref="GT30">_xll.ASAssetInfo($A30,"Lockup 2 Fee")</f>
        <v>0</v>
      </c>
      <c r="GU30" s="35" cm="1">
        <f t="array" ref="GU30">_xll.ASAssetInfo($A30,"Lockup 3 Fee")</f>
        <v>0</v>
      </c>
      <c r="GV30" s="35" t="str" cm="1">
        <f t="array" ref="GV30">_xll.ASAssetInfo($A30,"Lockup 1 type")</f>
        <v>None</v>
      </c>
      <c r="GW30" s="35" t="str" cm="1">
        <f t="array" ref="GW30">_xll.ASAssetInfo($A30,"Lockup 2 type")</f>
        <v>None</v>
      </c>
      <c r="GX30" s="35" t="str" cm="1">
        <f t="array" ref="GX30">_xll.ASAssetInfo($A30,"Lockup 3 type")</f>
        <v>None</v>
      </c>
      <c r="GY30" s="35" t="str" cm="1">
        <f t="array" ref="GY30">_xll.ASAssetInfo($A30,"Redemption 1 type")</f>
        <v>Calendar</v>
      </c>
      <c r="GZ30" s="35" t="str" cm="1">
        <f t="array" ref="GZ30">_xll.ASAssetInfo($A30,"Redemption 2 type")</f>
        <v>Calendar</v>
      </c>
      <c r="HA30" s="35" t="str" cm="1">
        <f t="array" ref="HA30">_xll.ASAssetInfo($A30,"Redemption 3 type")</f>
        <v>Calendar</v>
      </c>
      <c r="HB30" s="35" t="str" cm="1">
        <f t="array" ref="HB30">_xll.ASAssetInfo($A30,"Redemption 1 Fee")</f>
        <v/>
      </c>
      <c r="HC30" s="35" t="str" cm="1">
        <f t="array" ref="HC30">_xll.ASAssetInfo($A30,"Redemption 2 Fee")</f>
        <v/>
      </c>
      <c r="HD30" s="35" t="str" cm="1">
        <f t="array" ref="HD30">_xll.ASAssetInfo($A30,"Redemption 3 Fee")</f>
        <v/>
      </c>
      <c r="HE30" s="35" t="str" cm="1">
        <f t="array" ref="HE30">_xll.ASAssetInfo($A30,"Redemption 1 Frequency")</f>
        <v>Daily</v>
      </c>
      <c r="HF30" s="35" t="str" cm="1">
        <f t="array" ref="HF30">_xll.ASAssetInfo($A30,"Redemption 2 Frequency")</f>
        <v>Unknown</v>
      </c>
      <c r="HG30" s="35" t="str" cm="1">
        <f t="array" ref="HG30">_xll.ASAssetInfo($A30,"Redemption 3 Frequency")</f>
        <v>Unknown</v>
      </c>
      <c r="HH30" s="35" t="str" cm="1">
        <f t="array" ref="HH30">_xll.ASAssetInfo($A30,"Asset Calendar")</f>
        <v>[Default]</v>
      </c>
      <c r="HI30" s="16" cm="1">
        <f t="array" ref="HI30">_xll.ASAssetStatistic($A30,"Max Second Drawdown",,,,"m",'PBA Summary'!$F$2,'PBA Summary'!$G$2)</f>
        <v>-5.5245361539795312E-2</v>
      </c>
      <c r="HJ30" s="37" cm="1">
        <f t="array" ref="HJ30">_xll.ASAssetStatistic($A30,"Date Max Second Drawdown",,,,"m",'PBA Summary'!$F$2,'PBA Summary'!$G$2)</f>
        <v>43616</v>
      </c>
      <c r="HK30" s="37"/>
      <c r="HL30" s="37" t="str" cm="1">
        <f t="array" ref="HL30">_xll.ASAssetInfo($A30,HL$1)</f>
        <v/>
      </c>
      <c r="HM30" s="34" t="str" cm="1">
        <f t="array" ref="HM30">_xll.ASAssetInfo($A30,HM$1)</f>
        <v/>
      </c>
      <c r="HN30" s="37" t="str" cm="1">
        <f t="array" ref="HN30">_xll.ASAssetInfo($A30,HN$1)</f>
        <v/>
      </c>
      <c r="HO30" s="15" cm="1">
        <f t="array" ref="HO30">_xll.ASAssetInfo($A30,HO$1)</f>
        <v>0</v>
      </c>
      <c r="HP30" s="15" t="str" cm="1">
        <f t="array" ref="HP30">_xll.ASAssetInfo($A30,HP$1)</f>
        <v/>
      </c>
      <c r="HQ30" s="34" t="str" cm="1">
        <f t="array" ref="HQ30">_xll.ASAssetInfo($A30,HQ$1)</f>
        <v/>
      </c>
      <c r="HR30" s="37" t="str" cm="1">
        <f t="array" ref="HR30">_xll.ASAssetInfo($A30,HR$1)</f>
        <v/>
      </c>
      <c r="HS30" s="37" t="str" cm="1">
        <f t="array" ref="HS30">_xll.ASAssetInfo($A30,HS$1)</f>
        <v/>
      </c>
      <c r="HT30" s="37" t="str" cm="1">
        <f t="array" ref="HT30">_xll.ASAssetInfo($A30,HT$1)</f>
        <v/>
      </c>
      <c r="HU30" s="37" t="str" cm="1">
        <f t="array" ref="HU30">_xll.ASAssetInfo($A30,HU$1)</f>
        <v>Americas</v>
      </c>
      <c r="HV30" s="37" t="str" cm="1">
        <f t="array" ref="HV30">_xll.ASAssetInfo($A30,HV$1)</f>
        <v/>
      </c>
      <c r="HW30" s="37" t="str" cm="1">
        <f t="array" ref="HW30">_xll.ASAssetInfo($A30,HW$1)</f>
        <v/>
      </c>
    </row>
    <row r="31" spans="1:231" s="11" customFormat="1" x14ac:dyDescent="0.25">
      <c r="A31" t="s">
        <v>300</v>
      </c>
      <c r="B31" cm="1">
        <f t="array" ref="B31">_xll.ASPortfolioWeights('PBA Summary'!$C$2,"OR",$A31)</f>
        <v>0</v>
      </c>
      <c r="C31" cm="1">
        <f t="array" ref="C31">_xll.ASAssetStatistic($A31,"Annualized Return since inception",,,,"m",_xll.ASAssetInfo($A31,"Start Date"),_xll.ASAssetInfo($A31,"Last Return Date"))</f>
        <v>3.1185980308489736E-2</v>
      </c>
      <c r="D31" cm="1">
        <f t="array" ref="D31">_xll.ASAssetStatistic($A31,"Annualized Return",,,,"m",'PBA Summary'!$F$2,'PBA Summary'!$G$2)</f>
        <v>0.1127296888344802</v>
      </c>
      <c r="E31" s="19" cm="1">
        <f t="array" ref="E31">_xll.ASAssetStatistic($A31,"Equilibrium Annual Return",,,,"m",'PBA Summary'!$F$2,'PBA Summary'!$G$2)</f>
        <v>-0.24358362337939432</v>
      </c>
      <c r="F31" cm="1">
        <f t="array" ref="F31">_xll.ASAssetStatistic($A31,"Annualized Volatility (Inception)",,,,"m",_xll.ASAssetInfo($A31,"Start Date"),_xll.ASAssetInfo($A31,"Last Return Date"))</f>
        <v>5.2750016613917372E-2</v>
      </c>
      <c r="G31" cm="1">
        <f t="array" ref="G31">_xll.ASAssetStatistic($A31,"Annualized Volatility",,,,"m",'PBA Summary'!$F$2,'PBA Summary'!$G$2)</f>
        <v>3.672456508819498E-2</v>
      </c>
      <c r="H31" s="20" cm="1">
        <f t="array" ref="H31">_xll.ASAssetStatistic($A31,"Skewness",,,,"m",'PBA Summary'!$F$2,'PBA Summary'!$G$2)</f>
        <v>0.47550128396288288</v>
      </c>
      <c r="I31" s="20" cm="1">
        <f t="array" ref="I31">_xll.ASAssetStatistic($A31,"Excess kurtosis",,,,"m",'PBA Summary'!$F$2,'PBA Summary'!$G$2)</f>
        <v>-0.33733750999286588</v>
      </c>
      <c r="J31" s="19" cm="1">
        <f t="array" ref="J31">_xll.ASAssetStatistic($A31,"Return Last 1 month",,,,"m",'PBA Summary'!$F$2,'PBA Summary'!$G$2)</f>
        <v>1.5208269552846376E-2</v>
      </c>
      <c r="K31" s="19" cm="1">
        <f t="array" ref="K31">_xll.ASAssetStatistic($A31,"Return Last 3 months",,,,"m",'PBA Summary'!$F$2,'PBA Summary'!$G$2)</f>
        <v>2.3138687757235266E-2</v>
      </c>
      <c r="L31" s="19" cm="1">
        <f t="array" ref="L31">_xll.ASAssetStatistic($A31,"Return Last 1 year",,,,"m",'PBA Summary'!$F$2,'PBA Summary'!$G$2)</f>
        <v>0.10589499402564373</v>
      </c>
      <c r="M31" s="19" cm="1">
        <f t="array" ref="M31">_xll.ASAssetStatistic($A31,"Year-to-date Return",,,,"m",'PBA Summary'!$F$2,'PBA Summary'!$G$2)</f>
        <v>1.5208269552846376E-2</v>
      </c>
      <c r="N31" s="19" cm="1">
        <f t="array" ref="N31">_xll.ASAssetStatistic($A31,"Annualized Return",,,,"m",EOMONTH('PBA Summary'!$G$2,-2),'PBA Summary'!$G$2)</f>
        <v>9.5816984616871492E-2</v>
      </c>
      <c r="O31" s="19" t="str" cm="1">
        <f t="array" ref="O31">_xll.ASAssetStatistic($A31,"Annualized Return Last 3 years",,,,"m",'PBA Summary'!$F$2,'PBA Summary'!$G$2)</f>
        <v/>
      </c>
      <c r="P31" s="19" t="str" cm="1">
        <f t="array" ref="P31">_xll.ASAssetStatistic($A31,"Annualized Return Last 5 years",,,,"m",'PBA Summary'!$F$2,'PBA Summary'!$G$2)</f>
        <v/>
      </c>
      <c r="Q31" s="19" cm="1">
        <f t="array" ref="Q31">_xll.ASAssetStatistic($A31,"Annualized Volatility Last 1 year",,,,"m",'PBA Summary'!$F$2,'PBA Summary'!$G$2)</f>
        <v>3.550667544922613E-2</v>
      </c>
      <c r="R31" s="19" t="str" cm="1">
        <f t="array" ref="R31">_xll.ASAssetStatistic($A31,"Annualized Volatility Last 3 years",,,,"m",'PBA Summary'!$F$2,'PBA Summary'!$G$2)</f>
        <v/>
      </c>
      <c r="S31" s="19" t="str" cm="1">
        <f t="array" ref="S31">_xll.ASAssetStatistic($A31,"Annualized Volatility Last 5 years",,,,"m",'PBA Summary'!$F$2,'PBA Summary'!$G$2)</f>
        <v/>
      </c>
      <c r="T31" s="19" cm="1">
        <f t="array" ref="T31">_xll.ASAssetStatistic($A31,"Normal monthly VaR 99%",,,,"m",'PBA Summary'!$F$2,'PBA Summary'!$G$2)</f>
        <v>-1.5669784862587278E-2</v>
      </c>
      <c r="U31" s="19" cm="1">
        <f t="array" ref="U31">_xll.ASAssetStatistic($A31,"Modified monthly VaR 99%",,,,"m",'PBA Summary'!$F$2,'PBA Summary'!$G$2)</f>
        <v>-1.0224876165502073E-2</v>
      </c>
      <c r="V31" s="19" cm="1">
        <f t="array" ref="V31">_xll.ASAssetStatistic($A31,"Conditional monthly VaR 99%",,,,"m",'PBA Summary'!$F$2,'PBA Summary'!$G$2)</f>
        <v>-6.7228839813786578E-3</v>
      </c>
      <c r="W31" s="19" cm="1">
        <f t="array" ref="W31">_xll.ASAssetStatistic($A31,"Normal monthly VaR 97%",,,,"m",'PBA Summary'!$F$2,'PBA Summary'!$G$2)</f>
        <v>-1.0946255227520697E-2</v>
      </c>
      <c r="X31" s="19" cm="1">
        <f t="array" ref="X31">_xll.ASAssetStatistic($A31,"Modified monthly VaR 97%",,,,"m",'PBA Summary'!$F$2,'PBA Summary'!$G$2)</f>
        <v>-8.4039938139456576E-3</v>
      </c>
      <c r="Y31" s="19" cm="1">
        <f t="array" ref="Y31">_xll.ASAssetStatistic($A31,"Conditional monthly VaR 97%",,,,"m",'PBA Summary'!$F$2,'PBA Summary'!$G$2)</f>
        <v>-6.7228839813786578E-3</v>
      </c>
      <c r="Z31" s="19" cm="1">
        <f t="array" ref="Z31">_xll.ASAssetStatistic($A31,"Normal monthly VaR 95%",,,,"m",'PBA Summary'!$F$2,'PBA Summary'!$G$2)</f>
        <v>-8.4449448852909701E-3</v>
      </c>
      <c r="AA31" s="19" cm="1">
        <f t="array" ref="AA31">_xll.ASAssetStatistic($A31,"Modified monthly VaR 95%",,,,"m",'PBA Summary'!$F$2,'PBA Summary'!$G$2)</f>
        <v>-7.0391502571000835E-3</v>
      </c>
      <c r="AB31" s="19" cm="1">
        <f t="array" ref="AB31">_xll.ASAssetStatistic($A31,"Conditional monthly VaR 95%",,,,"m",'PBA Summary'!$F$2,'PBA Summary'!$G$2)</f>
        <v>-6.7228839813786578E-3</v>
      </c>
      <c r="AC31" s="66" cm="1">
        <f t="array" ref="AC31">_xll.ASAssetStatistic($A31,"Correlation to Benchmark 1","MSCI ACWI Index",,,"m",'PBA Summary'!$F$2,'PBA Summary'!$G$2)</f>
        <v>0.22665414648841867</v>
      </c>
      <c r="AD31" s="38" cm="1">
        <f t="array" ref="AD31">IF('PBA Summary'!$D$3="","",_xll.ASAssetStatistic($A31,"Correlation to Benchmark 1",'PBA Summary'!$D$3,,,"m",'PBA Summary'!$F$2,'PBA Summary'!$G$2))</f>
        <v>0.19319771557153143</v>
      </c>
      <c r="AE31" s="21" cm="1">
        <f t="array" ref="AE31">IF('PBA Summary'!$D$2="","",_xll.ASAssetStatistic($A31,"Bull correlation to Benchmark 1",'PBA Summary'!$D$2,,,"m",'PBA Summary'!$F$2,'PBA Summary'!$G$2))</f>
        <v>0.72949664088960586</v>
      </c>
      <c r="AF31" s="21" cm="1">
        <f t="array" ref="AF31">IF('PBA Summary'!$D$2="","",_xll.ASAssetStatistic($A31,"Bear correlation to Benchmark 1",'PBA Summary'!$D$2,,,"m",'PBA Summary'!$F$2,'PBA Summary'!$G$2))</f>
        <v>0.60255235037031907</v>
      </c>
      <c r="AG31" s="21" cm="1">
        <f t="array" ref="AG31">IF('PBA Summary'!$D$3="","",_xll.ASAssetStatistic($A31,"Bull correlation to Benchmark 1",'PBA Summary'!$D$3,,,"m",'PBA Summary'!$F$2,'PBA Summary'!$G$2))</f>
        <v>0.72949664088960586</v>
      </c>
      <c r="AH31" s="21" cm="1">
        <f t="array" ref="AH31">IF('PBA Summary'!$D$3="","",_xll.ASAssetStatistic($A31,"Bear correlation to Benchmark 1",'PBA Summary'!$D$3,,,"m",'PBA Summary'!$F$2,'PBA Summary'!$G$2))</f>
        <v>0.60255235037031907</v>
      </c>
      <c r="AI31" s="24" cm="1">
        <f t="array" ref="AI31">IF('PBA Summary'!$D$2="","",_xll.ASAssetStatistic($A31,"Beta to Benchmark 1",'PBA Summary'!$D$2,,,"m",'PBA Summary'!$F$2,'PBA Summary'!$G$2))</f>
        <v>4.6214938629777394E-2</v>
      </c>
      <c r="AJ31" s="24" t="str" cm="1">
        <f t="array" ref="AJ31">IF('PBA Summary'!$D$2="","",_xll.ASAssetStatistic($A31,"Beta to Benchmark 1 Last 3 years",'PBA Summary'!$D$2,,,"m",'PBA Summary'!$F$2,'PBA Summary'!$G$2))</f>
        <v/>
      </c>
      <c r="AK31" s="24" t="str" cm="1">
        <f t="array" ref="AK31">IF('PBA Summary'!$D$2="","",_xll.ASAssetStatistic($A31,"Beta to Benchmark 1 Last 5 years",'PBA Summary'!$D$2,,,"m",'PBA Summary'!$F$2,'PBA Summary'!$G$2))</f>
        <v/>
      </c>
      <c r="AL31" s="25" cm="1">
        <f t="array" ref="AL31">IF('PBA Summary'!$D$3="","",_xll.ASAssetStatistic($A31,"Beta to Benchmark 1",'PBA Summary'!$D$3,,,"m",'PBA Summary'!$F$2,'PBA Summary'!$G$2))</f>
        <v>4.6214938629777394E-2</v>
      </c>
      <c r="AM31" s="25" t="str" cm="1">
        <f t="array" ref="AM31">IF('PBA Summary'!$D$3="","",_xll.ASAssetStatistic($A31,"Beta to Benchmark 1 Last 3 years",'PBA Summary'!$D$3,,,"m",'PBA Summary'!$F$2,'PBA Summary'!$G$2))</f>
        <v/>
      </c>
      <c r="AN31" s="25" t="str" cm="1">
        <f t="array" ref="AN31">IF('PBA Summary'!$D$3="","",_xll.ASAssetStatistic($A31,"Beta to Benchmark 1 Last 5 years",'PBA Summary'!$D$3,,,"m",'PBA Summary'!$F$2,'PBA Summary'!$G$2))</f>
        <v/>
      </c>
      <c r="AO31" s="25" cm="1">
        <f t="array" ref="AO31">IF('PBA Summary'!$D$2="","",_xll.ASAssetStatistic($A31,"Bull Beta to Benchmark 1",'PBA Summary'!$D$2,,,"m",'PBA Summary'!$F$2,'PBA Summary'!$G$2))</f>
        <v>0.40322596923022297</v>
      </c>
      <c r="AP31" s="25" cm="1">
        <f t="array" ref="AP31">IF('PBA Summary'!$D$2="","",_xll.ASAssetStatistic($A31,"Bear Beta to Benchmark 1",'PBA Summary'!$D$2,,,"m",'PBA Summary'!$F$2,'PBA Summary'!$G$2))</f>
        <v>7.6286850793042857E-2</v>
      </c>
      <c r="AQ31" s="25" cm="1">
        <f t="array" ref="AQ31">IF('PBA Summary'!$D$3="","",_xll.ASAssetStatistic($A31,"Bull Beta to Benchmark 1",'PBA Summary'!$D$3,,,"m",'PBA Summary'!$F$2,'PBA Summary'!$G$2))</f>
        <v>0.40322596923022297</v>
      </c>
      <c r="AR31" s="25" cm="1">
        <f t="array" ref="AR31">IF('PBA Summary'!$D$3="","",_xll.ASAssetStatistic($A31,"Bear Beta to Benchmark 1",'PBA Summary'!$D$3,,,"m",'PBA Summary'!$F$2,'PBA Summary'!$G$2))</f>
        <v>7.6286850793042857E-2</v>
      </c>
      <c r="AS31" s="25" cm="1">
        <f t="array" ref="AS31">_xll.ASAssetStatistic($A31,"Annual Sharpe Ratio (Rf)",,,'PBA Summary'!$H$2,"m",'PBA Summary'!$F$2,'PBA Summary'!$G$2)</f>
        <v>3.00152468980261</v>
      </c>
      <c r="AT31" s="25" t="str" cm="1">
        <f t="array" ref="AT31">_xll.ASAssetStatistic($A31,"Annual Sharpe Ratio (Rf) Last 3 years",,,'PBA Summary'!$H$2,"m",'PBA Summary'!$F$2,'PBA Summary'!$G$2)</f>
        <v/>
      </c>
      <c r="AU31" s="25" t="str" cm="1">
        <f t="array" ref="AU31">_xll.ASAssetStatistic($A31,"Annual Sharpe Ratio (Rf) Last 5 years",,,'PBA Summary'!$H$2,"m",'PBA Summary'!$F$2,'PBA Summary'!$G$2)</f>
        <v/>
      </c>
      <c r="AV31" s="18" cm="1">
        <f t="array" ref="AV31">_xll.ASAssetStatistic($A31,"Ann. Downside Deviation (vs 0%)",,,'PBA Summary'!$H$2,"m",'PBA Summary'!$F$2,'PBA Summary'!$G$2)</f>
        <v>6.9881944361621989E-3</v>
      </c>
      <c r="AW31" s="18" cm="1">
        <f t="array" ref="AW31">_xll.ASAssetStatistic($A31,"Ann. Downside Deviation (vs Rf)",,,'PBA Summary'!$H$2,"m",'PBA Summary'!$F$2,'PBA Summary'!$G$2)</f>
        <v>7.2746280003970175E-3</v>
      </c>
      <c r="AX31" s="39" cm="1">
        <f t="array" ref="AX31">_xll.ASAssetStatistic($A31,"Annual Treynor ratio",,,'PBA Summary'!$H$2,"m",'PBA Summary'!$F$2,'PBA Summary'!$G$2)</f>
        <v>0.3379864757980956</v>
      </c>
      <c r="AY31" s="26" cm="1">
        <f t="array" ref="AY31">_xll.ASAssetStatistic($A31,"Annual Sortino Ratio (vs 0%)",,,'PBA Summary'!$H$2,"m",'PBA Summary'!$F$2,'PBA Summary'!$G$2)</f>
        <v>16.131447094707553</v>
      </c>
      <c r="AZ31" s="26" cm="1">
        <f t="array" ref="AZ31">_xll.ASAssetStatistic($A31,"Annual Sortino Ratio (vs Rf)",,,'PBA Summary'!$H$2,"m",'PBA Summary'!$F$2,'PBA Summary'!$G$2)</f>
        <v>15.15262207613425</v>
      </c>
      <c r="BA31" s="26" cm="1">
        <f t="array" ref="BA31">_xll.ASAssetStatistic($A31,"Sterling ratio",,,'PBA Summary'!$H$2,"m",'PBA Summary'!$F$2,'PBA Summary'!$G$2)</f>
        <v>1.0562841316596143</v>
      </c>
      <c r="BB31" s="26" cm="1">
        <f t="array" ref="BB31">_xll.ASAssetStatistic($A31,"Calmar ratio",,,'PBA Summary'!$H$2,"m",'PBA Summary'!$F$2,'PBA Summary'!$G$2)</f>
        <v>16.768055070818402</v>
      </c>
      <c r="BC31" s="26" cm="1">
        <f t="array" ref="BC31">_xll.ASAssetStatistic($A31,"Hurst index",,,'PBA Summary'!$H$2,"m",'PBA Summary'!$F$2,'PBA Summary'!$G$2)</f>
        <v>0.38904045713316571</v>
      </c>
      <c r="BD31" s="26" cm="1">
        <f t="array" ref="BD31">_xll.ASAssetStatistic($A31,"Omega (Threshold 1)",,,'PBA Summary'!$H$2,"m",'PBA Summary'!$F$2,'PBA Summary'!$G$2)</f>
        <v>12.280680826482062</v>
      </c>
      <c r="BE31" s="26" cm="1">
        <f t="array" ref="BE31">_xll.ASAssetStatistic($A31,"Omega (Threshold 2)",,,'PBA Summary'!$H$2,"m",'PBA Summary'!$F$2,'PBA Summary'!$G$2)</f>
        <v>2.6382714597081849</v>
      </c>
      <c r="BF31" s="26" cm="1">
        <f t="array" ref="BF31">_xll.ASAssetStatistic($A31,"Omega (Threshold 3)",,,'PBA Summary'!$H$2,"m",'PBA Summary'!$F$2,'PBA Summary'!$G$2)</f>
        <v>0.79062875213318395</v>
      </c>
      <c r="BG31" s="26" cm="1">
        <f t="array" ref="BG31">_xll.ASAssetStatistic($A31,"Omega (Threshold 4)",,,'PBA Summary'!$H$2,"m",'PBA Summary'!$F$2,'PBA Summary'!$G$2)</f>
        <v>0.24256513964402265</v>
      </c>
      <c r="BH31" s="26" cm="1">
        <f t="array" ref="BH31">_xll.ASAssetStatistic($A31,"Omega (Threshold 5)",,,'PBA Summary'!$H$2,"m",'PBA Summary'!$F$2,'PBA Summary'!$G$2)</f>
        <v>8.4467175705524866E-2</v>
      </c>
      <c r="BI31" s="26" t="str" cm="1">
        <f t="array" ref="BI31">_xll.ASAssetStatistic($A31,"Autocorrelated (illiquid)",,,'PBA Summary'!$H$2,"m",'PBA Summary'!$F$2,'PBA Summary'!$G$2)</f>
        <v>No</v>
      </c>
      <c r="BJ31" s="27" cm="1">
        <f t="array" ref="BJ31">_xll.ASAssetStatistic($A31,"% months in Run Up",,,'PBA Summary'!$H$2,"m",'PBA Summary'!$F$2,'PBA Summary'!$G$2)</f>
        <v>0.8</v>
      </c>
      <c r="BK31" s="27" cm="1">
        <f t="array" ref="BK31">_xll.ASAssetStatistic($A31,"% months in Drawdown",,,'PBA Summary'!$H$2,"m",'PBA Summary'!$F$2,'PBA Summary'!$G$2)</f>
        <v>0.2</v>
      </c>
      <c r="BL31" s="18" cm="1">
        <f t="array" ref="BL31">IF('PBA Summary'!$D$2="","",_xll.ASAssetStatistic($A31,"Bull Beta to Benchmark 1",'PBA Summary'!$D$2,,,"m",'PBA Summary'!$F$2,'PBA Summary'!$G$2))</f>
        <v>0.40322596923022297</v>
      </c>
      <c r="BM31" s="18" cm="1">
        <f t="array" ref="BM31">IF('PBA Summary'!$D$2="","",_xll.ASAssetStatistic($A31,"Average return during bear Benchmark 1",'PBA Summary'!$D$2,,,"m",'PBA Summary'!$F$2,'PBA Summary'!$G$2))</f>
        <v>1.2270983260682267E-2</v>
      </c>
      <c r="BN31" s="18" cm="1">
        <f t="array" ref="BN31">IF('PBA Summary'!$D$3="","",_xll.ASAssetStatistic($A31,"Average return during bull Benchmark 1",'PBA Summary'!$D$3,,,"m",'PBA Summary'!$F$2,'PBA Summary'!$G$2))</f>
        <v>7.8008962756778762E-3</v>
      </c>
      <c r="BO31" s="18" cm="1">
        <f t="array" ref="BO31">IF('PBA Summary'!$D$3="","",_xll.ASAssetStatistic($A31,"Average return during bear Benchmark 1",'PBA Summary'!$D$3,,,"m",'PBA Summary'!$F$2,'PBA Summary'!$G$2))</f>
        <v>1.2270983260682267E-2</v>
      </c>
      <c r="BP31" s="27" cm="1">
        <f t="array" ref="BP31">_xll.ASAssetStatistic($A31,"Maximum consecutive gain",,,'PBA Summary'!$H$2,"m",'PBA Summary'!$F$2,'PBA Summary'!$G$2)</f>
        <v>0.11651643763907593</v>
      </c>
      <c r="BQ31" s="27" cm="1">
        <f t="array" ref="BQ31">_xll.ASAssetStatistic($A31,"Maximum consecutive loss",,,'PBA Summary'!$H$2,"m",'PBA Summary'!$F$2,'PBA Summary'!$G$2)</f>
        <v>-6.7228839813786578E-3</v>
      </c>
      <c r="BR31" s="27" cm="1">
        <f t="array" ref="BR31">_xll.ASAssetStatistic($A31,"Max monthly gain",,,'PBA Summary'!$H$2,"m",'PBA Summary'!$F$2,'PBA Summary'!$G$2)</f>
        <v>3.0627615790136398E-2</v>
      </c>
      <c r="BS31" s="27" cm="1">
        <f t="array" ref="BS31">_xll.ASAssetStatistic($A31,"Max monthly loss",,,'PBA Summary'!$H$2,"m",'PBA Summary'!$F$2,'PBA Summary'!$G$2)</f>
        <v>-6.7228839813786578E-3</v>
      </c>
      <c r="BT31" s="27" cm="1">
        <f t="array" ref="BT31">_xll.ASAssetStatistic($A31,"Max drawdown",,,'PBA Summary'!$H$2,"m",'PBA Summary'!$F$2,'PBA Summary'!$G$2)</f>
        <v>-6.7228839813786578E-3</v>
      </c>
      <c r="BU31" s="28" cm="1">
        <f t="array" ref="BU31">_xll.ASAssetStatistic($A31,"Date Max drawdown",,,'PBA Summary'!$H$2,"m",'PBA Summary'!$F$2,'PBA Summary'!$G$2)</f>
        <v>43738</v>
      </c>
      <c r="BV31" s="28" cm="1">
        <f t="array" ref="BV31">_xll.ASAssetStatistic($A31,"Start Date Max Drawdown",,,'PBA Summary'!$H$2,"m",'PBA Summary'!$F$2,'PBA Summary'!$G$2)</f>
        <v>43738</v>
      </c>
      <c r="BW31" s="28" cm="1">
        <f t="array" ref="BW31">_xll.ASAssetStatistic($A31,"End Date Max Drawdown",,,'PBA Summary'!$H$2,"m",'PBA Summary'!$F$2,'PBA Summary'!$G$2)</f>
        <v>43738</v>
      </c>
      <c r="BX31" s="29" cm="1">
        <f t="array" ref="BX31">_xll.ASAssetStatistic($A31,"Max Time-under-water (months)",,,'PBA Summary'!$H$2,"m",'PBA Summary'!$F$2,'PBA Summary'!$G$2)</f>
        <v>1</v>
      </c>
      <c r="BY31" s="27" cm="1">
        <f t="array" ref="BY31">_xll.ASAssetStatistic($A31,"Max possible drawdown 99%",,,'PBA Summary'!$H$2,"m",'PBA Summary'!$F$2,'PBA Summary'!$G$2)</f>
        <v>-1.6909107965298903E-2</v>
      </c>
      <c r="BZ31" s="27" cm="1">
        <f t="array" ref="BZ31">_xll.ASAssetStatistic($A31,"Max possible drawdown 99.9%",,,'PBA Summary'!$H$2,"m",'PBA Summary'!$F$2,'PBA Summary'!$G$2)</f>
        <v>-2.9836895809732231E-2</v>
      </c>
      <c r="CA31" s="30" cm="1">
        <f t="array" ref="CA31">_xll.ASAssetStatistic($A31,"Max Possible Time-under-water 99% (months)",,,'PBA Summary'!$H$2,"m",'PBA Summary'!$F$2,'PBA Summary'!$G$2)</f>
        <v>7.5210761170718436</v>
      </c>
      <c r="CB31" s="30" cm="1">
        <f t="array" ref="CB31">_xll.ASAssetStatistic($A31,"Max Possible Time-under-water 99.9% (months)",,,'PBA Summary'!$H$2,"m",'PBA Summary'!$F$2,'PBA Summary'!$G$2)</f>
        <v>13.271283437462586</v>
      </c>
      <c r="CC31" s="17" cm="1">
        <f t="array" ref="CC31">_xll.ASPortfolioReturnAttribution('PBA Summary'!$C$2,"OR",A31,"Last 1m",'PBA Summary'!$F$2,'PBA Summary'!$G$2)</f>
        <v>0</v>
      </c>
      <c r="CD31" s="11" t="str" cm="1">
        <f t="array" ref="CD31">_xll.ASAssetInfo($A31,"Strategy")</f>
        <v>Funds - Credit Long Only</v>
      </c>
      <c r="CE31" s="14" cm="1">
        <f t="array" ref="CE31">_xll.ASAssetInfo($A31,"Start Date")</f>
        <v>41178</v>
      </c>
      <c r="CF31" s="14" t="str" cm="1">
        <f t="array" ref="CF31">_xll.ASAssetRatings($A31,"Quantitative",0,0,0,0,0,'PBA Summary'!$F$2,'PBA Summary'!$G$2)</f>
        <v/>
      </c>
      <c r="CG31" s="14" t="str" cm="1">
        <f t="array" ref="CG31">_xll.ASAssetRatings($A31,"Qualitative",0,0,0,0,0,'PBA Summary'!$F$2,'PBA Summary'!$G$2)</f>
        <v/>
      </c>
      <c r="CH31" s="14" t="str" cm="1">
        <f t="array" ref="CH31">_xll.ASAssetRatings($A31,"Final",0,0,0,0,0,'PBA Summary'!$F$2,'PBA Summary'!$G$2)</f>
        <v/>
      </c>
      <c r="CI31" s="14" cm="1">
        <f t="array" ref="CI31">_xll.ASAssetInfo($A31,"Last Return Date")</f>
        <v>44134</v>
      </c>
      <c r="CJ31" s="14" t="str" cm="1">
        <f t="array" ref="CJ31">_xll.ASAssetInfo($A31,"Company Name")</f>
        <v>iShares ETFs/Ireland</v>
      </c>
      <c r="CK31" s="14" t="str" cm="1">
        <f t="array" ref="CK31">_xll.ASAssetInfo($A31,"Manager Name")</f>
        <v/>
      </c>
      <c r="CL31" s="14" t="str" cm="1">
        <f t="array" ref="CL31">_xll.ASAssetInfo($A31,"Address")</f>
        <v>BlackRock Inc. JP Morgan House. International Financial Services Ctr. Dublin 1. Ireland</v>
      </c>
      <c r="CM31" s="14" t="str" cm="1">
        <f t="array" ref="CM31">_xll.ASAssetInfo($A31,"Phone Number")</f>
        <v>+44-20-7668-8007 Tel</v>
      </c>
      <c r="CN31" s="14" t="str" cm="1">
        <f t="array" ref="CN31">_xll.ASAssetInfo($A31,"Email")</f>
        <v/>
      </c>
      <c r="CO31" s="14" t="str" cm="1">
        <f t="array" ref="CO31">_xll.ASAssetInfo($A31,"Asset Type")</f>
        <v>Fixed Income</v>
      </c>
      <c r="CP31" s="14" t="str" cm="1">
        <f t="array" ref="CP31">_xll.ASAssetInfo($A31,"Proprietary ID")</f>
        <v/>
      </c>
      <c r="CQ31" s="14" t="str" cm="1">
        <f t="array" ref="CQ31">_xll.ASAssetInfo($A31,"Country")</f>
        <v>Ireland</v>
      </c>
      <c r="CR31" s="14" t="str" cm="1">
        <f t="array" ref="CR31">_xll.ASAssetInfo($A31,"Currency")</f>
        <v>USD</v>
      </c>
      <c r="CS31" s="14" t="str" cm="1">
        <f t="array" ref="CS31">_xll.ASAssetInfo($A31,"Sub-Strategy")</f>
        <v>IG</v>
      </c>
      <c r="CT31" s="31" cm="1">
        <f t="array" ref="CT31">_xll.ASAssetInfo($A31,"Fund AUM (m)")</f>
        <v>3649.65234375</v>
      </c>
      <c r="CU31" s="31" t="str" cm="1">
        <f t="array" ref="CU31">_xll.ASAssetInfo($A31,"Status")</f>
        <v>Unknown</v>
      </c>
      <c r="CV31" s="31" t="str" cm="1">
        <f t="array" ref="CV31">_xll.ASAssetInfo($A31,"Redemption 1 Frequency")</f>
        <v>Daily</v>
      </c>
      <c r="CW31" s="31" t="str" cm="1">
        <f t="array" ref="CW31">_xll.ASAssetInfo($A31,"Redemption 2 Frequency")</f>
        <v>Unknown</v>
      </c>
      <c r="CX31" s="31" t="str" cm="1">
        <f t="array" ref="CX31">_xll.ASAssetInfo($A31,"Redemption 3 Frequency")</f>
        <v>Unknown</v>
      </c>
      <c r="CY31" s="31" t="str" cm="1">
        <f t="array" ref="CY31">_xll.ASAssetInfo($A31,"Notice Period")</f>
        <v/>
      </c>
      <c r="CZ31" s="15" t="str" cm="1">
        <f t="array" ref="CZ31">_xll.ASAssetInfo($A31,"Performance Fee")</f>
        <v/>
      </c>
      <c r="DA31" s="15" cm="1">
        <f t="array" ref="DA31">_xll.ASAssetInfo($A31,"Management Fee")</f>
        <v>2E-3</v>
      </c>
      <c r="DB31" s="15" t="str" cm="1">
        <f t="array" ref="DB31">_xll.ASAssetInfo($A31,"ISIN")</f>
        <v>IE00B7J7TB45</v>
      </c>
      <c r="DC31" s="16" cm="1">
        <f t="array" ref="DC31">_xll.ASAssetStatistic($A31,"Return during " &amp;YEAR(EOMONTH('PBA Summary'!$G$2,-60)),,,,"M",DATE(YEAR(EOMONTH('PBA Summary'!$G$2,-60)),1,31),DATE(YEAR(EOMONTH('PBA Summary'!$G$2,-60)),12,31))</f>
        <v>-3.9795753962843627E-2</v>
      </c>
      <c r="DD31" s="16" cm="1">
        <f t="array" ref="DD31">_xll.ASAssetStatistic($A31,"Return during " &amp;YEAR(EOMONTH('PBA Summary'!$G$2,-48)),,,,"M",DATE(YEAR(EOMONTH('PBA Summary'!$G$2,-48)),1,31),DATE(YEAR(EOMONTH('PBA Summary'!$G$2,-48)),12,31))</f>
        <v>3.9941897639766522E-2</v>
      </c>
      <c r="DE31" s="16" cm="1">
        <f t="array" ref="DE31">_xll.ASAssetStatistic($A31,"Return during " &amp;YEAR(EOMONTH('PBA Summary'!$G$2,-36)),,,,"M",DATE(YEAR(EOMONTH('PBA Summary'!$G$2,-36)),1,31),DATE(YEAR(EOMONTH('PBA Summary'!$G$2,-36)),12,31))</f>
        <v>8.7502876122880879E-2</v>
      </c>
      <c r="DF31" s="16" cm="1">
        <f t="array" ref="DF31">_xll.ASAssetStatistic($A31,"Return during " &amp;YEAR(EOMONTH('PBA Summary'!$G$2,-24)),,,,"M",DATE(YEAR(EOMONTH('PBA Summary'!$G$2,-24)),1,31),DATE(YEAR(EOMONTH('PBA Summary'!$G$2,-24)),12,31))</f>
        <v>-3.9102108827473003E-2</v>
      </c>
      <c r="DG31" s="16" cm="1">
        <f t="array" ref="DG31">_xll.ASAssetStatistic($A31,"Return during " &amp;YEAR(EOMONTH('PBA Summary'!$G$2,-12)),,,,"M",DATE(YEAR(EOMONTH('PBA Summary'!$G$2,-12)),1,31),DATE(YEAR(EOMONTH('PBA Summary'!$G$2,-12)),12,31))</f>
        <v>0.11613123087647614</v>
      </c>
      <c r="DH31" s="11" t="str" cm="1">
        <f t="array" ref="DH31">_xll.ASAssetInfo($A31,"Prime Broker")</f>
        <v/>
      </c>
      <c r="DI31" s="16" cm="1">
        <f t="array" ref="DI31">_xll.ASAssetStatistic($A31,"Return",,,,"m",'PBA Summary'!$F$2,'PBA Summary'!$G$2)</f>
        <v>0.14284437367420821</v>
      </c>
      <c r="DJ31" s="33" cm="1">
        <f t="array" ref="DJ31">IF('PBA Summary'!$D$2="","",_xll.ASAssetStatistic($A31,"Ann. Information Ratio vs Benchmark 1",'PBA Summary'!$D$2,,,"m",'PBA Summary'!$F$2,'PBA Summary'!$G$2))</f>
        <v>-0.39511790094774163</v>
      </c>
      <c r="DK31" s="33" cm="1">
        <f t="array" ref="DK31">IF('PBA Summary'!$D$3="","",_xll.ASAssetStatistic($A31,"Ann. Information Ratio vs Benchmark 1",'PBA Summary'!$D$3,,,"m",'PBA Summary'!$F$2,'PBA Summary'!$G$2))</f>
        <v>-0.39511790094774163</v>
      </c>
      <c r="DL31" s="33" cm="1">
        <f t="array" ref="DL31">IF('PBA Summary'!$D$2="","",_xll.ASAssetStatistic($A31,"Ann. Tracking Error vs Benchmark 1",'PBA Summary'!$D$2,,,"m",'PBA Summary'!$F$2,'PBA Summary'!$G$2))</f>
        <v>0.15079712979156432</v>
      </c>
      <c r="DM31" s="33" cm="1">
        <f t="array" ref="DM31">IF('PBA Summary'!$D$3="","",_xll.ASAssetStatistic($A31,"Ann. Tracking Error vs Benchmark 1",'PBA Summary'!$D$3,,,"m",'PBA Summary'!$F$2,'PBA Summary'!$G$2))</f>
        <v>0.15079712979156432</v>
      </c>
      <c r="DN31" s="33" cm="1">
        <f t="array" ref="DN31">IF('PBA Summary'!$D$2="","",_xll.ASAssetStatistic($A31,"R² vs Benchmark 1",'PBA Summary'!$D$2,,,"m",'PBA Summary'!$F$2,'PBA Summary'!$G$2))</f>
        <v>3.7325357302058354E-2</v>
      </c>
      <c r="DO31" s="33" cm="1">
        <f t="array" ref="DO31">IF('PBA Summary'!$D$3="","",_xll.ASAssetStatistic($A31,"R² vs Benchmark 1",'PBA Summary'!$D$3,,,"m",'PBA Summary'!$F$2,'PBA Summary'!$G$2))</f>
        <v>3.7325357302058354E-2</v>
      </c>
      <c r="DP31" s="11" t="str" cm="1">
        <f t="array" ref="DP31">_xll.ASAssetInfo($A31,"On-/Offshore")</f>
        <v>Unknown</v>
      </c>
      <c r="DQ31" s="16" cm="1">
        <f t="array" ref="DQ31">_xll.ASAssetStatistic($A31,"Quarter-to-date",,,,"m",'PBA Summary'!$F$2,'PBA Summary'!$G$2)</f>
        <v>1.5208269552846376E-2</v>
      </c>
      <c r="DR31" s="16" cm="1">
        <f t="array" ref="DR31">_xll.ASAssetStatistic($A31,"Annualized Return Since inception",,,,"m",'PBA Summary'!$F$2,'PBA Summary'!$G$2)</f>
        <v>3.1185980308489736E-2</v>
      </c>
      <c r="DS31" s="16" cm="1">
        <f t="array" ref="DS31">IF('PBA Summary'!$D$2="","",_xll.ASAssetStatistic($A31,"Ann. Bear Market Return vs Benchmark 1",'PBA Summary'!$D$2,,,"m",'PBA Summary'!$F$2,'PBA Summary'!$G$2))</f>
        <v>0.15746597056694656</v>
      </c>
      <c r="DT31" s="16" cm="1">
        <f t="array" ref="DT31">IF('PBA Summary'!$D$2="","",_xll.ASAssetStatistic($A31,"Ann. Bull Market Return vs Benchmark 1",'PBA Summary'!$D$2,,,"m",'PBA Summary'!$F$2,'PBA Summary'!$G$2))</f>
        <v>9.6894215429970343E-2</v>
      </c>
      <c r="DU31" s="16" cm="1">
        <f t="array" ref="DU31">IF('PBA Summary'!$D$3="","",_xll.ASAssetStatistic($A31,"Ann. Bear Market Return vs Benchmark 1",'PBA Summary'!$D$3,,,"m",'PBA Summary'!$F$2,'PBA Summary'!$G$2))</f>
        <v>0.15746597056694656</v>
      </c>
      <c r="DV31" s="16" cm="1">
        <f t="array" ref="DV31">IF('PBA Summary'!$D$3="","",_xll.ASAssetStatistic($A31,"Ann. Bull Market Return vs Benchmark 1",'PBA Summary'!$D$3,,,"m",'PBA Summary'!$F$2,'PBA Summary'!$G$2))</f>
        <v>9.6894215429970343E-2</v>
      </c>
      <c r="DW31" s="17" cm="1">
        <f t="array" ref="DW31">_xll.ASAssetStatistic($A31,"Average Positive Return",,,,"m",'PBA Summary'!$F$2,'PBA Summary'!$G$2)</f>
        <v>1.2237644986670885E-2</v>
      </c>
      <c r="DX31" s="17" cm="1">
        <f t="array" ref="DX31">_xll.ASAssetStatistic($A31,"Average Negative Return",,,,"m",'PBA Summary'!$F$2,'PBA Summary'!$G$2)</f>
        <v>-3.985982588288306E-3</v>
      </c>
      <c r="DY31" s="16" cm="1">
        <f t="array" ref="DY31">IF('PBA Summary'!$D$2="","",_xll.ASAssetStatistic($A31,"Outperformance vs Benchmark 1",'PBA Summary'!$D$2,,,"m",'PBA Summary'!$F$2,'PBA Summary'!$G$2))</f>
        <v>-7.6999271134510439E-2</v>
      </c>
      <c r="DZ31" s="16" cm="1">
        <f t="array" ref="DZ31">IF('PBA Summary'!$D$3="","",_xll.ASAssetStatistic($A31,"Outperformance vs Benchmark 1",'PBA Summary'!$D$3,,,"m",'PBA Summary'!$F$2,'PBA Summary'!$G$2))</f>
        <v>-7.6999271134510439E-2</v>
      </c>
      <c r="EA31" s="16" cm="1">
        <f t="array" ref="EA31">IF('PBA Summary'!$D$2="","",_xll.ASAssetStatistic($A31,"Annual Outperformance vs Benchmark 1",'PBA Summary'!$D$2,,,"m",'PBA Summary'!$F$2,'PBA Summary'!$G$2))</f>
        <v>-5.958264539218705E-2</v>
      </c>
      <c r="EB31" s="16" cm="1">
        <f t="array" ref="EB31">IF('PBA Summary'!$D$3="","",_xll.ASAssetStatistic($A31,"Annual Outperformance vs Benchmark 1",'PBA Summary'!$D$3,,,"m",'PBA Summary'!$F$2,'PBA Summary'!$G$2))</f>
        <v>-5.958264539218705E-2</v>
      </c>
      <c r="EC31" s="32" cm="1">
        <f t="array" ref="EC31">_xll.ASAssetStatistic($A31,"Rachev Ratio 99%",,,,"m",'PBA Summary'!$F$2,'PBA Summary'!$G$2)</f>
        <v>-4.5557257681331595</v>
      </c>
      <c r="ED31" s="32" cm="1">
        <f t="array" ref="ED31">_xll.ASAssetStatistic($A31,"Rachev Ratio 97%",,,,"m",'PBA Summary'!$F$2,'PBA Summary'!$G$2)</f>
        <v>-4.5557257681331595</v>
      </c>
      <c r="EE31" s="32" cm="1">
        <f t="array" ref="EE31">_xll.ASAssetStatistic($A31,"Rachev Ratio 95%",,,,"m",'PBA Summary'!$F$2,'PBA Summary'!$G$2)</f>
        <v>-4.5557257681331595</v>
      </c>
      <c r="EF31" s="32" cm="1">
        <f t="array" ref="EF31">_xll.ASAssetStatistic($A31,"Rachev Ratio 90%",,,,"m",'PBA Summary'!$F$2,'PBA Summary'!$G$2)</f>
        <v>-5.3232969394971468</v>
      </c>
      <c r="EG31" s="34" cm="1">
        <f t="array" ref="EG31">IF('PBA Summary'!$D$2="","",_xll.ASAssetStatistic($A31,"Annual Up Capture vs Benchmark 1",'PBA Summary'!$D$2,,,"m",'PBA Summary'!$F$2,'PBA Summary'!$G$2))</f>
        <v>0.19141191162854523</v>
      </c>
      <c r="EH31" s="34" cm="1">
        <f t="array" ref="EH31">IF('PBA Summary'!$D$3="","",_xll.ASAssetStatistic($A31,"Annual Up Capture vs Benchmark 1",'PBA Summary'!$D$3,,,"m",'PBA Summary'!$F$2,'PBA Summary'!$G$2))</f>
        <v>0.19141191162854523</v>
      </c>
      <c r="EI31" s="34" cm="1">
        <f t="array" ref="EI31">IF('PBA Summary'!$D$2="","",_xll.ASAssetStatistic($A31,"Annual Down Capture vs Benchmark 1",'PBA Summary'!$D$2,,,"m",'PBA Summary'!$F$2,'PBA Summary'!$G$2))</f>
        <v>-0.38264134248770293</v>
      </c>
      <c r="EJ31" s="34" cm="1">
        <f t="array" ref="EJ31">IF('PBA Summary'!$D$3="","",_xll.ASAssetStatistic($A31,"Annual Down Capture vs Benchmark 1",'PBA Summary'!$D$3,,,"m",'PBA Summary'!$F$2,'PBA Summary'!$G$2))</f>
        <v>-0.38264134248770293</v>
      </c>
      <c r="EK31" s="16" cm="1">
        <f t="array" ref="EK31">IF('PBA Summary'!$D$2="","",_xll.ASAssetStatistic($A31,"Ann. Tracking Error vs Benchmark 1",'PBA Summary'!$D$2,,,"m",'PBA Summary'!$F$2,'PBA Summary'!$G$2))</f>
        <v>0.15079712979156432</v>
      </c>
      <c r="EL31" s="16" cm="1">
        <f t="array" ref="EL31">IF('PBA Summary'!$D$3="","",_xll.ASAssetStatistic($A31,"Ann. Tracking Error vs Benchmark 1",'PBA Summary'!$D$3,,,"m",'PBA Summary'!$F$2,'PBA Summary'!$G$2))</f>
        <v>0.15079712979156432</v>
      </c>
      <c r="EM31" s="16" cm="1">
        <f t="array" ref="EM31">IF('PBA Summary'!$D$2="","",_xll.ASAssetStatistic($A31,"Annual Jensen Alpha vs Benchmark 1 (Rf)",'PBA Summary'!$D$2,,,"m",'PBA Summary'!$F$2,'PBA Summary'!$G$2))</f>
        <v>0.10238182222961553</v>
      </c>
      <c r="EN31" s="16" cm="1">
        <f t="array" ref="EN31">IF('PBA Summary'!$D$3="","",_xll.ASAssetStatistic($A31,"Annual Jensen Alpha vs Benchmark 1 (Rf)",'PBA Summary'!$D$3,,,"m",'PBA Summary'!$F$2,'PBA Summary'!$G$2))</f>
        <v>0.10238182222961553</v>
      </c>
      <c r="EO31" s="33" cm="1">
        <f t="array" ref="EO31">IF('PBA Summary'!$D$2="","",_xll.ASAssetStatistic($A31,"Ann. Information Ratio vs Benchmark 1",'PBA Summary'!$D$2,,,"m",'PBA Summary'!$F$2,'PBA Summary'!$G$2))</f>
        <v>-0.39511790094774163</v>
      </c>
      <c r="EP31" s="33" cm="1">
        <f t="array" ref="EP31">IF('PBA Summary'!$D$3="","",_xll.ASAssetStatistic($A31,"Ann. Information Ratio vs Benchmark 1",'PBA Summary'!$D$3,,,"m",'PBA Summary'!$F$2,'PBA Summary'!$G$2))</f>
        <v>-0.39511790094774163</v>
      </c>
      <c r="EQ31" s="17" cm="1">
        <f t="array" ref="EQ31">IF('PBA Summary'!$D$2="","",_xll.ASAssetStatistic($A31,"Alpha Monthly vs Benchmark 1",'PBA Summary'!$D$2,,,"m",'PBA Summary'!$F$2,'PBA Summary'!$G$2))</f>
        <v>8.3335489019034075E-3</v>
      </c>
      <c r="ER31" s="17" cm="1">
        <f t="array" ref="ER31">IF('PBA Summary'!$D$3="","",_xll.ASAssetStatistic($A31,"Alpha Monthly vs Benchmark 1",'PBA Summary'!$D$3,,,"m",'PBA Summary'!$F$2,'PBA Summary'!$G$2))</f>
        <v>8.3335489019034075E-3</v>
      </c>
      <c r="ES31" s="11" t="str" cm="1">
        <f t="array" ref="ES31">_xll.ASAssetInfo($A31,"Company AUM (m)")</f>
        <v/>
      </c>
      <c r="ET31" s="16" cm="1">
        <f t="array" ref="ET31">_xll.ASAssetStatistic($A31,"Exponential Annualized Volatility",,,,"m",'PBA Summary'!$F$2,'PBA Summary'!$G$2)</f>
        <v>3.517865497775377E-2</v>
      </c>
      <c r="EU31" s="16" cm="1">
        <f t="array" ref="EU31">_xll.ASAssetStatistic($A31,"Exponential Annualized Volatility Last 1 year",,,,"m",'PBA Summary'!$F$2,'PBA Summary'!$G$2)</f>
        <v>3.4463571316614296E-2</v>
      </c>
      <c r="EV31" s="16" t="str" cm="1">
        <f t="array" ref="EV31">_xll.ASAssetStatistic($A31,"Exponential Annualized Volatility Last 3 years",,,,"m",'PBA Summary'!$F$2,'PBA Summary'!$G$2)</f>
        <v/>
      </c>
      <c r="EW31" s="34" cm="1">
        <f t="array" ref="EW31">IF('PBA Summary'!$D$2="","",_xll.ASAssetStatistic($A31,"Exponential Correlation to Benchmark 1",'PBA Summary'!$D$2,,,"m",'PBA Summary'!$F$2,'PBA Summary'!$G$2))</f>
        <v>0.12269982403582773</v>
      </c>
      <c r="EX31" s="34" cm="1">
        <f t="array" ref="EX31">IF('PBA Summary'!$D$3="","",_xll.ASAssetStatistic($A31,"Exponential Correlation to Benchmark 1",'PBA Summary'!$D$3,,,"m",'PBA Summary'!$F$2,'PBA Summary'!$G$2))</f>
        <v>0.12269982403582773</v>
      </c>
      <c r="EY31" s="34" cm="1">
        <f t="array" ref="EY31">_xll.ASAssetStatistic($A31,"Exponential Annual Sharpe Ratio (Rf)",,,,"m",'PBA Summary'!$F$2,'PBA Summary'!$G$2)</f>
        <v>3.0759758471808221</v>
      </c>
      <c r="EZ31" s="34" cm="1">
        <f t="array" ref="EZ31">_xll.ASAssetStatistic($A31,"Exponential Normal Monthly VaR 99%",,,,"m",'PBA Summary'!$F$2,'PBA Summary'!$G$2)</f>
        <v>-1.483628678371578E-2</v>
      </c>
      <c r="FA31" s="34" cm="1">
        <f t="array" ref="FA31">_xll.ASAssetStatistic($A31,"Exponential Normal Monthly VaR 97%",,,,"m",'PBA Summary'!$F$2,'PBA Summary'!$G$2)</f>
        <v>-1.0311592783660308E-2</v>
      </c>
      <c r="FB31" s="34" cm="1">
        <f t="array" ref="FB31">_xll.ASAssetStatistic($A31,"Exponential Normal Monthly VaR 95%",,,,"m",'PBA Summary'!$F$2,'PBA Summary'!$G$2)</f>
        <v>-7.9155743880640651E-3</v>
      </c>
      <c r="FC31" s="34" cm="1">
        <f t="array" ref="FC31">_xll.ASAssetStatistic($A31,"Exponential Normal Monthly VaR 90%",,,,"m",'PBA Summary'!$F$2,'PBA Summary'!$G$2)</f>
        <v>-4.2261682184847067E-3</v>
      </c>
      <c r="FD31" s="34" t="str" cm="1">
        <f t="array" ref="FD31">_xll.ASAssetStatistic($A31,"Exponential Normal weekly VaR 99%",,,,"m",'PBA Summary'!$F$2,'PBA Summary'!$G$2)</f>
        <v/>
      </c>
      <c r="FE31" s="34" t="str" cm="1">
        <f t="array" ref="FE31">_xll.ASAssetStatistic($A31,"Exponential Normal weekly VaR 97%",,,,"m",'PBA Summary'!$F$2,'PBA Summary'!$G$2)</f>
        <v/>
      </c>
      <c r="FF31" s="34" t="str" cm="1">
        <f t="array" ref="FF31">_xll.ASAssetStatistic($A31,"Exponential Normal weekly VaR 95%",,,,"m",'PBA Summary'!$F$2,'PBA Summary'!$G$2)</f>
        <v/>
      </c>
      <c r="FG31" s="34" t="str" cm="1">
        <f t="array" ref="FG31">_xll.ASAssetStatistic($A31,"Exponential Normal weekly VaR 90%",,,,"m",'PBA Summary'!$F$2,'PBA Summary'!$G$2)</f>
        <v/>
      </c>
      <c r="FH31" s="34" t="str" cm="1">
        <f t="array" ref="FH31">_xll.ASAssetStatistic($A31,"Exponential Normal daily VaR 99%",,,,"m",'PBA Summary'!$F$2,'PBA Summary'!$G$2)</f>
        <v/>
      </c>
      <c r="FI31" s="34" t="str" cm="1">
        <f t="array" ref="FI31">_xll.ASAssetStatistic($A31,"Exponential Normal daily VaR 97%",,,,"m",'PBA Summary'!$F$2,'PBA Summary'!$G$2)</f>
        <v/>
      </c>
      <c r="FJ31" s="34" t="str" cm="1">
        <f t="array" ref="FJ31">_xll.ASAssetStatistic($A31,"Exponential Normal daily VaR 95%",,,,"m",'PBA Summary'!$F$2,'PBA Summary'!$G$2)</f>
        <v/>
      </c>
      <c r="FK31" s="34" t="str" cm="1">
        <f t="array" ref="FK31">_xll.ASAssetStatistic($A31,"Exponential Normal daily VaR 90%",,,,"m",'PBA Summary'!$F$2,'PBA Summary'!$G$2)</f>
        <v/>
      </c>
      <c r="FL31" s="34" cm="1">
        <f t="array" ref="FL31">_xll.ASAssetStatistic($A31,"Bias Ratio",,,,"m",'PBA Summary'!$F$2,'PBA Summary'!$G$2)</f>
        <v>1.25</v>
      </c>
      <c r="FM31" s="11" t="str" cm="1">
        <f t="array" ref="FM31">_xll.ASAssetInfo($A31,"Manager's Biography")</f>
        <v/>
      </c>
      <c r="FN31" s="11" cm="1">
        <f t="array" ref="FN31">_xll.ASAssetInfo($A31,"Investment Min")</f>
        <v>0</v>
      </c>
      <c r="FO31" s="11" t="str" cm="1">
        <f t="array" ref="FO31">_xll.ASAssetInfo($A31,"Auditor")</f>
        <v>PricewaterhouseCoopers/Ireland</v>
      </c>
      <c r="FP31" s="11" t="str" cm="1">
        <f t="array" ref="FP31">_xll.ASAssetInfo($A31,"Custodian")</f>
        <v>State Street Custodial Services Ireland Ltd</v>
      </c>
      <c r="FQ31" s="11" t="str" cm="1">
        <f t="array" ref="FQ31">_xll.ASAssetInfo($A31,"Administrator")</f>
        <v>State Street Fund Services Ireland Ltd</v>
      </c>
      <c r="FR31" s="14" t="str" cm="1">
        <f t="array" ref="FR31">_xll.ASAssetInfo($A31,"Proxy 1 Start Date")</f>
        <v/>
      </c>
      <c r="FS31" s="14" t="str" cm="1">
        <f t="array" ref="FS31">_xll.ASAssetInfo($A31,"Proxy 1 End Date")</f>
        <v/>
      </c>
      <c r="FT31" s="14" t="str" cm="1">
        <f t="array" ref="FT31">_xll.ASAssetInfo($A31,"Proxy 2 Start Date")</f>
        <v/>
      </c>
      <c r="FU31" s="14" t="str" cm="1">
        <f t="array" ref="FU31">_xll.ASAssetInfo($A31,"Proxy 2 End Date")</f>
        <v/>
      </c>
      <c r="FV31" s="14" t="str" cm="1">
        <f t="array" ref="FV31">_xll.ASAssetInfo($A31,"Proxy 3 Start Date")</f>
        <v/>
      </c>
      <c r="FW31" s="14" t="str" cm="1">
        <f t="array" ref="FW31">_xll.ASAssetInfo($A31,"Proxy 3 End Date")</f>
        <v/>
      </c>
      <c r="FX31" s="14" t="str" cm="1">
        <f t="array" ref="FX31">_xll.ASAssetInfo($A31,"Fund Domicile")</f>
        <v>IE</v>
      </c>
      <c r="FY31" s="14" t="str" cm="1">
        <f t="array" ref="FY31">_xll.ASAssetInfo($A31,"Fund Contact")</f>
        <v/>
      </c>
      <c r="FZ31" s="14" t="str" cm="1">
        <f t="array" ref="FZ31">_xll.ASAssetInfo($A31,"Fund Contact Email")</f>
        <v/>
      </c>
      <c r="GA31" s="14" t="str" cm="1">
        <f t="array" ref="GA31">_xll.ASAssetInfo($A31,"Fund Contact Number")</f>
        <v/>
      </c>
      <c r="GB31" s="14" t="str" cm="1">
        <f t="array" ref="GB31">_xll.ASAssetInfo($A31,"City")</f>
        <v>Dublin</v>
      </c>
      <c r="GC31" s="14" t="str" cm="1">
        <f t="array" ref="GC31">_xll.ASAssetInfo($A31,"Leverage")</f>
        <v>N</v>
      </c>
      <c r="GD31" s="14" t="str" cm="1">
        <f t="array" ref="GD31">_xll.ASAssetInfo($A31,"Lockup 1 Duration")</f>
        <v>0 Months</v>
      </c>
      <c r="GE31" s="14" t="str" cm="1">
        <f t="array" ref="GE31">_xll.ASAssetInfo($A31,"Lockup 2 Duration")</f>
        <v>0 Months</v>
      </c>
      <c r="GF31" s="14" t="str" cm="1">
        <f t="array" ref="GF31">_xll.ASAssetInfo($A31,"Lockup 3 Duration")</f>
        <v>0 Months</v>
      </c>
      <c r="GG31" s="31" t="str" cm="1">
        <f t="array" ref="GG31">_xll.ASAssetInfo($A31,"Fund Level Gate")</f>
        <v/>
      </c>
      <c r="GH31" s="31" t="str" cm="1">
        <f t="array" ref="GH31">_xll.ASAssetInfo($A31,"Fund Level Gate Frequency")</f>
        <v>Unknown</v>
      </c>
      <c r="GI31" s="35" cm="1">
        <f t="array" ref="GI31">_xll.ASAssetInfo($A31,"Payment 2 (%)")</f>
        <v>0</v>
      </c>
      <c r="GJ31" s="35" t="str" cm="1">
        <f t="array" ref="GJ31">_xll.ASAssetInfo($A31,"Payment 2 (days)")</f>
        <v/>
      </c>
      <c r="GK31" s="35" t="str" cm="1">
        <f t="array" ref="GK31">_xll.ASAssetInfo($A31,"Payment 2 (Paid After)")</f>
        <v>NAV Date</v>
      </c>
      <c r="GL31" s="35" cm="1">
        <f t="array" ref="GL31">_xll.ASAssetInfo($A31,"Payment 3 (%)")</f>
        <v>0</v>
      </c>
      <c r="GM31" s="36" t="str" cm="1">
        <f t="array" ref="GM31">_xll.ASAssetInfo($A31,"Payment 3 (Days)")</f>
        <v/>
      </c>
      <c r="GN31" s="35" t="str" cm="1">
        <f t="array" ref="GN31">_xll.ASAssetInfo($A31,"Payment 3 (Paid After)")</f>
        <v>NAV Date</v>
      </c>
      <c r="GO31" s="35" cm="1">
        <f t="array" ref="GO31">_xll.ASAssetInfo($A31,"Payment 4 (%)")</f>
        <v>0</v>
      </c>
      <c r="GP31" s="36" t="str" cm="1">
        <f t="array" ref="GP31">_xll.ASAssetInfo($A31,"Payment 4 (days)")</f>
        <v/>
      </c>
      <c r="GQ31" s="35" t="str" cm="1">
        <f t="array" ref="GQ31">_xll.ASAssetInfo($A31,"Payment 4 (Paid After)")</f>
        <v>NAV Date</v>
      </c>
      <c r="GR31" s="11" cm="1">
        <f t="array" ref="GR31">_xll.ASAssetInfo($A31,"Payment 1 (%)")</f>
        <v>1</v>
      </c>
      <c r="GS31" s="35" cm="1">
        <f t="array" ref="GS31">_xll.ASAssetInfo($A31,"Lockup 1 Fee")</f>
        <v>0</v>
      </c>
      <c r="GT31" s="35" cm="1">
        <f t="array" ref="GT31">_xll.ASAssetInfo($A31,"Lockup 2 Fee")</f>
        <v>0</v>
      </c>
      <c r="GU31" s="35" cm="1">
        <f t="array" ref="GU31">_xll.ASAssetInfo($A31,"Lockup 3 Fee")</f>
        <v>0</v>
      </c>
      <c r="GV31" s="35" t="str" cm="1">
        <f t="array" ref="GV31">_xll.ASAssetInfo($A31,"Lockup 1 type")</f>
        <v>None</v>
      </c>
      <c r="GW31" s="35" t="str" cm="1">
        <f t="array" ref="GW31">_xll.ASAssetInfo($A31,"Lockup 2 type")</f>
        <v>None</v>
      </c>
      <c r="GX31" s="35" t="str" cm="1">
        <f t="array" ref="GX31">_xll.ASAssetInfo($A31,"Lockup 3 type")</f>
        <v>None</v>
      </c>
      <c r="GY31" s="35" t="str" cm="1">
        <f t="array" ref="GY31">_xll.ASAssetInfo($A31,"Redemption 1 type")</f>
        <v>Calendar</v>
      </c>
      <c r="GZ31" s="35" t="str" cm="1">
        <f t="array" ref="GZ31">_xll.ASAssetInfo($A31,"Redemption 2 type")</f>
        <v>Calendar</v>
      </c>
      <c r="HA31" s="35" t="str" cm="1">
        <f t="array" ref="HA31">_xll.ASAssetInfo($A31,"Redemption 3 type")</f>
        <v>Calendar</v>
      </c>
      <c r="HB31" s="35" t="str" cm="1">
        <f t="array" ref="HB31">_xll.ASAssetInfo($A31,"Redemption 1 Fee")</f>
        <v/>
      </c>
      <c r="HC31" s="35" t="str" cm="1">
        <f t="array" ref="HC31">_xll.ASAssetInfo($A31,"Redemption 2 Fee")</f>
        <v/>
      </c>
      <c r="HD31" s="35" t="str" cm="1">
        <f t="array" ref="HD31">_xll.ASAssetInfo($A31,"Redemption 3 Fee")</f>
        <v/>
      </c>
      <c r="HE31" s="35" t="str" cm="1">
        <f t="array" ref="HE31">_xll.ASAssetInfo($A31,"Redemption 1 Frequency")</f>
        <v>Daily</v>
      </c>
      <c r="HF31" s="35" t="str" cm="1">
        <f t="array" ref="HF31">_xll.ASAssetInfo($A31,"Redemption 2 Frequency")</f>
        <v>Unknown</v>
      </c>
      <c r="HG31" s="35" t="str" cm="1">
        <f t="array" ref="HG31">_xll.ASAssetInfo($A31,"Redemption 3 Frequency")</f>
        <v>Unknown</v>
      </c>
      <c r="HH31" s="35" t="str" cm="1">
        <f t="array" ref="HH31">_xll.ASAssetInfo($A31,"Asset Calendar")</f>
        <v>[Default]</v>
      </c>
      <c r="HI31" s="16" cm="1">
        <f t="array" ref="HI31">_xll.ASAssetStatistic($A31,"Max Second Drawdown",,,,"m",'PBA Summary'!$F$2,'PBA Summary'!$G$2)</f>
        <v>-3.6527761651752311E-3</v>
      </c>
      <c r="HJ31" s="37" cm="1">
        <f t="array" ref="HJ31">_xll.ASAssetStatistic($A31,"Date Max Second Drawdown",,,,"m",'PBA Summary'!$F$2,'PBA Summary'!$G$2)</f>
        <v>43434</v>
      </c>
      <c r="HK31" s="37"/>
      <c r="HL31" s="37" t="str" cm="1">
        <f t="array" ref="HL31">_xll.ASAssetInfo($A31,HL$1)</f>
        <v/>
      </c>
      <c r="HM31" s="34" t="str" cm="1">
        <f t="array" ref="HM31">_xll.ASAssetInfo($A31,HM$1)</f>
        <v/>
      </c>
      <c r="HN31" s="37" t="str" cm="1">
        <f t="array" ref="HN31">_xll.ASAssetInfo($A31,HN$1)</f>
        <v/>
      </c>
      <c r="HO31" s="15" cm="1">
        <f t="array" ref="HO31">_xll.ASAssetInfo($A31,HO$1)</f>
        <v>0</v>
      </c>
      <c r="HP31" s="15" cm="1">
        <f t="array" ref="HP31">_xll.ASAssetInfo($A31,HP$1)</f>
        <v>1.61E-2</v>
      </c>
      <c r="HQ31" s="34" t="str" cm="1">
        <f t="array" ref="HQ31">_xll.ASAssetInfo($A31,HQ$1)</f>
        <v/>
      </c>
      <c r="HR31" s="37" t="str" cm="1">
        <f t="array" ref="HR31">_xll.ASAssetInfo($A31,HR$1)</f>
        <v/>
      </c>
      <c r="HS31" s="37" t="str" cm="1">
        <f t="array" ref="HS31">_xll.ASAssetInfo($A31,HS$1)</f>
        <v/>
      </c>
      <c r="HT31" s="37" t="str" cm="1">
        <f t="array" ref="HT31">_xll.ASAssetInfo($A31,HT$1)</f>
        <v>BBB+</v>
      </c>
      <c r="HU31" s="37" t="str" cm="1">
        <f t="array" ref="HU31">_xll.ASAssetInfo($A31,HU$1)</f>
        <v>Global</v>
      </c>
      <c r="HV31" s="37" t="str" cm="1">
        <f t="array" ref="HV31">_xll.ASAssetInfo($A31,HV$1)</f>
        <v/>
      </c>
      <c r="HW31" s="37" t="str" cm="1">
        <f t="array" ref="HW31">_xll.ASAssetInfo($A31,HW$1)</f>
        <v/>
      </c>
    </row>
    <row r="32" spans="1:231" s="11" customFormat="1" x14ac:dyDescent="0.25">
      <c r="A32" t="s">
        <v>301</v>
      </c>
      <c r="B32" cm="1">
        <f t="array" ref="B32">_xll.ASPortfolioWeights('PBA Summary'!$C$2,"OR",$A32)</f>
        <v>0</v>
      </c>
      <c r="C32" cm="1">
        <f t="array" ref="C32">_xll.ASAssetStatistic($A32,"Annualized Return since inception",,,,"m",_xll.ASAssetInfo($A32,"Start Date"),_xll.ASAssetInfo($A32,"Last Return Date"))</f>
        <v>-1.2247994034333964E-2</v>
      </c>
      <c r="D32" cm="1">
        <f t="array" ref="D32">_xll.ASAssetStatistic($A32,"Annualized Return",,,,"m",'PBA Summary'!$F$2,'PBA Summary'!$G$2)</f>
        <v>0.11284284218137497</v>
      </c>
      <c r="E32" s="19" cm="1">
        <f t="array" ref="E32">_xll.ASAssetStatistic($A32,"Equilibrium Annual Return",,,,"m",'PBA Summary'!$F$2,'PBA Summary'!$G$2)</f>
        <v>-0.51495693151025757</v>
      </c>
      <c r="F32" cm="1">
        <f t="array" ref="F32">_xll.ASAssetStatistic($A32,"Annualized Volatility (Inception)",,,,"m",_xll.ASAssetInfo($A32,"Start Date"),_xll.ASAssetInfo($A32,"Last Return Date"))</f>
        <v>0.12683060781950561</v>
      </c>
      <c r="G32" cm="1">
        <f t="array" ref="G32">_xll.ASAssetStatistic($A32,"Annualized Volatility",,,,"m",'PBA Summary'!$F$2,'PBA Summary'!$G$2)</f>
        <v>9.8503192432378636E-2</v>
      </c>
      <c r="H32" s="20" cm="1">
        <f t="array" ref="H32">_xll.ASAssetStatistic($A32,"Skewness",,,,"m",'PBA Summary'!$F$2,'PBA Summary'!$G$2)</f>
        <v>0.54585592794358873</v>
      </c>
      <c r="I32" s="20" cm="1">
        <f t="array" ref="I32">_xll.ASAssetStatistic($A32,"Excess kurtosis",,,,"m",'PBA Summary'!$F$2,'PBA Summary'!$G$2)</f>
        <v>-0.88464364732159928</v>
      </c>
      <c r="J32" s="19" cm="1">
        <f t="array" ref="J32">_xll.ASAssetStatistic($A32,"Return Last 1 month",,,,"m",'PBA Summary'!$F$2,'PBA Summary'!$G$2)</f>
        <v>-1.7207916617773544E-2</v>
      </c>
      <c r="K32" s="19" cm="1">
        <f t="array" ref="K32">_xll.ASAssetStatistic($A32,"Return Last 3 months",,,,"m",'PBA Summary'!$F$2,'PBA Summary'!$G$2)</f>
        <v>2.4446355713541035E-3</v>
      </c>
      <c r="L32" s="19" cm="1">
        <f t="array" ref="L32">_xll.ASAssetStatistic($A32,"Return Last 1 year",,,,"m",'PBA Summary'!$F$2,'PBA Summary'!$G$2)</f>
        <v>3.668197272950402E-2</v>
      </c>
      <c r="M32" s="19" cm="1">
        <f t="array" ref="M32">_xll.ASAssetStatistic($A32,"Year-to-date Return",,,,"m",'PBA Summary'!$F$2,'PBA Summary'!$G$2)</f>
        <v>-1.7207916617773544E-2</v>
      </c>
      <c r="N32" s="19" cm="1">
        <f t="array" ref="N32">_xll.ASAssetStatistic($A32,"Annualized Return",,,,"m",EOMONTH('PBA Summary'!$G$2,-2),'PBA Summary'!$G$2)</f>
        <v>9.8144582185379914E-3</v>
      </c>
      <c r="O32" s="19" t="str" cm="1">
        <f t="array" ref="O32">_xll.ASAssetStatistic($A32,"Annualized Return Last 3 years",,,,"m",'PBA Summary'!$F$2,'PBA Summary'!$G$2)</f>
        <v/>
      </c>
      <c r="P32" s="19" t="str" cm="1">
        <f t="array" ref="P32">_xll.ASAssetStatistic($A32,"Annualized Return Last 5 years",,,,"m",'PBA Summary'!$F$2,'PBA Summary'!$G$2)</f>
        <v/>
      </c>
      <c r="Q32" s="19" cm="1">
        <f t="array" ref="Q32">_xll.ASAssetStatistic($A32,"Annualized Volatility Last 1 year",,,,"m",'PBA Summary'!$F$2,'PBA Summary'!$G$2)</f>
        <v>9.2530606977876323E-2</v>
      </c>
      <c r="R32" s="19" t="str" cm="1">
        <f t="array" ref="R32">_xll.ASAssetStatistic($A32,"Annualized Volatility Last 3 years",,,,"m",'PBA Summary'!$F$2,'PBA Summary'!$G$2)</f>
        <v/>
      </c>
      <c r="S32" s="19" t="str" cm="1">
        <f t="array" ref="S32">_xll.ASAssetStatistic($A32,"Annualized Volatility Last 5 years",,,,"m",'PBA Summary'!$F$2,'PBA Summary'!$G$2)</f>
        <v/>
      </c>
      <c r="T32" s="19" cm="1">
        <f t="array" ref="T32">_xll.ASAssetStatistic($A32,"Normal monthly VaR 99%",,,,"m",'PBA Summary'!$F$2,'PBA Summary'!$G$2)</f>
        <v>-5.6830319503871664E-2</v>
      </c>
      <c r="U32" s="19" cm="1">
        <f t="array" ref="U32">_xll.ASAssetStatistic($A32,"Modified monthly VaR 99%",,,,"m",'PBA Summary'!$F$2,'PBA Summary'!$G$2)</f>
        <v>-3.6347477608579065E-2</v>
      </c>
      <c r="V32" s="19" cm="1">
        <f t="array" ref="V32">_xll.ASAssetStatistic($A32,"Conditional monthly VaR 99%",,,,"m",'PBA Summary'!$F$2,'PBA Summary'!$G$2)</f>
        <v>-2.8821194928593252E-2</v>
      </c>
      <c r="W32" s="19" cm="1">
        <f t="array" ref="W32">_xll.ASAssetStatistic($A32,"Normal monthly VaR 97%",,,,"m",'PBA Summary'!$F$2,'PBA Summary'!$G$2)</f>
        <v>-4.4160795780837279E-2</v>
      </c>
      <c r="X32" s="19" cm="1">
        <f t="array" ref="X32">_xll.ASAssetStatistic($A32,"Modified monthly VaR 97%",,,,"m",'PBA Summary'!$F$2,'PBA Summary'!$G$2)</f>
        <v>-3.5618989735337996E-2</v>
      </c>
      <c r="Y32" s="19" cm="1">
        <f t="array" ref="Y32">_xll.ASAssetStatistic($A32,"Conditional monthly VaR 97%",,,,"m",'PBA Summary'!$F$2,'PBA Summary'!$G$2)</f>
        <v>-2.8821194928593252E-2</v>
      </c>
      <c r="Z32" s="19" cm="1">
        <f t="array" ref="Z32">_xll.ASAssetStatistic($A32,"Normal monthly VaR 95%",,,,"m",'PBA Summary'!$F$2,'PBA Summary'!$G$2)</f>
        <v>-3.7451742770078705E-2</v>
      </c>
      <c r="AA32" s="19" cm="1">
        <f t="array" ref="AA32">_xll.ASAssetStatistic($A32,"Modified monthly VaR 95%",,,,"m",'PBA Summary'!$F$2,'PBA Summary'!$G$2)</f>
        <v>-3.3388116035315614E-2</v>
      </c>
      <c r="AB32" s="19" cm="1">
        <f t="array" ref="AB32">_xll.ASAssetStatistic($A32,"Conditional monthly VaR 95%",,,,"m",'PBA Summary'!$F$2,'PBA Summary'!$G$2)</f>
        <v>-2.8821194928593252E-2</v>
      </c>
      <c r="AC32" s="66" cm="1">
        <f t="array" ref="AC32">_xll.ASAssetStatistic($A32,"Correlation to Benchmark 1","MSCI ACWI Index",,,"m",'PBA Summary'!$F$2,'PBA Summary'!$G$2)</f>
        <v>0.54772011079073302</v>
      </c>
      <c r="AD32" s="38" cm="1">
        <f t="array" ref="AD32">IF('PBA Summary'!$D$3="","",_xll.ASAssetStatistic($A32,"Correlation to Benchmark 1",'PBA Summary'!$D$3,,,"m",'PBA Summary'!$F$2,'PBA Summary'!$G$2))</f>
        <v>0.4371700410287831</v>
      </c>
      <c r="AE32" s="21" cm="1">
        <f t="array" ref="AE32">IF('PBA Summary'!$D$2="","",_xll.ASAssetStatistic($A32,"Bull correlation to Benchmark 1",'PBA Summary'!$D$2,,,"m",'PBA Summary'!$F$2,'PBA Summary'!$G$2))</f>
        <v>0.57205551673773047</v>
      </c>
      <c r="AF32" s="21" cm="1">
        <f t="array" ref="AF32">IF('PBA Summary'!$D$2="","",_xll.ASAssetStatistic($A32,"Bear correlation to Benchmark 1",'PBA Summary'!$D$2,,,"m",'PBA Summary'!$F$2,'PBA Summary'!$G$2))</f>
        <v>-0.9017480783853199</v>
      </c>
      <c r="AG32" s="21" cm="1">
        <f t="array" ref="AG32">IF('PBA Summary'!$D$3="","",_xll.ASAssetStatistic($A32,"Bull correlation to Benchmark 1",'PBA Summary'!$D$3,,,"m",'PBA Summary'!$F$2,'PBA Summary'!$G$2))</f>
        <v>0.57205551673773047</v>
      </c>
      <c r="AH32" s="21" cm="1">
        <f t="array" ref="AH32">IF('PBA Summary'!$D$3="","",_xll.ASAssetStatistic($A32,"Bear correlation to Benchmark 1",'PBA Summary'!$D$3,,,"m",'PBA Summary'!$F$2,'PBA Summary'!$G$2))</f>
        <v>-0.9017480783853199</v>
      </c>
      <c r="AI32" s="24" cm="1">
        <f t="array" ref="AI32">IF('PBA Summary'!$D$2="","",_xll.ASAssetStatistic($A32,"Beta to Benchmark 1",'PBA Summary'!$D$2,,,"m",'PBA Summary'!$F$2,'PBA Summary'!$G$2))</f>
        <v>0.28049455221904213</v>
      </c>
      <c r="AJ32" s="24" t="str" cm="1">
        <f t="array" ref="AJ32">IF('PBA Summary'!$D$2="","",_xll.ASAssetStatistic($A32,"Beta to Benchmark 1 Last 3 years",'PBA Summary'!$D$2,,,"m",'PBA Summary'!$F$2,'PBA Summary'!$G$2))</f>
        <v/>
      </c>
      <c r="AK32" s="24" t="str" cm="1">
        <f t="array" ref="AK32">IF('PBA Summary'!$D$2="","",_xll.ASAssetStatistic($A32,"Beta to Benchmark 1 Last 5 years",'PBA Summary'!$D$2,,,"m",'PBA Summary'!$F$2,'PBA Summary'!$G$2))</f>
        <v/>
      </c>
      <c r="AL32" s="25" cm="1">
        <f t="array" ref="AL32">IF('PBA Summary'!$D$3="","",_xll.ASAssetStatistic($A32,"Beta to Benchmark 1",'PBA Summary'!$D$3,,,"m",'PBA Summary'!$F$2,'PBA Summary'!$G$2))</f>
        <v>0.28049455221904213</v>
      </c>
      <c r="AM32" s="25" t="str" cm="1">
        <f t="array" ref="AM32">IF('PBA Summary'!$D$3="","",_xll.ASAssetStatistic($A32,"Beta to Benchmark 1 Last 3 years",'PBA Summary'!$D$3,,,"m",'PBA Summary'!$F$2,'PBA Summary'!$G$2))</f>
        <v/>
      </c>
      <c r="AN32" s="25" t="str" cm="1">
        <f t="array" ref="AN32">IF('PBA Summary'!$D$3="","",_xll.ASAssetStatistic($A32,"Beta to Benchmark 1 Last 5 years",'PBA Summary'!$D$3,,,"m",'PBA Summary'!$F$2,'PBA Summary'!$G$2))</f>
        <v/>
      </c>
      <c r="AO32" s="25" cm="1">
        <f t="array" ref="AO32">IF('PBA Summary'!$D$2="","",_xll.ASAssetStatistic($A32,"Bull Beta to Benchmark 1",'PBA Summary'!$D$2,,,"m",'PBA Summary'!$F$2,'PBA Summary'!$G$2))</f>
        <v>0.77117411926023316</v>
      </c>
      <c r="AP32" s="25" cm="1">
        <f t="array" ref="AP32">IF('PBA Summary'!$D$2="","",_xll.ASAssetStatistic($A32,"Bear Beta to Benchmark 1",'PBA Summary'!$D$2,,,"m",'PBA Summary'!$F$2,'PBA Summary'!$G$2))</f>
        <v>-0.35344134004784095</v>
      </c>
      <c r="AQ32" s="25" cm="1">
        <f t="array" ref="AQ32">IF('PBA Summary'!$D$3="","",_xll.ASAssetStatistic($A32,"Bull Beta to Benchmark 1",'PBA Summary'!$D$3,,,"m",'PBA Summary'!$F$2,'PBA Summary'!$G$2))</f>
        <v>0.77117411926023316</v>
      </c>
      <c r="AR32" s="25" cm="1">
        <f t="array" ref="AR32">IF('PBA Summary'!$D$3="","",_xll.ASAssetStatistic($A32,"Bear Beta to Benchmark 1",'PBA Summary'!$D$3,,,"m",'PBA Summary'!$F$2,'PBA Summary'!$G$2))</f>
        <v>-0.35344134004784095</v>
      </c>
      <c r="AS32" s="25" cm="1">
        <f t="array" ref="AS32">_xll.ASAssetStatistic($A32,"Annual Sharpe Ratio (Rf)",,,'PBA Summary'!$H$2,"m",'PBA Summary'!$F$2,'PBA Summary'!$G$2)</f>
        <v>1.1201955942405026</v>
      </c>
      <c r="AT32" s="25" t="str" cm="1">
        <f t="array" ref="AT32">_xll.ASAssetStatistic($A32,"Annual Sharpe Ratio (Rf) Last 3 years",,,'PBA Summary'!$H$2,"m",'PBA Summary'!$F$2,'PBA Summary'!$G$2)</f>
        <v/>
      </c>
      <c r="AU32" s="25" t="str" cm="1">
        <f t="array" ref="AU32">_xll.ASAssetStatistic($A32,"Annual Sharpe Ratio (Rf) Last 5 years",,,'PBA Summary'!$H$2,"m",'PBA Summary'!$F$2,'PBA Summary'!$G$2)</f>
        <v/>
      </c>
      <c r="AV32" s="18" cm="1">
        <f t="array" ref="AV32">_xll.ASAssetStatistic($A32,"Ann. Downside Deviation (vs 0%)",,,'PBA Summary'!$H$2,"m",'PBA Summary'!$F$2,'PBA Summary'!$G$2)</f>
        <v>4.0490240968171526E-2</v>
      </c>
      <c r="AW32" s="18" cm="1">
        <f t="array" ref="AW32">_xll.ASAssetStatistic($A32,"Ann. Downside Deviation (vs Rf)",,,'PBA Summary'!$H$2,"m",'PBA Summary'!$F$2,'PBA Summary'!$G$2)</f>
        <v>4.0907222098793987E-2</v>
      </c>
      <c r="AX32" s="39" cm="1">
        <f t="array" ref="AX32">_xll.ASAssetStatistic($A32,"Annual Treynor ratio",,,'PBA Summary'!$H$2,"m",'PBA Summary'!$F$2,'PBA Summary'!$G$2)</f>
        <v>0.1121635780301051</v>
      </c>
      <c r="AY32" s="26" cm="1">
        <f t="array" ref="AY32">_xll.ASAssetStatistic($A32,"Annual Sortino Ratio (vs 0%)",,,'PBA Summary'!$H$2,"m",'PBA Summary'!$F$2,'PBA Summary'!$G$2)</f>
        <v>2.7869145622047102</v>
      </c>
      <c r="AZ32" s="26" cm="1">
        <f t="array" ref="AZ32">_xll.ASAssetStatistic($A32,"Annual Sortino Ratio (vs Rf)",,,'PBA Summary'!$H$2,"m",'PBA Summary'!$F$2,'PBA Summary'!$G$2)</f>
        <v>2.6973926979174676</v>
      </c>
      <c r="BA32" s="26" cm="1">
        <f t="array" ref="BA32">_xll.ASAssetStatistic($A32,"Sterling ratio",,,'PBA Summary'!$H$2,"m",'PBA Summary'!$F$2,'PBA Summary'!$G$2)</f>
        <v>0.84197690779341938</v>
      </c>
      <c r="BB32" s="26" cm="1">
        <f t="array" ref="BB32">_xll.ASAssetStatistic($A32,"Calmar ratio",,,'PBA Summary'!$H$2,"m",'PBA Summary'!$F$2,'PBA Summary'!$G$2)</f>
        <v>3.3168289457793345</v>
      </c>
      <c r="BC32" s="26" cm="1">
        <f t="array" ref="BC32">_xll.ASAssetStatistic($A32,"Hurst index",,,'PBA Summary'!$H$2,"m",'PBA Summary'!$F$2,'PBA Summary'!$G$2)</f>
        <v>0.37136903403903199</v>
      </c>
      <c r="BD32" s="26" cm="1">
        <f t="array" ref="BD32">_xll.ASAssetStatistic($A32,"Omega (Threshold 1)",,,'PBA Summary'!$H$2,"m",'PBA Summary'!$F$2,'PBA Summary'!$G$2)</f>
        <v>2.3813144805760795</v>
      </c>
      <c r="BE32" s="26" cm="1">
        <f t="array" ref="BE32">_xll.ASAssetStatistic($A32,"Omega (Threshold 2)",,,'PBA Summary'!$H$2,"m",'PBA Summary'!$F$2,'PBA Summary'!$G$2)</f>
        <v>1.4757695092575058</v>
      </c>
      <c r="BF32" s="26" cm="1">
        <f t="array" ref="BF32">_xll.ASAssetStatistic($A32,"Omega (Threshold 3)",,,'PBA Summary'!$H$2,"m",'PBA Summary'!$F$2,'PBA Summary'!$G$2)</f>
        <v>0.94338037122112972</v>
      </c>
      <c r="BG32" s="26" cm="1">
        <f t="array" ref="BG32">_xll.ASAssetStatistic($A32,"Omega (Threshold 4)",,,'PBA Summary'!$H$2,"m",'PBA Summary'!$F$2,'PBA Summary'!$G$2)</f>
        <v>0.62967417742404952</v>
      </c>
      <c r="BH32" s="26" cm="1">
        <f t="array" ref="BH32">_xll.ASAssetStatistic($A32,"Omega (Threshold 5)",,,'PBA Summary'!$H$2,"m",'PBA Summary'!$F$2,'PBA Summary'!$G$2)</f>
        <v>0.42798474818020726</v>
      </c>
      <c r="BI32" s="26" t="str" cm="1">
        <f t="array" ref="BI32">_xll.ASAssetStatistic($A32,"Autocorrelated (illiquid)",,,'PBA Summary'!$H$2,"m",'PBA Summary'!$F$2,'PBA Summary'!$G$2)</f>
        <v>No</v>
      </c>
      <c r="BJ32" s="27" cm="1">
        <f t="array" ref="BJ32">_xll.ASAssetStatistic($A32,"% months in Run Up",,,'PBA Summary'!$H$2,"m",'PBA Summary'!$F$2,'PBA Summary'!$G$2)</f>
        <v>0.53333333333333333</v>
      </c>
      <c r="BK32" s="27" cm="1">
        <f t="array" ref="BK32">_xll.ASAssetStatistic($A32,"% months in Drawdown",,,'PBA Summary'!$H$2,"m",'PBA Summary'!$F$2,'PBA Summary'!$G$2)</f>
        <v>0.46666666666666667</v>
      </c>
      <c r="BL32" s="18" cm="1">
        <f t="array" ref="BL32">IF('PBA Summary'!$D$2="","",_xll.ASAssetStatistic($A32,"Bull Beta to Benchmark 1",'PBA Summary'!$D$2,,,"m",'PBA Summary'!$F$2,'PBA Summary'!$G$2))</f>
        <v>0.77117411926023316</v>
      </c>
      <c r="BM32" s="18" cm="1">
        <f t="array" ref="BM32">IF('PBA Summary'!$D$2="","",_xll.ASAssetStatistic($A32,"Average return during bear Benchmark 1",'PBA Summary'!$D$2,,,"m",'PBA Summary'!$F$2,'PBA Summary'!$G$2))</f>
        <v>-9.8557877833885532E-3</v>
      </c>
      <c r="BN32" s="18" cm="1">
        <f t="array" ref="BN32">IF('PBA Summary'!$D$3="","",_xll.ASAssetStatistic($A32,"Average return during bull Benchmark 1",'PBA Summary'!$D$3,,,"m",'PBA Summary'!$F$2,'PBA Summary'!$G$2))</f>
        <v>1.6293511178918328E-2</v>
      </c>
      <c r="BO32" s="18" cm="1">
        <f t="array" ref="BO32">IF('PBA Summary'!$D$3="","",_xll.ASAssetStatistic($A32,"Average return during bear Benchmark 1",'PBA Summary'!$D$3,,,"m",'PBA Summary'!$F$2,'PBA Summary'!$G$2))</f>
        <v>-9.8557877833885532E-3</v>
      </c>
      <c r="BP32" s="27" cm="1">
        <f t="array" ref="BP32">_xll.ASAssetStatistic($A32,"Maximum consecutive gain",,,'PBA Summary'!$H$2,"m",'PBA Summary'!$F$2,'PBA Summary'!$G$2)</f>
        <v>0.10254607991613529</v>
      </c>
      <c r="BQ32" s="27" cm="1">
        <f t="array" ref="BQ32">_xll.ASAssetStatistic($A32,"Maximum consecutive loss",,,'PBA Summary'!$H$2,"m",'PBA Summary'!$F$2,'PBA Summary'!$G$2)</f>
        <v>-3.4021302884783111E-2</v>
      </c>
      <c r="BR32" s="27" cm="1">
        <f t="array" ref="BR32">_xll.ASAssetStatistic($A32,"Max monthly gain",,,'PBA Summary'!$H$2,"m",'PBA Summary'!$F$2,'PBA Summary'!$G$2)</f>
        <v>5.9126667850010861E-2</v>
      </c>
      <c r="BS32" s="27" cm="1">
        <f t="array" ref="BS32">_xll.ASAssetStatistic($A32,"Max monthly loss",,,'PBA Summary'!$H$2,"m",'PBA Summary'!$F$2,'PBA Summary'!$G$2)</f>
        <v>-2.8821194928593252E-2</v>
      </c>
      <c r="BT32" s="27" cm="1">
        <f t="array" ref="BT32">_xll.ASAssetStatistic($A32,"Max drawdown",,,'PBA Summary'!$H$2,"m",'PBA Summary'!$F$2,'PBA Summary'!$G$2)</f>
        <v>-3.4021302884783222E-2</v>
      </c>
      <c r="BU32" s="28" cm="1">
        <f t="array" ref="BU32">_xll.ASAssetStatistic($A32,"Date Max drawdown",,,'PBA Summary'!$H$2,"m",'PBA Summary'!$F$2,'PBA Summary'!$G$2)</f>
        <v>43616</v>
      </c>
      <c r="BV32" s="28" cm="1">
        <f t="array" ref="BV32">_xll.ASAssetStatistic($A32,"Start Date Max Drawdown",,,'PBA Summary'!$H$2,"m",'PBA Summary'!$F$2,'PBA Summary'!$G$2)</f>
        <v>43524</v>
      </c>
      <c r="BW32" s="28" cm="1">
        <f t="array" ref="BW32">_xll.ASAssetStatistic($A32,"End Date Max Drawdown",,,'PBA Summary'!$H$2,"m",'PBA Summary'!$F$2,'PBA Summary'!$G$2)</f>
        <v>43616</v>
      </c>
      <c r="BX32" s="29" cm="1">
        <f t="array" ref="BX32">_xll.ASAssetStatistic($A32,"Max Time-under-water (months)",,,'PBA Summary'!$H$2,"m",'PBA Summary'!$F$2,'PBA Summary'!$G$2)</f>
        <v>4</v>
      </c>
      <c r="BY32" s="27" cm="1">
        <f t="array" ref="BY32">_xll.ASAssetStatistic($A32,"Max possible drawdown 99%",,,'PBA Summary'!$H$2,"m",'PBA Summary'!$F$2,'PBA Summary'!$G$2)</f>
        <v>-0.11737504731547239</v>
      </c>
      <c r="BZ32" s="27" cm="1">
        <f t="array" ref="BZ32">_xll.ASAssetStatistic($A32,"Max possible drawdown 99.9%",,,'PBA Summary'!$H$2,"m",'PBA Summary'!$F$2,'PBA Summary'!$G$2)</f>
        <v>-0.20711364931853365</v>
      </c>
      <c r="CA32" s="30" cm="1">
        <f t="array" ref="CA32">_xll.ASAssetStatistic($A32,"Max Possible Time-under-water 99% (months)",,,'PBA Summary'!$H$2,"m",'PBA Summary'!$F$2,'PBA Summary'!$G$2)</f>
        <v>50.373585143096435</v>
      </c>
      <c r="CB32" s="30" cm="1">
        <f t="array" ref="CB32">_xll.ASAssetStatistic($A32,"Max Possible Time-under-water 99.9% (months)",,,'PBA Summary'!$H$2,"m",'PBA Summary'!$F$2,'PBA Summary'!$G$2)</f>
        <v>88.886499190951</v>
      </c>
      <c r="CC32" s="17" cm="1">
        <f t="array" ref="CC32">_xll.ASPortfolioReturnAttribution('PBA Summary'!$C$2,"OR",A32,"Last 1m",'PBA Summary'!$F$2,'PBA Summary'!$G$2)</f>
        <v>0</v>
      </c>
      <c r="CD32" s="11" t="str" cm="1">
        <f t="array" ref="CD32">_xll.ASAssetInfo($A32,"Strategy")</f>
        <v>Funds - Credit Long Only</v>
      </c>
      <c r="CE32" s="14" cm="1">
        <f t="array" ref="CE32">_xll.ASAssetInfo($A32,"Start Date")</f>
        <v>40716</v>
      </c>
      <c r="CF32" s="14" t="str" cm="1">
        <f t="array" ref="CF32">_xll.ASAssetRatings($A32,"Quantitative",0,0,0,0,0,'PBA Summary'!$F$2,'PBA Summary'!$G$2)</f>
        <v/>
      </c>
      <c r="CG32" s="14" t="str" cm="1">
        <f t="array" ref="CG32">_xll.ASAssetRatings($A32,"Qualitative",0,0,0,0,0,'PBA Summary'!$F$2,'PBA Summary'!$G$2)</f>
        <v/>
      </c>
      <c r="CH32" s="14" t="str" cm="1">
        <f t="array" ref="CH32">_xll.ASAssetRatings($A32,"Final",0,0,0,0,0,'PBA Summary'!$F$2,'PBA Summary'!$G$2)</f>
        <v/>
      </c>
      <c r="CI32" s="14" cm="1">
        <f t="array" ref="CI32">_xll.ASAssetInfo($A32,"Last Return Date")</f>
        <v>44134</v>
      </c>
      <c r="CJ32" s="14" t="str" cm="1">
        <f t="array" ref="CJ32">_xll.ASAssetInfo($A32,"Company Name")</f>
        <v>iShares ETFs/Ireland</v>
      </c>
      <c r="CK32" s="14" t="str" cm="1">
        <f t="array" ref="CK32">_xll.ASAssetInfo($A32,"Manager Name")</f>
        <v>Francis Rayner</v>
      </c>
      <c r="CL32" s="14" t="str" cm="1">
        <f t="array" ref="CL32">_xll.ASAssetInfo($A32,"Address")</f>
        <v>BlackRock Inc. JP Morgan House. International Financial Services Ctr. Dublin 1. Ireland</v>
      </c>
      <c r="CM32" s="14" t="str" cm="1">
        <f t="array" ref="CM32">_xll.ASAssetInfo($A32,"Phone Number")</f>
        <v>+44-20-7668-8007 Tel</v>
      </c>
      <c r="CN32" s="14" t="str" cm="1">
        <f t="array" ref="CN32">_xll.ASAssetInfo($A32,"Email")</f>
        <v/>
      </c>
      <c r="CO32" s="14" t="str" cm="1">
        <f t="array" ref="CO32">_xll.ASAssetInfo($A32,"Asset Type")</f>
        <v>Fixed Income</v>
      </c>
      <c r="CP32" s="14" t="str" cm="1">
        <f t="array" ref="CP32">_xll.ASAssetInfo($A32,"Proprietary ID")</f>
        <v/>
      </c>
      <c r="CQ32" s="14" t="str" cm="1">
        <f t="array" ref="CQ32">_xll.ASAssetInfo($A32,"Country")</f>
        <v>Ireland</v>
      </c>
      <c r="CR32" s="14" t="str" cm="1">
        <f t="array" ref="CR32">_xll.ASAssetInfo($A32,"Currency")</f>
        <v>USD</v>
      </c>
      <c r="CS32" s="14" t="str" cm="1">
        <f t="array" ref="CS32">_xll.ASAssetInfo($A32,"Sub-Strategy")</f>
        <v>Lcl Ccy Govies</v>
      </c>
      <c r="CT32" s="31" cm="1">
        <f t="array" ref="CT32">_xll.ASAssetInfo($A32,"Fund AUM (m)")</f>
        <v>5819.4137000000001</v>
      </c>
      <c r="CU32" s="31" t="str" cm="1">
        <f t="array" ref="CU32">_xll.ASAssetInfo($A32,"Status")</f>
        <v>Unknown</v>
      </c>
      <c r="CV32" s="31" t="str" cm="1">
        <f t="array" ref="CV32">_xll.ASAssetInfo($A32,"Redemption 1 Frequency")</f>
        <v>Daily</v>
      </c>
      <c r="CW32" s="31" t="str" cm="1">
        <f t="array" ref="CW32">_xll.ASAssetInfo($A32,"Redemption 2 Frequency")</f>
        <v>Unknown</v>
      </c>
      <c r="CX32" s="31" t="str" cm="1">
        <f t="array" ref="CX32">_xll.ASAssetInfo($A32,"Redemption 3 Frequency")</f>
        <v>Unknown</v>
      </c>
      <c r="CY32" s="31" t="str" cm="1">
        <f t="array" ref="CY32">_xll.ASAssetInfo($A32,"Notice Period")</f>
        <v/>
      </c>
      <c r="CZ32" s="15" t="str" cm="1">
        <f t="array" ref="CZ32">_xll.ASAssetInfo($A32,"Performance Fee")</f>
        <v/>
      </c>
      <c r="DA32" s="15" cm="1">
        <f t="array" ref="DA32">_xll.ASAssetInfo($A32,"Management Fee")</f>
        <v>5.0000000000000001E-3</v>
      </c>
      <c r="DB32" s="15" t="str" cm="1">
        <f t="array" ref="DB32">_xll.ASAssetInfo($A32,"ISIN")</f>
        <v>IE00B5M4WH52</v>
      </c>
      <c r="DC32" s="16" cm="1">
        <f t="array" ref="DC32">_xll.ASAssetStatistic($A32,"Return during " &amp;YEAR(EOMONTH('PBA Summary'!$G$2,-60)),,,,"M",DATE(YEAR(EOMONTH('PBA Summary'!$G$2,-60)),1,31),DATE(YEAR(EOMONTH('PBA Summary'!$G$2,-60)),12,31))</f>
        <v>-0.15002946455939414</v>
      </c>
      <c r="DD32" s="16" cm="1">
        <f t="array" ref="DD32">_xll.ASAssetStatistic($A32,"Return during " &amp;YEAR(EOMONTH('PBA Summary'!$G$2,-48)),,,,"M",DATE(YEAR(EOMONTH('PBA Summary'!$G$2,-48)),1,31),DATE(YEAR(EOMONTH('PBA Summary'!$G$2,-48)),12,31))</f>
        <v>8.837478542057764E-2</v>
      </c>
      <c r="DE32" s="16" cm="1">
        <f t="array" ref="DE32">_xll.ASAssetStatistic($A32,"Return during " &amp;YEAR(EOMONTH('PBA Summary'!$G$2,-36)),,,,"M",DATE(YEAR(EOMONTH('PBA Summary'!$G$2,-36)),1,31),DATE(YEAR(EOMONTH('PBA Summary'!$G$2,-36)),12,31))</f>
        <v>0.13599655695633062</v>
      </c>
      <c r="DF32" s="16" cm="1">
        <f t="array" ref="DF32">_xll.ASAssetStatistic($A32,"Return during " &amp;YEAR(EOMONTH('PBA Summary'!$G$2,-24)),,,,"M",DATE(YEAR(EOMONTH('PBA Summary'!$G$2,-24)),1,31),DATE(YEAR(EOMONTH('PBA Summary'!$G$2,-24)),12,31))</f>
        <v>-7.2270237108631785E-2</v>
      </c>
      <c r="DG32" s="16" cm="1">
        <f t="array" ref="DG32">_xll.ASAssetStatistic($A32,"Return during " &amp;YEAR(EOMONTH('PBA Summary'!$G$2,-12)),,,,"M",DATE(YEAR(EOMONTH('PBA Summary'!$G$2,-12)),1,31),DATE(YEAR(EOMONTH('PBA Summary'!$G$2,-12)),12,31))</f>
        <v>0.11720224650013922</v>
      </c>
      <c r="DH32" s="11" t="str" cm="1">
        <f t="array" ref="DH32">_xll.ASAssetInfo($A32,"Prime Broker")</f>
        <v/>
      </c>
      <c r="DI32" s="16" cm="1">
        <f t="array" ref="DI32">_xll.ASAssetStatistic($A32,"Return",,,,"m",'PBA Summary'!$F$2,'PBA Summary'!$G$2)</f>
        <v>0.14298964515264023</v>
      </c>
      <c r="DJ32" s="33" cm="1">
        <f t="array" ref="DJ32">IF('PBA Summary'!$D$2="","",_xll.ASAssetStatistic($A32,"Ann. Information Ratio vs Benchmark 1",'PBA Summary'!$D$2,,,"m",'PBA Summary'!$F$2,'PBA Summary'!$G$2))</f>
        <v>-0.41998608166618517</v>
      </c>
      <c r="DK32" s="33" cm="1">
        <f t="array" ref="DK32">IF('PBA Summary'!$D$3="","",_xll.ASAssetStatistic($A32,"Ann. Information Ratio vs Benchmark 1",'PBA Summary'!$D$3,,,"m",'PBA Summary'!$F$2,'PBA Summary'!$G$2))</f>
        <v>-0.41998608166618517</v>
      </c>
      <c r="DL32" s="33" cm="1">
        <f t="array" ref="DL32">IF('PBA Summary'!$D$2="","",_xll.ASAssetStatistic($A32,"Ann. Tracking Error vs Benchmark 1",'PBA Summary'!$D$2,,,"m",'PBA Summary'!$F$2,'PBA Summary'!$G$2))</f>
        <v>0.14159872110371513</v>
      </c>
      <c r="DM32" s="33" cm="1">
        <f t="array" ref="DM32">IF('PBA Summary'!$D$3="","",_xll.ASAssetStatistic($A32,"Ann. Tracking Error vs Benchmark 1",'PBA Summary'!$D$3,,,"m",'PBA Summary'!$F$2,'PBA Summary'!$G$2))</f>
        <v>0.14159872110371513</v>
      </c>
      <c r="DN32" s="33" cm="1">
        <f t="array" ref="DN32">IF('PBA Summary'!$D$2="","",_xll.ASAssetStatistic($A32,"R² vs Benchmark 1",'PBA Summary'!$D$2,,,"m",'PBA Summary'!$F$2,'PBA Summary'!$G$2))</f>
        <v>0.19111764477310789</v>
      </c>
      <c r="DO32" s="33" cm="1">
        <f t="array" ref="DO32">IF('PBA Summary'!$D$3="","",_xll.ASAssetStatistic($A32,"R² vs Benchmark 1",'PBA Summary'!$D$3,,,"m",'PBA Summary'!$F$2,'PBA Summary'!$G$2))</f>
        <v>0.19111764477310789</v>
      </c>
      <c r="DP32" s="11" t="str" cm="1">
        <f t="array" ref="DP32">_xll.ASAssetInfo($A32,"On-/Offshore")</f>
        <v>Unknown</v>
      </c>
      <c r="DQ32" s="16" cm="1">
        <f t="array" ref="DQ32">_xll.ASAssetStatistic($A32,"Quarter-to-date",,,,"m",'PBA Summary'!$F$2,'PBA Summary'!$G$2)</f>
        <v>-1.7207916617773544E-2</v>
      </c>
      <c r="DR32" s="16" cm="1">
        <f t="array" ref="DR32">_xll.ASAssetStatistic($A32,"Annualized Return Since inception",,,,"m",'PBA Summary'!$F$2,'PBA Summary'!$G$2)</f>
        <v>-1.2247994034333964E-2</v>
      </c>
      <c r="DS32" s="16" cm="1">
        <f t="array" ref="DS32">IF('PBA Summary'!$D$2="","",_xll.ASAssetStatistic($A32,"Ann. Bear Market Return vs Benchmark 1",'PBA Summary'!$D$2,,,"m",'PBA Summary'!$F$2,'PBA Summary'!$G$2))</f>
        <v>-0.11315246322574901</v>
      </c>
      <c r="DT32" s="16" cm="1">
        <f t="array" ref="DT32">IF('PBA Summary'!$D$2="","",_xll.ASAssetStatistic($A32,"Ann. Bull Market Return vs Benchmark 1",'PBA Summary'!$D$2,,,"m",'PBA Summary'!$F$2,'PBA Summary'!$G$2))</f>
        <v>0.20860081106864836</v>
      </c>
      <c r="DU32" s="16" cm="1">
        <f t="array" ref="DU32">IF('PBA Summary'!$D$3="","",_xll.ASAssetStatistic($A32,"Ann. Bear Market Return vs Benchmark 1",'PBA Summary'!$D$3,,,"m",'PBA Summary'!$F$2,'PBA Summary'!$G$2))</f>
        <v>-0.11315246322574901</v>
      </c>
      <c r="DV32" s="16" cm="1">
        <f t="array" ref="DV32">IF('PBA Summary'!$D$3="","",_xll.ASAssetStatistic($A32,"Ann. Bull Market Return vs Benchmark 1",'PBA Summary'!$D$3,,,"m",'PBA Summary'!$F$2,'PBA Summary'!$G$2))</f>
        <v>0.20860081106864836</v>
      </c>
      <c r="DW32" s="17" cm="1">
        <f t="array" ref="DW32">_xll.ASAssetStatistic($A32,"Average Positive Return",,,,"m",'PBA Summary'!$F$2,'PBA Summary'!$G$2)</f>
        <v>3.0127172271854213E-2</v>
      </c>
      <c r="DX32" s="17" cm="1">
        <f t="array" ref="DX32">_xll.ASAssetStatistic($A32,"Average Negative Return",,,,"m",'PBA Summary'!$F$2,'PBA Summary'!$G$2)</f>
        <v>-1.4458843762898046E-2</v>
      </c>
      <c r="DY32" s="16" cm="1">
        <f t="array" ref="DY32">IF('PBA Summary'!$D$2="","",_xll.ASAssetStatistic($A32,"Outperformance vs Benchmark 1",'PBA Summary'!$D$2,,,"m",'PBA Summary'!$F$2,'PBA Summary'!$G$2))</f>
        <v>-7.685399965607842E-2</v>
      </c>
      <c r="DZ32" s="16" cm="1">
        <f t="array" ref="DZ32">IF('PBA Summary'!$D$3="","",_xll.ASAssetStatistic($A32,"Outperformance vs Benchmark 1",'PBA Summary'!$D$3,,,"m",'PBA Summary'!$F$2,'PBA Summary'!$G$2))</f>
        <v>-7.685399965607842E-2</v>
      </c>
      <c r="EA32" s="16" cm="1">
        <f t="array" ref="EA32">IF('PBA Summary'!$D$2="","",_xll.ASAssetStatistic($A32,"Annual Outperformance vs Benchmark 1",'PBA Summary'!$D$2,,,"m",'PBA Summary'!$F$2,'PBA Summary'!$G$2))</f>
        <v>-5.9469492045292283E-2</v>
      </c>
      <c r="EB32" s="16" cm="1">
        <f t="array" ref="EB32">IF('PBA Summary'!$D$3="","",_xll.ASAssetStatistic($A32,"Annual Outperformance vs Benchmark 1",'PBA Summary'!$D$3,,,"m",'PBA Summary'!$F$2,'PBA Summary'!$G$2))</f>
        <v>-5.9469492045292283E-2</v>
      </c>
      <c r="EC32" s="32" cm="1">
        <f t="array" ref="EC32">_xll.ASAssetStatistic($A32,"Rachev Ratio 99%",,,,"m",'PBA Summary'!$F$2,'PBA Summary'!$G$2)</f>
        <v>-2.0514995299987309</v>
      </c>
      <c r="ED32" s="32" cm="1">
        <f t="array" ref="ED32">_xll.ASAssetStatistic($A32,"Rachev Ratio 97%",,,,"m",'PBA Summary'!$F$2,'PBA Summary'!$G$2)</f>
        <v>-2.0514995299987309</v>
      </c>
      <c r="EE32" s="32" cm="1">
        <f t="array" ref="EE32">_xll.ASAssetStatistic($A32,"Rachev Ratio 95%",,,,"m",'PBA Summary'!$F$2,'PBA Summary'!$G$2)</f>
        <v>-2.0514995299987309</v>
      </c>
      <c r="EF32" s="32" cm="1">
        <f t="array" ref="EF32">_xll.ASAssetStatistic($A32,"Rachev Ratio 90%",,,,"m",'PBA Summary'!$F$2,'PBA Summary'!$G$2)</f>
        <v>-2.3415762452322442</v>
      </c>
      <c r="EG32" s="34" cm="1">
        <f t="array" ref="EG32">IF('PBA Summary'!$D$2="","",_xll.ASAssetStatistic($A32,"Annual Up Capture vs Benchmark 1",'PBA Summary'!$D$2,,,"m",'PBA Summary'!$F$2,'PBA Summary'!$G$2))</f>
        <v>0.41208528121860044</v>
      </c>
      <c r="EH32" s="34" cm="1">
        <f t="array" ref="EH32">IF('PBA Summary'!$D$3="","",_xll.ASAssetStatistic($A32,"Annual Up Capture vs Benchmark 1",'PBA Summary'!$D$3,,,"m",'PBA Summary'!$F$2,'PBA Summary'!$G$2))</f>
        <v>0.41208528121860044</v>
      </c>
      <c r="EI32" s="34" cm="1">
        <f t="array" ref="EI32">IF('PBA Summary'!$D$2="","",_xll.ASAssetStatistic($A32,"Annual Down Capture vs Benchmark 1",'PBA Summary'!$D$2,,,"m",'PBA Summary'!$F$2,'PBA Summary'!$G$2))</f>
        <v>0.2749597914940195</v>
      </c>
      <c r="EJ32" s="34" cm="1">
        <f t="array" ref="EJ32">IF('PBA Summary'!$D$3="","",_xll.ASAssetStatistic($A32,"Annual Down Capture vs Benchmark 1",'PBA Summary'!$D$3,,,"m",'PBA Summary'!$F$2,'PBA Summary'!$G$2))</f>
        <v>0.2749597914940195</v>
      </c>
      <c r="EK32" s="16" cm="1">
        <f t="array" ref="EK32">IF('PBA Summary'!$D$2="","",_xll.ASAssetStatistic($A32,"Ann. Tracking Error vs Benchmark 1",'PBA Summary'!$D$2,,,"m",'PBA Summary'!$F$2,'PBA Summary'!$G$2))</f>
        <v>0.14159872110371513</v>
      </c>
      <c r="EL32" s="16" cm="1">
        <f t="array" ref="EL32">IF('PBA Summary'!$D$3="","",_xll.ASAssetStatistic($A32,"Ann. Tracking Error vs Benchmark 1",'PBA Summary'!$D$3,,,"m",'PBA Summary'!$F$2,'PBA Summary'!$G$2))</f>
        <v>0.14159872110371513</v>
      </c>
      <c r="EM32" s="16" cm="1">
        <f t="array" ref="EM32">IF('PBA Summary'!$D$2="","",_xll.ASAssetStatistic($A32,"Annual Jensen Alpha vs Benchmark 1 (Rf)",'PBA Summary'!$D$2,,,"m",'PBA Summary'!$F$2,'PBA Summary'!$G$2))</f>
        <v>6.2711407531195612E-2</v>
      </c>
      <c r="EN32" s="16" cm="1">
        <f t="array" ref="EN32">IF('PBA Summary'!$D$3="","",_xll.ASAssetStatistic($A32,"Annual Jensen Alpha vs Benchmark 1 (Rf)",'PBA Summary'!$D$3,,,"m",'PBA Summary'!$F$2,'PBA Summary'!$G$2))</f>
        <v>6.2711407531195612E-2</v>
      </c>
      <c r="EO32" s="33" cm="1">
        <f t="array" ref="EO32">IF('PBA Summary'!$D$2="","",_xll.ASAssetStatistic($A32,"Ann. Information Ratio vs Benchmark 1",'PBA Summary'!$D$2,,,"m",'PBA Summary'!$F$2,'PBA Summary'!$G$2))</f>
        <v>-0.41998608166618517</v>
      </c>
      <c r="EP32" s="33" cm="1">
        <f t="array" ref="EP32">IF('PBA Summary'!$D$3="","",_xll.ASAssetStatistic($A32,"Ann. Information Ratio vs Benchmark 1",'PBA Summary'!$D$3,,,"m",'PBA Summary'!$F$2,'PBA Summary'!$G$2))</f>
        <v>-0.41998608166618517</v>
      </c>
      <c r="EQ32" s="17" cm="1">
        <f t="array" ref="EQ32">IF('PBA Summary'!$D$2="","",_xll.ASAssetStatistic($A32,"Alpha Monthly vs Benchmark 1",'PBA Summary'!$D$2,,,"m",'PBA Summary'!$F$2,'PBA Summary'!$G$2))</f>
        <v>5.3184152419360285E-3</v>
      </c>
      <c r="ER32" s="17" cm="1">
        <f t="array" ref="ER32">IF('PBA Summary'!$D$3="","",_xll.ASAssetStatistic($A32,"Alpha Monthly vs Benchmark 1",'PBA Summary'!$D$3,,,"m",'PBA Summary'!$F$2,'PBA Summary'!$G$2))</f>
        <v>5.3184152419360285E-3</v>
      </c>
      <c r="ES32" s="11" t="str" cm="1">
        <f t="array" ref="ES32">_xll.ASAssetInfo($A32,"Company AUM (m)")</f>
        <v/>
      </c>
      <c r="ET32" s="16" cm="1">
        <f t="array" ref="ET32">_xll.ASAssetStatistic($A32,"Exponential Annualized Volatility",,,,"m",'PBA Summary'!$F$2,'PBA Summary'!$G$2)</f>
        <v>9.8651975183975366E-2</v>
      </c>
      <c r="EU32" s="16" cm="1">
        <f t="array" ref="EU32">_xll.ASAssetStatistic($A32,"Exponential Annualized Volatility Last 1 year",,,,"m",'PBA Summary'!$F$2,'PBA Summary'!$G$2)</f>
        <v>9.5622821152599791E-2</v>
      </c>
      <c r="EV32" s="16" t="str" cm="1">
        <f t="array" ref="EV32">_xll.ASAssetStatistic($A32,"Exponential Annualized Volatility Last 3 years",,,,"m",'PBA Summary'!$F$2,'PBA Summary'!$G$2)</f>
        <v/>
      </c>
      <c r="EW32" s="34" cm="1">
        <f t="array" ref="EW32">IF('PBA Summary'!$D$2="","",_xll.ASAssetStatistic($A32,"Exponential Correlation to Benchmark 1",'PBA Summary'!$D$2,,,"m",'PBA Summary'!$F$2,'PBA Summary'!$G$2))</f>
        <v>0.4133936626280944</v>
      </c>
      <c r="EX32" s="34" cm="1">
        <f t="array" ref="EX32">IF('PBA Summary'!$D$3="","",_xll.ASAssetStatistic($A32,"Exponential Correlation to Benchmark 1",'PBA Summary'!$D$3,,,"m",'PBA Summary'!$F$2,'PBA Summary'!$G$2))</f>
        <v>0.4133936626280944</v>
      </c>
      <c r="EY32" s="34" cm="1">
        <f t="array" ref="EY32">_xll.ASAssetStatistic($A32,"Exponential Annual Sharpe Ratio (Rf)",,,,"m",'PBA Summary'!$F$2,'PBA Summary'!$G$2)</f>
        <v>0.88803309691748633</v>
      </c>
      <c r="EZ32" s="34" cm="1">
        <f t="array" ref="EZ32">_xll.ASAssetStatistic($A32,"Exponential Normal Monthly VaR 99%",,,,"m",'PBA Summary'!$F$2,'PBA Summary'!$G$2)</f>
        <v>-5.9035098455635614E-2</v>
      </c>
      <c r="FA32" s="34" cm="1">
        <f t="array" ref="FA32">_xll.ASAssetStatistic($A32,"Exponential Normal Monthly VaR 97%",,,,"m",'PBA Summary'!$F$2,'PBA Summary'!$G$2)</f>
        <v>-4.6346438229972378E-2</v>
      </c>
      <c r="FB32" s="34" cm="1">
        <f t="array" ref="FB32">_xll.ASAssetStatistic($A32,"Exponential Normal Monthly VaR 95%",,,,"m",'PBA Summary'!$F$2,'PBA Summary'!$G$2)</f>
        <v>-3.9627251625135279E-2</v>
      </c>
      <c r="FC32" s="34" cm="1">
        <f t="array" ref="FC32">_xll.ASAssetStatistic($A32,"Exponential Normal Monthly VaR 90%",,,,"m",'PBA Summary'!$F$2,'PBA Summary'!$G$2)</f>
        <v>-2.9281000294175828E-2</v>
      </c>
      <c r="FD32" s="34" t="str" cm="1">
        <f t="array" ref="FD32">_xll.ASAssetStatistic($A32,"Exponential Normal weekly VaR 99%",,,,"m",'PBA Summary'!$F$2,'PBA Summary'!$G$2)</f>
        <v/>
      </c>
      <c r="FE32" s="34" t="str" cm="1">
        <f t="array" ref="FE32">_xll.ASAssetStatistic($A32,"Exponential Normal weekly VaR 97%",,,,"m",'PBA Summary'!$F$2,'PBA Summary'!$G$2)</f>
        <v/>
      </c>
      <c r="FF32" s="34" t="str" cm="1">
        <f t="array" ref="FF32">_xll.ASAssetStatistic($A32,"Exponential Normal weekly VaR 95%",,,,"m",'PBA Summary'!$F$2,'PBA Summary'!$G$2)</f>
        <v/>
      </c>
      <c r="FG32" s="34" t="str" cm="1">
        <f t="array" ref="FG32">_xll.ASAssetStatistic($A32,"Exponential Normal weekly VaR 90%",,,,"m",'PBA Summary'!$F$2,'PBA Summary'!$G$2)</f>
        <v/>
      </c>
      <c r="FH32" s="34" t="str" cm="1">
        <f t="array" ref="FH32">_xll.ASAssetStatistic($A32,"Exponential Normal daily VaR 99%",,,,"m",'PBA Summary'!$F$2,'PBA Summary'!$G$2)</f>
        <v/>
      </c>
      <c r="FI32" s="34" t="str" cm="1">
        <f t="array" ref="FI32">_xll.ASAssetStatistic($A32,"Exponential Normal daily VaR 97%",,,,"m",'PBA Summary'!$F$2,'PBA Summary'!$G$2)</f>
        <v/>
      </c>
      <c r="FJ32" s="34" t="str" cm="1">
        <f t="array" ref="FJ32">_xll.ASAssetStatistic($A32,"Exponential Normal daily VaR 95%",,,,"m",'PBA Summary'!$F$2,'PBA Summary'!$G$2)</f>
        <v/>
      </c>
      <c r="FK32" s="34" t="str" cm="1">
        <f t="array" ref="FK32">_xll.ASAssetStatistic($A32,"Exponential Normal daily VaR 90%",,,,"m",'PBA Summary'!$F$2,'PBA Summary'!$G$2)</f>
        <v/>
      </c>
      <c r="FL32" s="34" cm="1">
        <f t="array" ref="FL32">_xll.ASAssetStatistic($A32,"Bias Ratio",,,,"m",'PBA Summary'!$F$2,'PBA Summary'!$G$2)</f>
        <v>0.42857142857142855</v>
      </c>
      <c r="FM32" s="11" t="str" cm="1">
        <f t="array" ref="FM32">_xll.ASAssetInfo($A32,"Manager's Biography")</f>
        <v/>
      </c>
      <c r="FN32" s="11" cm="1">
        <f t="array" ref="FN32">_xll.ASAssetInfo($A32,"Investment Min")</f>
        <v>0</v>
      </c>
      <c r="FO32" s="11" t="str" cm="1">
        <f t="array" ref="FO32">_xll.ASAssetInfo($A32,"Auditor")</f>
        <v>PricewaterhouseCoopers/Ireland</v>
      </c>
      <c r="FP32" s="11" t="str" cm="1">
        <f t="array" ref="FP32">_xll.ASAssetInfo($A32,"Custodian")</f>
        <v>State Street Custodial Services Ireland Ltd</v>
      </c>
      <c r="FQ32" s="11" t="str" cm="1">
        <f t="array" ref="FQ32">_xll.ASAssetInfo($A32,"Administrator")</f>
        <v>State Street Fund Services Ireland Ltd</v>
      </c>
      <c r="FR32" s="14" t="str" cm="1">
        <f t="array" ref="FR32">_xll.ASAssetInfo($A32,"Proxy 1 Start Date")</f>
        <v/>
      </c>
      <c r="FS32" s="14" t="str" cm="1">
        <f t="array" ref="FS32">_xll.ASAssetInfo($A32,"Proxy 1 End Date")</f>
        <v/>
      </c>
      <c r="FT32" s="14" t="str" cm="1">
        <f t="array" ref="FT32">_xll.ASAssetInfo($A32,"Proxy 2 Start Date")</f>
        <v/>
      </c>
      <c r="FU32" s="14" t="str" cm="1">
        <f t="array" ref="FU32">_xll.ASAssetInfo($A32,"Proxy 2 End Date")</f>
        <v/>
      </c>
      <c r="FV32" s="14" t="str" cm="1">
        <f t="array" ref="FV32">_xll.ASAssetInfo($A32,"Proxy 3 Start Date")</f>
        <v/>
      </c>
      <c r="FW32" s="14" t="str" cm="1">
        <f t="array" ref="FW32">_xll.ASAssetInfo($A32,"Proxy 3 End Date")</f>
        <v/>
      </c>
      <c r="FX32" s="14" t="str" cm="1">
        <f t="array" ref="FX32">_xll.ASAssetInfo($A32,"Fund Domicile")</f>
        <v>IE</v>
      </c>
      <c r="FY32" s="14" t="str" cm="1">
        <f t="array" ref="FY32">_xll.ASAssetInfo($A32,"Fund Contact")</f>
        <v/>
      </c>
      <c r="FZ32" s="14" t="str" cm="1">
        <f t="array" ref="FZ32">_xll.ASAssetInfo($A32,"Fund Contact Email")</f>
        <v/>
      </c>
      <c r="GA32" s="14" t="str" cm="1">
        <f t="array" ref="GA32">_xll.ASAssetInfo($A32,"Fund Contact Number")</f>
        <v/>
      </c>
      <c r="GB32" s="14" t="str" cm="1">
        <f t="array" ref="GB32">_xll.ASAssetInfo($A32,"City")</f>
        <v>Dublin</v>
      </c>
      <c r="GC32" s="14" t="str" cm="1">
        <f t="array" ref="GC32">_xll.ASAssetInfo($A32,"Leverage")</f>
        <v>N</v>
      </c>
      <c r="GD32" s="14" t="str" cm="1">
        <f t="array" ref="GD32">_xll.ASAssetInfo($A32,"Lockup 1 Duration")</f>
        <v>0 Months</v>
      </c>
      <c r="GE32" s="14" t="str" cm="1">
        <f t="array" ref="GE32">_xll.ASAssetInfo($A32,"Lockup 2 Duration")</f>
        <v>0 Months</v>
      </c>
      <c r="GF32" s="14" t="str" cm="1">
        <f t="array" ref="GF32">_xll.ASAssetInfo($A32,"Lockup 3 Duration")</f>
        <v>0 Months</v>
      </c>
      <c r="GG32" s="31" t="str" cm="1">
        <f t="array" ref="GG32">_xll.ASAssetInfo($A32,"Fund Level Gate")</f>
        <v/>
      </c>
      <c r="GH32" s="31" t="str" cm="1">
        <f t="array" ref="GH32">_xll.ASAssetInfo($A32,"Fund Level Gate Frequency")</f>
        <v>Unknown</v>
      </c>
      <c r="GI32" s="35" cm="1">
        <f t="array" ref="GI32">_xll.ASAssetInfo($A32,"Payment 2 (%)")</f>
        <v>0</v>
      </c>
      <c r="GJ32" s="35" t="str" cm="1">
        <f t="array" ref="GJ32">_xll.ASAssetInfo($A32,"Payment 2 (days)")</f>
        <v/>
      </c>
      <c r="GK32" s="35" t="str" cm="1">
        <f t="array" ref="GK32">_xll.ASAssetInfo($A32,"Payment 2 (Paid After)")</f>
        <v>NAV Date</v>
      </c>
      <c r="GL32" s="35" cm="1">
        <f t="array" ref="GL32">_xll.ASAssetInfo($A32,"Payment 3 (%)")</f>
        <v>0</v>
      </c>
      <c r="GM32" s="36" t="str" cm="1">
        <f t="array" ref="GM32">_xll.ASAssetInfo($A32,"Payment 3 (Days)")</f>
        <v/>
      </c>
      <c r="GN32" s="35" t="str" cm="1">
        <f t="array" ref="GN32">_xll.ASAssetInfo($A32,"Payment 3 (Paid After)")</f>
        <v>NAV Date</v>
      </c>
      <c r="GO32" s="35" cm="1">
        <f t="array" ref="GO32">_xll.ASAssetInfo($A32,"Payment 4 (%)")</f>
        <v>0</v>
      </c>
      <c r="GP32" s="36" t="str" cm="1">
        <f t="array" ref="GP32">_xll.ASAssetInfo($A32,"Payment 4 (days)")</f>
        <v/>
      </c>
      <c r="GQ32" s="35" t="str" cm="1">
        <f t="array" ref="GQ32">_xll.ASAssetInfo($A32,"Payment 4 (Paid After)")</f>
        <v>NAV Date</v>
      </c>
      <c r="GR32" s="11" cm="1">
        <f t="array" ref="GR32">_xll.ASAssetInfo($A32,"Payment 1 (%)")</f>
        <v>1</v>
      </c>
      <c r="GS32" s="35" cm="1">
        <f t="array" ref="GS32">_xll.ASAssetInfo($A32,"Lockup 1 Fee")</f>
        <v>0</v>
      </c>
      <c r="GT32" s="35" cm="1">
        <f t="array" ref="GT32">_xll.ASAssetInfo($A32,"Lockup 2 Fee")</f>
        <v>0</v>
      </c>
      <c r="GU32" s="35" cm="1">
        <f t="array" ref="GU32">_xll.ASAssetInfo($A32,"Lockup 3 Fee")</f>
        <v>0</v>
      </c>
      <c r="GV32" s="35" t="str" cm="1">
        <f t="array" ref="GV32">_xll.ASAssetInfo($A32,"Lockup 1 type")</f>
        <v>None</v>
      </c>
      <c r="GW32" s="35" t="str" cm="1">
        <f t="array" ref="GW32">_xll.ASAssetInfo($A32,"Lockup 2 type")</f>
        <v>None</v>
      </c>
      <c r="GX32" s="35" t="str" cm="1">
        <f t="array" ref="GX32">_xll.ASAssetInfo($A32,"Lockup 3 type")</f>
        <v>None</v>
      </c>
      <c r="GY32" s="35" t="str" cm="1">
        <f t="array" ref="GY32">_xll.ASAssetInfo($A32,"Redemption 1 type")</f>
        <v>Calendar</v>
      </c>
      <c r="GZ32" s="35" t="str" cm="1">
        <f t="array" ref="GZ32">_xll.ASAssetInfo($A32,"Redemption 2 type")</f>
        <v>Calendar</v>
      </c>
      <c r="HA32" s="35" t="str" cm="1">
        <f t="array" ref="HA32">_xll.ASAssetInfo($A32,"Redemption 3 type")</f>
        <v>Calendar</v>
      </c>
      <c r="HB32" s="35" t="str" cm="1">
        <f t="array" ref="HB32">_xll.ASAssetInfo($A32,"Redemption 1 Fee")</f>
        <v/>
      </c>
      <c r="HC32" s="35" t="str" cm="1">
        <f t="array" ref="HC32">_xll.ASAssetInfo($A32,"Redemption 2 Fee")</f>
        <v/>
      </c>
      <c r="HD32" s="35" t="str" cm="1">
        <f t="array" ref="HD32">_xll.ASAssetInfo($A32,"Redemption 3 Fee")</f>
        <v/>
      </c>
      <c r="HE32" s="35" t="str" cm="1">
        <f t="array" ref="HE32">_xll.ASAssetInfo($A32,"Redemption 1 Frequency")</f>
        <v>Daily</v>
      </c>
      <c r="HF32" s="35" t="str" cm="1">
        <f t="array" ref="HF32">_xll.ASAssetInfo($A32,"Redemption 2 Frequency")</f>
        <v>Unknown</v>
      </c>
      <c r="HG32" s="35" t="str" cm="1">
        <f t="array" ref="HG32">_xll.ASAssetInfo($A32,"Redemption 3 Frequency")</f>
        <v>Unknown</v>
      </c>
      <c r="HH32" s="35" t="str" cm="1">
        <f t="array" ref="HH32">_xll.ASAssetInfo($A32,"Asset Calendar")</f>
        <v>[Default]</v>
      </c>
      <c r="HI32" s="16" cm="1">
        <f t="array" ref="HI32">_xll.ASAssetStatistic($A32,"Max Second Drawdown",,,,"m",'PBA Summary'!$F$2,'PBA Summary'!$G$2)</f>
        <v>-2.8821194928593252E-2</v>
      </c>
      <c r="HJ32" s="37" cm="1">
        <f t="array" ref="HJ32">_xll.ASAssetStatistic($A32,"Date Max Second Drawdown",,,,"m",'PBA Summary'!$F$2,'PBA Summary'!$G$2)</f>
        <v>43708</v>
      </c>
      <c r="HK32" s="37"/>
      <c r="HL32" s="37" t="str" cm="1">
        <f t="array" ref="HL32">_xll.ASAssetInfo($A32,HL$1)</f>
        <v/>
      </c>
      <c r="HM32" s="34" t="str" cm="1">
        <f t="array" ref="HM32">_xll.ASAssetInfo($A32,HM$1)</f>
        <v/>
      </c>
      <c r="HN32" s="37" t="str" cm="1">
        <f t="array" ref="HN32">_xll.ASAssetInfo($A32,HN$1)</f>
        <v/>
      </c>
      <c r="HO32" s="15" cm="1">
        <f t="array" ref="HO32">_xll.ASAssetInfo($A32,HO$1)</f>
        <v>0</v>
      </c>
      <c r="HP32" s="15" cm="1">
        <f t="array" ref="HP32">_xll.ASAssetInfo($A32,HP$1)</f>
        <v>4.3099999999999999E-2</v>
      </c>
      <c r="HQ32" s="34" t="str" cm="1">
        <f t="array" ref="HQ32">_xll.ASAssetInfo($A32,HQ$1)</f>
        <v/>
      </c>
      <c r="HR32" s="37" t="str" cm="1">
        <f t="array" ref="HR32">_xll.ASAssetInfo($A32,HR$1)</f>
        <v/>
      </c>
      <c r="HS32" s="37" t="str" cm="1">
        <f t="array" ref="HS32">_xll.ASAssetInfo($A32,HS$1)</f>
        <v/>
      </c>
      <c r="HT32" s="37" t="str" cm="1">
        <f t="array" ref="HT32">_xll.ASAssetInfo($A32,HT$1)</f>
        <v>BBB-</v>
      </c>
      <c r="HU32" s="37" t="str" cm="1">
        <f t="array" ref="HU32">_xll.ASAssetInfo($A32,HU$1)</f>
        <v>Global</v>
      </c>
      <c r="HV32" s="37" t="str" cm="1">
        <f t="array" ref="HV32">_xll.ASAssetInfo($A32,HV$1)</f>
        <v/>
      </c>
      <c r="HW32" s="37" t="str" cm="1">
        <f t="array" ref="HW32">_xll.ASAssetInfo($A32,HW$1)</f>
        <v/>
      </c>
    </row>
    <row r="33" spans="1:231" s="11" customFormat="1" x14ac:dyDescent="0.25">
      <c r="A33" t="s">
        <v>302</v>
      </c>
      <c r="B33" cm="1">
        <f t="array" ref="B33">_xll.ASPortfolioWeights('PBA Summary'!$C$2,"OR",$A33)</f>
        <v>0</v>
      </c>
      <c r="C33" cm="1">
        <f t="array" ref="C33">_xll.ASAssetStatistic($A33,"Annualized Return since inception",,,,"m",_xll.ASAssetInfo($A33,"Start Date"),_xll.ASAssetInfo($A33,"Last Return Date"))</f>
        <v>0.19477178589099253</v>
      </c>
      <c r="D33" cm="1">
        <f t="array" ref="D33">_xll.ASAssetStatistic($A33,"Annualized Return",,,,"m",'PBA Summary'!$F$2,'PBA Summary'!$G$2)</f>
        <v>0.2379276843022029</v>
      </c>
      <c r="E33" s="19" cm="1">
        <f t="array" ref="E33">_xll.ASAssetStatistic($A33,"Equilibrium Annual Return",,,,"m",'PBA Summary'!$F$2,'PBA Summary'!$G$2)</f>
        <v>1.1847984478316764</v>
      </c>
      <c r="F33" cm="1">
        <f t="array" ref="F33">_xll.ASAssetStatistic($A33,"Annualized Volatility (Inception)",,,,"m",_xll.ASAssetInfo($A33,"Start Date"),_xll.ASAssetInfo($A33,"Last Return Date"))</f>
        <v>0.15098671931852362</v>
      </c>
      <c r="G33" cm="1">
        <f t="array" ref="G33">_xll.ASAssetStatistic($A33,"Annualized Volatility",,,,"m",'PBA Summary'!$F$2,'PBA Summary'!$G$2)</f>
        <v>0.16615672721658001</v>
      </c>
      <c r="H33" s="20" cm="1">
        <f t="array" ref="H33">_xll.ASAssetStatistic($A33,"Skewness",,,,"m",'PBA Summary'!$F$2,'PBA Summary'!$G$2)</f>
        <v>-1.0084088922893966</v>
      </c>
      <c r="I33" s="20" cm="1">
        <f t="array" ref="I33">_xll.ASAssetStatistic($A33,"Excess kurtosis",,,,"m",'PBA Summary'!$F$2,'PBA Summary'!$G$2)</f>
        <v>0.269661377923193</v>
      </c>
      <c r="J33" s="19" cm="1">
        <f t="array" ref="J33">_xll.ASAssetStatistic($A33,"Return Last 1 month",,,,"m",'PBA Summary'!$F$2,'PBA Summary'!$G$2)</f>
        <v>3.5932369818036936E-2</v>
      </c>
      <c r="K33" s="19" cm="1">
        <f t="array" ref="K33">_xll.ASAssetStatistic($A33,"Return Last 3 months",,,,"m",'PBA Summary'!$F$2,'PBA Summary'!$G$2)</f>
        <v>0.11985846970367153</v>
      </c>
      <c r="L33" s="19" cm="1">
        <f t="array" ref="L33">_xll.ASAssetStatistic($A33,"Return Last 1 year",,,,"m",'PBA Summary'!$F$2,'PBA Summary'!$G$2)</f>
        <v>0.31506849315068797</v>
      </c>
      <c r="M33" s="19" cm="1">
        <f t="array" ref="M33">_xll.ASAssetStatistic($A33,"Year-to-date Return",,,,"m",'PBA Summary'!$F$2,'PBA Summary'!$G$2)</f>
        <v>3.5932369818036936E-2</v>
      </c>
      <c r="N33" s="19" cm="1">
        <f t="array" ref="N33">_xll.ASAssetStatistic($A33,"Annualized Return",,,,"m",EOMONTH('PBA Summary'!$G$2,-2),'PBA Summary'!$G$2)</f>
        <v>0.57272415124265863</v>
      </c>
      <c r="O33" s="19" t="str" cm="1">
        <f t="array" ref="O33">_xll.ASAssetStatistic($A33,"Annualized Return Last 3 years",,,,"m",'PBA Summary'!$F$2,'PBA Summary'!$G$2)</f>
        <v/>
      </c>
      <c r="P33" s="19" t="str" cm="1">
        <f t="array" ref="P33">_xll.ASAssetStatistic($A33,"Annualized Return Last 5 years",,,,"m",'PBA Summary'!$F$2,'PBA Summary'!$G$2)</f>
        <v/>
      </c>
      <c r="Q33" s="19" cm="1">
        <f t="array" ref="Q33">_xll.ASAssetStatistic($A33,"Annualized Volatility Last 1 year",,,,"m",'PBA Summary'!$F$2,'PBA Summary'!$G$2)</f>
        <v>0.13651786629849078</v>
      </c>
      <c r="R33" s="19" t="str" cm="1">
        <f t="array" ref="R33">_xll.ASAssetStatistic($A33,"Annualized Volatility Last 3 years",,,,"m",'PBA Summary'!$F$2,'PBA Summary'!$G$2)</f>
        <v/>
      </c>
      <c r="S33" s="19" t="str" cm="1">
        <f t="array" ref="S33">_xll.ASAssetStatistic($A33,"Annualized Volatility Last 5 years",,,,"m",'PBA Summary'!$F$2,'PBA Summary'!$G$2)</f>
        <v/>
      </c>
      <c r="T33" s="19" cm="1">
        <f t="array" ref="T33">_xll.ASAssetStatistic($A33,"Normal monthly VaR 99%",,,,"m",'PBA Summary'!$F$2,'PBA Summary'!$G$2)</f>
        <v>-9.2553164497824997E-2</v>
      </c>
      <c r="U33" s="19" cm="1">
        <f t="array" ref="U33">_xll.ASAssetStatistic($A33,"Modified monthly VaR 99%",,,,"m",'PBA Summary'!$F$2,'PBA Summary'!$G$2)</f>
        <v>-0.11278728141680218</v>
      </c>
      <c r="V33" s="19" cm="1">
        <f t="array" ref="V33">_xll.ASAssetStatistic($A33,"Conditional monthly VaR 99%",,,,"m",'PBA Summary'!$F$2,'PBA Summary'!$G$2)</f>
        <v>-7.8441571952456379E-2</v>
      </c>
      <c r="W33" s="19" cm="1">
        <f t="array" ref="W33">_xll.ASAssetStatistic($A33,"Normal monthly VaR 97%",,,,"m",'PBA Summary'!$F$2,'PBA Summary'!$G$2)</f>
        <v>-7.1182013520587784E-2</v>
      </c>
      <c r="X33" s="19" cm="1">
        <f t="array" ref="X33">_xll.ASAssetStatistic($A33,"Modified monthly VaR 97%",,,,"m",'PBA Summary'!$F$2,'PBA Summary'!$G$2)</f>
        <v>-8.689469943955154E-2</v>
      </c>
      <c r="Y33" s="19" cm="1">
        <f t="array" ref="Y33">_xll.ASAssetStatistic($A33,"Conditional monthly VaR 97%",,,,"m",'PBA Summary'!$F$2,'PBA Summary'!$G$2)</f>
        <v>-7.8441571952456379E-2</v>
      </c>
      <c r="Z33" s="19" cm="1">
        <f t="array" ref="Z33">_xll.ASAssetStatistic($A33,"Normal monthly VaR 95%",,,,"m",'PBA Summary'!$F$2,'PBA Summary'!$G$2)</f>
        <v>-5.9865077861315091E-2</v>
      </c>
      <c r="AA33" s="19" cm="1">
        <f t="array" ref="AA33">_xll.ASAssetStatistic($A33,"Modified monthly VaR 95%",,,,"m",'PBA Summary'!$F$2,'PBA Summary'!$G$2)</f>
        <v>-7.2437057349365147E-2</v>
      </c>
      <c r="AB33" s="19" cm="1">
        <f t="array" ref="AB33">_xll.ASAssetStatistic($A33,"Conditional monthly VaR 95%",,,,"m",'PBA Summary'!$F$2,'PBA Summary'!$G$2)</f>
        <v>-7.8441571952456379E-2</v>
      </c>
      <c r="AC33" s="66" cm="1">
        <f t="array" ref="AC33">_xll.ASAssetStatistic($A33,"Correlation to Benchmark 1","MSCI ACWI Index",,,"m",'PBA Summary'!$F$2,'PBA Summary'!$G$2)</f>
        <v>0.911625769347571</v>
      </c>
      <c r="AD33" s="38" cm="1">
        <f t="array" ref="AD33">IF('PBA Summary'!$D$3="","",_xll.ASAssetStatistic($A33,"Correlation to Benchmark 1",'PBA Summary'!$D$3,,,"m",'PBA Summary'!$F$2,'PBA Summary'!$G$2))</f>
        <v>0.93055139409283505</v>
      </c>
      <c r="AE33" s="21" cm="1">
        <f t="array" ref="AE33">IF('PBA Summary'!$D$2="","",_xll.ASAssetStatistic($A33,"Bull correlation to Benchmark 1",'PBA Summary'!$D$2,,,"m",'PBA Summary'!$F$2,'PBA Summary'!$G$2))</f>
        <v>0.79435305231440523</v>
      </c>
      <c r="AF33" s="21" cm="1">
        <f t="array" ref="AF33">IF('PBA Summary'!$D$2="","",_xll.ASAssetStatistic($A33,"Bear correlation to Benchmark 1",'PBA Summary'!$D$2,,,"m",'PBA Summary'!$F$2,'PBA Summary'!$G$2))</f>
        <v>0.87623820779396722</v>
      </c>
      <c r="AG33" s="21" cm="1">
        <f t="array" ref="AG33">IF('PBA Summary'!$D$3="","",_xll.ASAssetStatistic($A33,"Bull correlation to Benchmark 1",'PBA Summary'!$D$3,,,"m",'PBA Summary'!$F$2,'PBA Summary'!$G$2))</f>
        <v>0.79435305231440523</v>
      </c>
      <c r="AH33" s="21" cm="1">
        <f t="array" ref="AH33">IF('PBA Summary'!$D$3="","",_xll.ASAssetStatistic($A33,"Bear correlation to Benchmark 1",'PBA Summary'!$D$3,,,"m",'PBA Summary'!$F$2,'PBA Summary'!$G$2))</f>
        <v>0.87623820779396722</v>
      </c>
      <c r="AI33" s="24" cm="1">
        <f t="array" ref="AI33">IF('PBA Summary'!$D$2="","",_xll.ASAssetStatistic($A33,"Beta to Benchmark 1",'PBA Summary'!$D$2,,,"m",'PBA Summary'!$F$2,'PBA Summary'!$G$2))</f>
        <v>1.0071218675132463</v>
      </c>
      <c r="AJ33" s="24" t="str" cm="1">
        <f t="array" ref="AJ33">IF('PBA Summary'!$D$2="","",_xll.ASAssetStatistic($A33,"Beta to Benchmark 1 Last 3 years",'PBA Summary'!$D$2,,,"m",'PBA Summary'!$F$2,'PBA Summary'!$G$2))</f>
        <v/>
      </c>
      <c r="AK33" s="24" t="str" cm="1">
        <f t="array" ref="AK33">IF('PBA Summary'!$D$2="","",_xll.ASAssetStatistic($A33,"Beta to Benchmark 1 Last 5 years",'PBA Summary'!$D$2,,,"m",'PBA Summary'!$F$2,'PBA Summary'!$G$2))</f>
        <v/>
      </c>
      <c r="AL33" s="25" cm="1">
        <f t="array" ref="AL33">IF('PBA Summary'!$D$3="","",_xll.ASAssetStatistic($A33,"Beta to Benchmark 1",'PBA Summary'!$D$3,,,"m",'PBA Summary'!$F$2,'PBA Summary'!$G$2))</f>
        <v>1.0071218675132463</v>
      </c>
      <c r="AM33" s="25" t="str" cm="1">
        <f t="array" ref="AM33">IF('PBA Summary'!$D$3="","",_xll.ASAssetStatistic($A33,"Beta to Benchmark 1 Last 3 years",'PBA Summary'!$D$3,,,"m",'PBA Summary'!$F$2,'PBA Summary'!$G$2))</f>
        <v/>
      </c>
      <c r="AN33" s="25" t="str" cm="1">
        <f t="array" ref="AN33">IF('PBA Summary'!$D$3="","",_xll.ASAssetStatistic($A33,"Beta to Benchmark 1 Last 5 years",'PBA Summary'!$D$3,,,"m",'PBA Summary'!$F$2,'PBA Summary'!$G$2))</f>
        <v/>
      </c>
      <c r="AO33" s="25" cm="1">
        <f t="array" ref="AO33">IF('PBA Summary'!$D$2="","",_xll.ASAssetStatistic($A33,"Bull Beta to Benchmark 1",'PBA Summary'!$D$2,,,"m",'PBA Summary'!$F$2,'PBA Summary'!$G$2))</f>
        <v>0.92639764346735687</v>
      </c>
      <c r="AP33" s="25" cm="1">
        <f t="array" ref="AP33">IF('PBA Summary'!$D$2="","",_xll.ASAssetStatistic($A33,"Bear Beta to Benchmark 1",'PBA Summary'!$D$2,,,"m",'PBA Summary'!$F$2,'PBA Summary'!$G$2))</f>
        <v>1.0964811798133625</v>
      </c>
      <c r="AQ33" s="25" cm="1">
        <f t="array" ref="AQ33">IF('PBA Summary'!$D$3="","",_xll.ASAssetStatistic($A33,"Bull Beta to Benchmark 1",'PBA Summary'!$D$3,,,"m",'PBA Summary'!$F$2,'PBA Summary'!$G$2))</f>
        <v>0.92639764346735687</v>
      </c>
      <c r="AR33" s="25" cm="1">
        <f t="array" ref="AR33">IF('PBA Summary'!$D$3="","",_xll.ASAssetStatistic($A33,"Bear Beta to Benchmark 1",'PBA Summary'!$D$3,,,"m",'PBA Summary'!$F$2,'PBA Summary'!$G$2))</f>
        <v>1.0964811798133625</v>
      </c>
      <c r="AS33" s="25" cm="1">
        <f t="array" ref="AS33">_xll.ASAssetStatistic($A33,"Annual Sharpe Ratio (Rf)",,,'PBA Summary'!$H$2,"m",'PBA Summary'!$F$2,'PBA Summary'!$G$2)</f>
        <v>1.4169013090594305</v>
      </c>
      <c r="AT33" s="25" t="str" cm="1">
        <f t="array" ref="AT33">_xll.ASAssetStatistic($A33,"Annual Sharpe Ratio (Rf) Last 3 years",,,'PBA Summary'!$H$2,"m",'PBA Summary'!$F$2,'PBA Summary'!$G$2)</f>
        <v/>
      </c>
      <c r="AU33" s="25" t="str" cm="1">
        <f t="array" ref="AU33">_xll.ASAssetStatistic($A33,"Annual Sharpe Ratio (Rf) Last 5 years",,,'PBA Summary'!$H$2,"m",'PBA Summary'!$F$2,'PBA Summary'!$G$2)</f>
        <v/>
      </c>
      <c r="AV33" s="18" cm="1">
        <f t="array" ref="AV33">_xll.ASAssetStatistic($A33,"Ann. Downside Deviation (vs 0%)",,,'PBA Summary'!$H$2,"m",'PBA Summary'!$F$2,'PBA Summary'!$G$2)</f>
        <v>0.10074574027633344</v>
      </c>
      <c r="AW33" s="18" cm="1">
        <f t="array" ref="AW33">_xll.ASAssetStatistic($A33,"Ann. Downside Deviation (vs Rf)",,,'PBA Summary'!$H$2,"m",'PBA Summary'!$F$2,'PBA Summary'!$G$2)</f>
        <v>0.10106995245845492</v>
      </c>
      <c r="AX33" s="39" cm="1">
        <f t="array" ref="AX33">_xll.ASAssetStatistic($A33,"Annual Treynor ratio",,,'PBA Summary'!$H$2,"m",'PBA Summary'!$F$2,'PBA Summary'!$G$2)</f>
        <v>8.69240581989177E-2</v>
      </c>
      <c r="AY33" s="26" cm="1">
        <f t="array" ref="AY33">_xll.ASAssetStatistic($A33,"Annual Sortino Ratio (vs 0%)",,,'PBA Summary'!$H$2,"m",'PBA Summary'!$F$2,'PBA Summary'!$G$2)</f>
        <v>2.3616649562512113</v>
      </c>
      <c r="AZ33" s="26" cm="1">
        <f t="array" ref="AZ33">_xll.ASAssetStatistic($A33,"Annual Sortino Ratio (vs Rf)",,,'PBA Summary'!$H$2,"m",'PBA Summary'!$F$2,'PBA Summary'!$G$2)</f>
        <v>2.3293538640871141</v>
      </c>
      <c r="BA33" s="26" cm="1">
        <f t="array" ref="BA33">_xll.ASAssetStatistic($A33,"Sterling ratio",,,'PBA Summary'!$H$2,"m",'PBA Summary'!$F$2,'PBA Summary'!$G$2)</f>
        <v>1.3952961890918048</v>
      </c>
      <c r="BB33" s="26" cm="1">
        <f t="array" ref="BB33">_xll.ASAssetStatistic($A33,"Calmar ratio",,,'PBA Summary'!$H$2,"m",'PBA Summary'!$F$2,'PBA Summary'!$G$2)</f>
        <v>2.755619677098974</v>
      </c>
      <c r="BC33" s="26" cm="1">
        <f t="array" ref="BC33">_xll.ASAssetStatistic($A33,"Hurst index",,,'PBA Summary'!$H$2,"m",'PBA Summary'!$F$2,'PBA Summary'!$G$2)</f>
        <v>0.36383172142389009</v>
      </c>
      <c r="BD33" s="26" cm="1">
        <f t="array" ref="BD33">_xll.ASAssetStatistic($A33,"Omega (Threshold 1)",,,'PBA Summary'!$H$2,"m",'PBA Summary'!$F$2,'PBA Summary'!$G$2)</f>
        <v>2.4556851021475024</v>
      </c>
      <c r="BE33" s="26" cm="1">
        <f t="array" ref="BE33">_xll.ASAssetStatistic($A33,"Omega (Threshold 2)",,,'PBA Summary'!$H$2,"m",'PBA Summary'!$F$2,'PBA Summary'!$G$2)</f>
        <v>1.9739046102526325</v>
      </c>
      <c r="BF33" s="26" cm="1">
        <f t="array" ref="BF33">_xll.ASAssetStatistic($A33,"Omega (Threshold 3)",,,'PBA Summary'!$H$2,"m",'PBA Summary'!$F$2,'PBA Summary'!$G$2)</f>
        <v>1.5737465698811972</v>
      </c>
      <c r="BG33" s="26" cm="1">
        <f t="array" ref="BG33">_xll.ASAssetStatistic($A33,"Omega (Threshold 4)",,,'PBA Summary'!$H$2,"m",'PBA Summary'!$F$2,'PBA Summary'!$G$2)</f>
        <v>1.2324198799903636</v>
      </c>
      <c r="BH33" s="26" cm="1">
        <f t="array" ref="BH33">_xll.ASAssetStatistic($A33,"Omega (Threshold 5)",,,'PBA Summary'!$H$2,"m",'PBA Summary'!$F$2,'PBA Summary'!$G$2)</f>
        <v>0.94901766016085176</v>
      </c>
      <c r="BI33" s="26" t="str" cm="1">
        <f t="array" ref="BI33">_xll.ASAssetStatistic($A33,"Autocorrelated (illiquid)",,,'PBA Summary'!$H$2,"m",'PBA Summary'!$F$2,'PBA Summary'!$G$2)</f>
        <v>No</v>
      </c>
      <c r="BJ33" s="27" cm="1">
        <f t="array" ref="BJ33">_xll.ASAssetStatistic($A33,"% months in Run Up",,,'PBA Summary'!$H$2,"m",'PBA Summary'!$F$2,'PBA Summary'!$G$2)</f>
        <v>0.73333333333333339</v>
      </c>
      <c r="BK33" s="27" cm="1">
        <f t="array" ref="BK33">_xll.ASAssetStatistic($A33,"% months in Drawdown",,,'PBA Summary'!$H$2,"m",'PBA Summary'!$F$2,'PBA Summary'!$G$2)</f>
        <v>0.26666666666666666</v>
      </c>
      <c r="BL33" s="18" cm="1">
        <f t="array" ref="BL33">IF('PBA Summary'!$D$2="","",_xll.ASAssetStatistic($A33,"Bull Beta to Benchmark 1",'PBA Summary'!$D$2,,,"m",'PBA Summary'!$F$2,'PBA Summary'!$G$2))</f>
        <v>0.92639764346735687</v>
      </c>
      <c r="BM33" s="18" cm="1">
        <f t="array" ref="BM33">IF('PBA Summary'!$D$2="","",_xll.ASAssetStatistic($A33,"Average return during bear Benchmark 1",'PBA Summary'!$D$2,,,"m",'PBA Summary'!$F$2,'PBA Summary'!$G$2))</f>
        <v>-3.7898975250895278E-2</v>
      </c>
      <c r="BN33" s="18" cm="1">
        <f t="array" ref="BN33">IF('PBA Summary'!$D$3="","",_xll.ASAssetStatistic($A33,"Average return during bull Benchmark 1",'PBA Summary'!$D$3,,,"m",'PBA Summary'!$F$2,'PBA Summary'!$G$2))</f>
        <v>3.9732598445554129E-2</v>
      </c>
      <c r="BO33" s="18" cm="1">
        <f t="array" ref="BO33">IF('PBA Summary'!$D$3="","",_xll.ASAssetStatistic($A33,"Average return during bear Benchmark 1",'PBA Summary'!$D$3,,,"m",'PBA Summary'!$F$2,'PBA Summary'!$G$2))</f>
        <v>-3.7898975250895278E-2</v>
      </c>
      <c r="BP33" s="27" cm="1">
        <f t="array" ref="BP33">_xll.ASAssetStatistic($A33,"Maximum consecutive gain",,,'PBA Summary'!$H$2,"m",'PBA Summary'!$F$2,'PBA Summary'!$G$2)</f>
        <v>0.2197951062568797</v>
      </c>
      <c r="BQ33" s="27" cm="1">
        <f t="array" ref="BQ33">_xll.ASAssetStatistic($A33,"Maximum consecutive loss",,,'PBA Summary'!$H$2,"m",'PBA Summary'!$F$2,'PBA Summary'!$G$2)</f>
        <v>-8.6342714954294908E-2</v>
      </c>
      <c r="BR33" s="27" cm="1">
        <f t="array" ref="BR33">_xll.ASAssetStatistic($A33,"Max monthly gain",,,'PBA Summary'!$H$2,"m",'PBA Summary'!$F$2,'PBA Summary'!$G$2)</f>
        <v>8.676939576101339E-2</v>
      </c>
      <c r="BS33" s="27" cm="1">
        <f t="array" ref="BS33">_xll.ASAssetStatistic($A33,"Max monthly loss",,,'PBA Summary'!$H$2,"m",'PBA Summary'!$F$2,'PBA Summary'!$G$2)</f>
        <v>-7.8441571952456379E-2</v>
      </c>
      <c r="BT33" s="27" cm="1">
        <f t="array" ref="BT33">_xll.ASAssetStatistic($A33,"Max drawdown",,,'PBA Summary'!$H$2,"m",'PBA Summary'!$F$2,'PBA Summary'!$G$2)</f>
        <v>-8.6342714954294908E-2</v>
      </c>
      <c r="BU33" s="28" cm="1">
        <f t="array" ref="BU33">_xll.ASAssetStatistic($A33,"Date Max drawdown",,,'PBA Summary'!$H$2,"m",'PBA Summary'!$F$2,'PBA Summary'!$G$2)</f>
        <v>43465</v>
      </c>
      <c r="BV33" s="28" cm="1">
        <f t="array" ref="BV33">_xll.ASAssetStatistic($A33,"Start Date Max Drawdown",,,'PBA Summary'!$H$2,"m",'PBA Summary'!$F$2,'PBA Summary'!$G$2)</f>
        <v>43434</v>
      </c>
      <c r="BW33" s="28" cm="1">
        <f t="array" ref="BW33">_xll.ASAssetStatistic($A33,"End Date Max Drawdown",,,'PBA Summary'!$H$2,"m",'PBA Summary'!$F$2,'PBA Summary'!$G$2)</f>
        <v>43496</v>
      </c>
      <c r="BX33" s="29" cm="1">
        <f t="array" ref="BX33">_xll.ASAssetStatistic($A33,"Max Time-under-water (months)",,,'PBA Summary'!$H$2,"m",'PBA Summary'!$F$2,'PBA Summary'!$G$2)</f>
        <v>3</v>
      </c>
      <c r="BY33" s="27" cm="1">
        <f t="array" ref="BY33">_xll.ASAssetStatistic($A33,"Max possible drawdown 99%",,,'PBA Summary'!$H$2,"m",'PBA Summary'!$F$2,'PBA Summary'!$G$2)</f>
        <v>-0.1635632965507175</v>
      </c>
      <c r="BZ33" s="27" cm="1">
        <f t="array" ref="BZ33">_xll.ASAssetStatistic($A33,"Max possible drawdown 99.9%",,,'PBA Summary'!$H$2,"m",'PBA Summary'!$F$2,'PBA Summary'!$G$2)</f>
        <v>-0.28861493152065426</v>
      </c>
      <c r="CA33" s="30" cm="1">
        <f t="array" ref="CA33">_xll.ASAssetStatistic($A33,"Max Possible Time-under-water 99% (months)",,,'PBA Summary'!$H$2,"m",'PBA Summary'!$F$2,'PBA Summary'!$G$2)</f>
        <v>34.378566500564013</v>
      </c>
      <c r="CB33" s="30" cm="1">
        <f t="array" ref="CB33">_xll.ASAssetStatistic($A33,"Max Possible Time-under-water 99.9% (months)",,,'PBA Summary'!$H$2,"m",'PBA Summary'!$F$2,'PBA Summary'!$G$2)</f>
        <v>60.662555876415048</v>
      </c>
      <c r="CC33" s="17" cm="1">
        <f t="array" ref="CC33">_xll.ASPortfolioReturnAttribution('PBA Summary'!$C$2,"OR",A33,"Last 1m",'PBA Summary'!$F$2,'PBA Summary'!$G$2)</f>
        <v>0</v>
      </c>
      <c r="CD33" s="11" t="str" cm="1">
        <f t="array" ref="CD33">_xll.ASAssetInfo($A33,"Strategy")</f>
        <v>Funds - Equities Long Only</v>
      </c>
      <c r="CE33" s="14" cm="1">
        <f t="array" ref="CE33">_xll.ASAssetInfo($A33,"Start Date")</f>
        <v>40448</v>
      </c>
      <c r="CF33" s="14" t="str" cm="1">
        <f t="array" ref="CF33">_xll.ASAssetRatings($A33,"Quantitative",0,0,0,0,0,'PBA Summary'!$F$2,'PBA Summary'!$G$2)</f>
        <v/>
      </c>
      <c r="CG33" s="14" t="str" cm="1">
        <f t="array" ref="CG33">_xll.ASAssetRatings($A33,"Qualitative",0,0,0,0,0,'PBA Summary'!$F$2,'PBA Summary'!$G$2)</f>
        <v/>
      </c>
      <c r="CH33" s="14" t="str" cm="1">
        <f t="array" ref="CH33">_xll.ASAssetRatings($A33,"Final",0,0,0,0,0,'PBA Summary'!$F$2,'PBA Summary'!$G$2)</f>
        <v/>
      </c>
      <c r="CI33" s="14" cm="1">
        <f t="array" ref="CI33">_xll.ASAssetInfo($A33,"Last Return Date")</f>
        <v>44134</v>
      </c>
      <c r="CJ33" s="14" t="str" cm="1">
        <f t="array" ref="CJ33">_xll.ASAssetInfo($A33,"Company Name")</f>
        <v>iShares ETFs/Ireland</v>
      </c>
      <c r="CK33" s="14" t="str" cm="1">
        <f t="array" ref="CK33">_xll.ASAssetInfo($A33,"Manager Name")</f>
        <v/>
      </c>
      <c r="CL33" s="14" t="str" cm="1">
        <f t="array" ref="CL33">_xll.ASAssetInfo($A33,"Address")</f>
        <v>BlackRock Inc. JP Morgan House. International Financial Services Ctr. Dublin 1. Ireland</v>
      </c>
      <c r="CM33" s="14" t="str" cm="1">
        <f t="array" ref="CM33">_xll.ASAssetInfo($A33,"Phone Number")</f>
        <v>+44-20-7668-8007 Tel</v>
      </c>
      <c r="CN33" s="14" t="str" cm="1">
        <f t="array" ref="CN33">_xll.ASAssetInfo($A33,"Email")</f>
        <v/>
      </c>
      <c r="CO33" s="14" t="str" cm="1">
        <f t="array" ref="CO33">_xll.ASAssetInfo($A33,"Asset Type")</f>
        <v>Equities</v>
      </c>
      <c r="CP33" s="14" t="str" cm="1">
        <f t="array" ref="CP33">_xll.ASAssetInfo($A33,"Proprietary ID")</f>
        <v/>
      </c>
      <c r="CQ33" s="14" t="str" cm="1">
        <f t="array" ref="CQ33">_xll.ASAssetInfo($A33,"Country")</f>
        <v>Ireland</v>
      </c>
      <c r="CR33" s="14" t="str" cm="1">
        <f t="array" ref="CR33">_xll.ASAssetInfo($A33,"Currency")</f>
        <v>USD</v>
      </c>
      <c r="CS33" s="14" t="str" cm="1">
        <f t="array" ref="CS33">_xll.ASAssetInfo($A33,"Sub-Strategy")</f>
        <v/>
      </c>
      <c r="CT33" s="31" cm="1">
        <f t="array" ref="CT33">_xll.ASAssetInfo($A33,"Fund AUM (m)")</f>
        <v>6735.79296875</v>
      </c>
      <c r="CU33" s="31" t="str" cm="1">
        <f t="array" ref="CU33">_xll.ASAssetInfo($A33,"Status")</f>
        <v>Unknown</v>
      </c>
      <c r="CV33" s="31" t="str" cm="1">
        <f t="array" ref="CV33">_xll.ASAssetInfo($A33,"Redemption 1 Frequency")</f>
        <v>Daily</v>
      </c>
      <c r="CW33" s="31" t="str" cm="1">
        <f t="array" ref="CW33">_xll.ASAssetInfo($A33,"Redemption 2 Frequency")</f>
        <v>Unknown</v>
      </c>
      <c r="CX33" s="31" t="str" cm="1">
        <f t="array" ref="CX33">_xll.ASAssetInfo($A33,"Redemption 3 Frequency")</f>
        <v>Unknown</v>
      </c>
      <c r="CY33" s="31" t="str" cm="1">
        <f t="array" ref="CY33">_xll.ASAssetInfo($A33,"Notice Period")</f>
        <v/>
      </c>
      <c r="CZ33" s="15" cm="1">
        <f t="array" ref="CZ33">_xll.ASAssetInfo($A33,"Performance Fee")</f>
        <v>0</v>
      </c>
      <c r="DA33" s="15" cm="1">
        <f t="array" ref="DA33">_xll.ASAssetInfo($A33,"Management Fee")</f>
        <v>3.3E-3</v>
      </c>
      <c r="DB33" s="15" t="str" cm="1">
        <f t="array" ref="DB33">_xll.ASAssetInfo($A33,"ISIN")</f>
        <v>IE00B53SZB19</v>
      </c>
      <c r="DC33" s="16" cm="1">
        <f t="array" ref="DC33">_xll.ASAssetStatistic($A33,"Return during " &amp;YEAR(EOMONTH('PBA Summary'!$G$2,-60)),,,,"M",DATE(YEAR(EOMONTH('PBA Summary'!$G$2,-60)),1,31),DATE(YEAR(EOMONTH('PBA Summary'!$G$2,-60)),12,31))</f>
        <v>9.0038848704687036E-2</v>
      </c>
      <c r="DD33" s="16" cm="1">
        <f t="array" ref="DD33">_xll.ASAssetStatistic($A33,"Return during " &amp;YEAR(EOMONTH('PBA Summary'!$G$2,-48)),,,,"M",DATE(YEAR(EOMONTH('PBA Summary'!$G$2,-48)),1,31),DATE(YEAR(EOMONTH('PBA Summary'!$G$2,-48)),12,31))</f>
        <v>6.9408892214391837E-2</v>
      </c>
      <c r="DE33" s="16" cm="1">
        <f t="array" ref="DE33">_xll.ASAssetStatistic($A33,"Return during " &amp;YEAR(EOMONTH('PBA Summary'!$G$2,-36)),,,,"M",DATE(YEAR(EOMONTH('PBA Summary'!$G$2,-36)),1,31),DATE(YEAR(EOMONTH('PBA Summary'!$G$2,-36)),12,31))</f>
        <v>0.31908821417392574</v>
      </c>
      <c r="DF33" s="16" cm="1">
        <f t="array" ref="DF33">_xll.ASAssetStatistic($A33,"Return during " &amp;YEAR(EOMONTH('PBA Summary'!$G$2,-24)),,,,"M",DATE(YEAR(EOMONTH('PBA Summary'!$G$2,-24)),1,31),DATE(YEAR(EOMONTH('PBA Summary'!$G$2,-24)),12,31))</f>
        <v>-1.0817827780181366E-2</v>
      </c>
      <c r="DG33" s="16" cm="1">
        <f t="array" ref="DG33">_xll.ASAssetStatistic($A33,"Return during " &amp;YEAR(EOMONTH('PBA Summary'!$G$2,-12)),,,,"M",DATE(YEAR(EOMONTH('PBA Summary'!$G$2,-12)),1,31),DATE(YEAR(EOMONTH('PBA Summary'!$G$2,-12)),12,31))</f>
        <v>0.37960375920752143</v>
      </c>
      <c r="DH33" s="11" t="str" cm="1">
        <f t="array" ref="DH33">_xll.ASAssetInfo($A33,"Prime Broker")</f>
        <v/>
      </c>
      <c r="DI33" s="16" cm="1">
        <f t="array" ref="DI33">_xll.ASAssetStatistic($A33,"Return",,,,"m",'PBA Summary'!$F$2,'PBA Summary'!$G$2)</f>
        <v>0.30577723914753485</v>
      </c>
      <c r="DJ33" s="33" cm="1">
        <f t="array" ref="DJ33">IF('PBA Summary'!$D$2="","",_xll.ASAssetStatistic($A33,"Ann. Information Ratio vs Benchmark 1",'PBA Summary'!$D$2,,,"m",'PBA Summary'!$F$2,'PBA Summary'!$G$2))</f>
        <v>1.0783132721944613</v>
      </c>
      <c r="DK33" s="33" cm="1">
        <f t="array" ref="DK33">IF('PBA Summary'!$D$3="","",_xll.ASAssetStatistic($A33,"Ann. Information Ratio vs Benchmark 1",'PBA Summary'!$D$3,,,"m",'PBA Summary'!$F$2,'PBA Summary'!$G$2))</f>
        <v>1.0783132721944613</v>
      </c>
      <c r="DL33" s="33" cm="1">
        <f t="array" ref="DL33">IF('PBA Summary'!$D$2="","",_xll.ASAssetStatistic($A33,"Ann. Tracking Error vs Benchmark 1",'PBA Summary'!$D$2,,,"m",'PBA Summary'!$F$2,'PBA Summary'!$G$2))</f>
        <v>6.0849988373047392E-2</v>
      </c>
      <c r="DM33" s="33" cm="1">
        <f t="array" ref="DM33">IF('PBA Summary'!$D$3="","",_xll.ASAssetStatistic($A33,"Ann. Tracking Error vs Benchmark 1",'PBA Summary'!$D$3,,,"m",'PBA Summary'!$F$2,'PBA Summary'!$G$2))</f>
        <v>6.0849988373047392E-2</v>
      </c>
      <c r="DN33" s="33" cm="1">
        <f t="array" ref="DN33">IF('PBA Summary'!$D$2="","",_xll.ASAssetStatistic($A33,"R² vs Benchmark 1",'PBA Summary'!$D$2,,,"m",'PBA Summary'!$F$2,'PBA Summary'!$G$2))</f>
        <v>0.86592589704811884</v>
      </c>
      <c r="DO33" s="33" cm="1">
        <f t="array" ref="DO33">IF('PBA Summary'!$D$3="","",_xll.ASAssetStatistic($A33,"R² vs Benchmark 1",'PBA Summary'!$D$3,,,"m",'PBA Summary'!$F$2,'PBA Summary'!$G$2))</f>
        <v>0.86592589704811884</v>
      </c>
      <c r="DP33" s="11" t="str" cm="1">
        <f t="array" ref="DP33">_xll.ASAssetInfo($A33,"On-/Offshore")</f>
        <v>Unknown</v>
      </c>
      <c r="DQ33" s="16" cm="1">
        <f t="array" ref="DQ33">_xll.ASAssetStatistic($A33,"Quarter-to-date",,,,"m",'PBA Summary'!$F$2,'PBA Summary'!$G$2)</f>
        <v>3.5932369818036936E-2</v>
      </c>
      <c r="DR33" s="16" cm="1">
        <f t="array" ref="DR33">_xll.ASAssetStatistic($A33,"Annualized Return Since inception",,,,"m",'PBA Summary'!$F$2,'PBA Summary'!$G$2)</f>
        <v>0.19477178589099253</v>
      </c>
      <c r="DS33" s="16" cm="1">
        <f t="array" ref="DS33">IF('PBA Summary'!$D$2="","",_xll.ASAssetStatistic($A33,"Ann. Bear Market Return vs Benchmark 1",'PBA Summary'!$D$2,,,"m",'PBA Summary'!$F$2,'PBA Summary'!$G$2))</f>
        <v>-0.37907319620991475</v>
      </c>
      <c r="DT33" s="16" cm="1">
        <f t="array" ref="DT33">IF('PBA Summary'!$D$2="","",_xll.ASAssetStatistic($A33,"Ann. Bull Market Return vs Benchmark 1",'PBA Summary'!$D$2,,,"m",'PBA Summary'!$F$2,'PBA Summary'!$G$2))</f>
        <v>0.59096520588938395</v>
      </c>
      <c r="DU33" s="16" cm="1">
        <f t="array" ref="DU33">IF('PBA Summary'!$D$3="","",_xll.ASAssetStatistic($A33,"Ann. Bear Market Return vs Benchmark 1",'PBA Summary'!$D$3,,,"m",'PBA Summary'!$F$2,'PBA Summary'!$G$2))</f>
        <v>-0.37907319620991475</v>
      </c>
      <c r="DV33" s="16" cm="1">
        <f t="array" ref="DV33">IF('PBA Summary'!$D$3="","",_xll.ASAssetStatistic($A33,"Ann. Bull Market Return vs Benchmark 1",'PBA Summary'!$D$3,,,"m",'PBA Summary'!$F$2,'PBA Summary'!$G$2))</f>
        <v>0.59096520588938395</v>
      </c>
      <c r="DW33" s="17" cm="1">
        <f t="array" ref="DW33">_xll.ASAssetStatistic($A33,"Average Positive Return",,,,"m",'PBA Summary'!$F$2,'PBA Summary'!$G$2)</f>
        <v>4.3778602573806925E-2</v>
      </c>
      <c r="DX33" s="17" cm="1">
        <f t="array" ref="DX33">_xll.ASAssetStatistic($A33,"Average Negative Return",,,,"m",'PBA Summary'!$F$2,'PBA Summary'!$G$2)</f>
        <v>-4.9025486603590462E-2</v>
      </c>
      <c r="DY33" s="16" cm="1">
        <f t="array" ref="DY33">IF('PBA Summary'!$D$2="","",_xll.ASAssetStatistic($A33,"Outperformance vs Benchmark 1",'PBA Summary'!$D$2,,,"m",'PBA Summary'!$F$2,'PBA Summary'!$G$2))</f>
        <v>8.5933594338816199E-2</v>
      </c>
      <c r="DZ33" s="16" cm="1">
        <f t="array" ref="DZ33">IF('PBA Summary'!$D$3="","",_xll.ASAssetStatistic($A33,"Outperformance vs Benchmark 1",'PBA Summary'!$D$3,,,"m",'PBA Summary'!$F$2,'PBA Summary'!$G$2))</f>
        <v>8.5933594338816199E-2</v>
      </c>
      <c r="EA33" s="16" cm="1">
        <f t="array" ref="EA33">IF('PBA Summary'!$D$2="","",_xll.ASAssetStatistic($A33,"Annual Outperformance vs Benchmark 1",'PBA Summary'!$D$2,,,"m",'PBA Summary'!$F$2,'PBA Summary'!$G$2))</f>
        <v>6.561535007553565E-2</v>
      </c>
      <c r="EB33" s="16" cm="1">
        <f t="array" ref="EB33">IF('PBA Summary'!$D$3="","",_xll.ASAssetStatistic($A33,"Annual Outperformance vs Benchmark 1",'PBA Summary'!$D$3,,,"m",'PBA Summary'!$F$2,'PBA Summary'!$G$2))</f>
        <v>6.561535007553565E-2</v>
      </c>
      <c r="EC33" s="32" cm="1">
        <f t="array" ref="EC33">_xll.ASAssetStatistic($A33,"Rachev Ratio 99%",,,,"m",'PBA Summary'!$F$2,'PBA Summary'!$G$2)</f>
        <v>-1.1061659474851488</v>
      </c>
      <c r="ED33" s="32" cm="1">
        <f t="array" ref="ED33">_xll.ASAssetStatistic($A33,"Rachev Ratio 97%",,,,"m",'PBA Summary'!$F$2,'PBA Summary'!$G$2)</f>
        <v>-1.1061659474851488</v>
      </c>
      <c r="EE33" s="32" cm="1">
        <f t="array" ref="EE33">_xll.ASAssetStatistic($A33,"Rachev Ratio 95%",,,,"m",'PBA Summary'!$F$2,'PBA Summary'!$G$2)</f>
        <v>-1.1061659474851488</v>
      </c>
      <c r="EF33" s="32" cm="1">
        <f t="array" ref="EF33">_xll.ASAssetStatistic($A33,"Rachev Ratio 90%",,,,"m",'PBA Summary'!$F$2,'PBA Summary'!$G$2)</f>
        <v>-1.0276561905148196</v>
      </c>
      <c r="EG33" s="34" cm="1">
        <f t="array" ref="EG33">IF('PBA Summary'!$D$2="","",_xll.ASAssetStatistic($A33,"Annual Up Capture vs Benchmark 1",'PBA Summary'!$D$2,,,"m",'PBA Summary'!$F$2,'PBA Summary'!$G$2))</f>
        <v>1.1674358398309024</v>
      </c>
      <c r="EH33" s="34" cm="1">
        <f t="array" ref="EH33">IF('PBA Summary'!$D$3="","",_xll.ASAssetStatistic($A33,"Annual Up Capture vs Benchmark 1",'PBA Summary'!$D$3,,,"m",'PBA Summary'!$F$2,'PBA Summary'!$G$2))</f>
        <v>1.1674358398309024</v>
      </c>
      <c r="EI33" s="34" cm="1">
        <f t="array" ref="EI33">IF('PBA Summary'!$D$2="","",_xll.ASAssetStatistic($A33,"Annual Down Capture vs Benchmark 1",'PBA Summary'!$D$2,,,"m",'PBA Summary'!$F$2,'PBA Summary'!$G$2))</f>
        <v>0.92114554132950699</v>
      </c>
      <c r="EJ33" s="34" cm="1">
        <f t="array" ref="EJ33">IF('PBA Summary'!$D$3="","",_xll.ASAssetStatistic($A33,"Annual Down Capture vs Benchmark 1",'PBA Summary'!$D$3,,,"m",'PBA Summary'!$F$2,'PBA Summary'!$G$2))</f>
        <v>0.92114554132950699</v>
      </c>
      <c r="EK33" s="16" cm="1">
        <f t="array" ref="EK33">IF('PBA Summary'!$D$2="","",_xll.ASAssetStatistic($A33,"Ann. Tracking Error vs Benchmark 1",'PBA Summary'!$D$2,,,"m",'PBA Summary'!$F$2,'PBA Summary'!$G$2))</f>
        <v>6.0849988373047392E-2</v>
      </c>
      <c r="EL33" s="16" cm="1">
        <f t="array" ref="EL33">IF('PBA Summary'!$D$3="","",_xll.ASAssetStatistic($A33,"Ann. Tracking Error vs Benchmark 1",'PBA Summary'!$D$3,,,"m",'PBA Summary'!$F$2,'PBA Summary'!$G$2))</f>
        <v>6.0849988373047392E-2</v>
      </c>
      <c r="EM33" s="16" cm="1">
        <f t="array" ref="EM33">IF('PBA Summary'!$D$2="","",_xll.ASAssetStatistic($A33,"Annual Jensen Alpha vs Benchmark 1 (Rf)",'PBA Summary'!$D$2,,,"m",'PBA Summary'!$F$2,'PBA Summary'!$G$2))</f>
        <v>6.4405969129058216E-2</v>
      </c>
      <c r="EN33" s="16" cm="1">
        <f t="array" ref="EN33">IF('PBA Summary'!$D$3="","",_xll.ASAssetStatistic($A33,"Annual Jensen Alpha vs Benchmark 1 (Rf)",'PBA Summary'!$D$3,,,"m",'PBA Summary'!$F$2,'PBA Summary'!$G$2))</f>
        <v>6.4405969129058216E-2</v>
      </c>
      <c r="EO33" s="33" cm="1">
        <f t="array" ref="EO33">IF('PBA Summary'!$D$2="","",_xll.ASAssetStatistic($A33,"Ann. Information Ratio vs Benchmark 1",'PBA Summary'!$D$2,,,"m",'PBA Summary'!$F$2,'PBA Summary'!$G$2))</f>
        <v>1.0783132721944613</v>
      </c>
      <c r="EP33" s="33" cm="1">
        <f t="array" ref="EP33">IF('PBA Summary'!$D$3="","",_xll.ASAssetStatistic($A33,"Ann. Information Ratio vs Benchmark 1",'PBA Summary'!$D$3,,,"m",'PBA Summary'!$F$2,'PBA Summary'!$G$2))</f>
        <v>1.0783132721944613</v>
      </c>
      <c r="EQ33" s="17" cm="1">
        <f t="array" ref="EQ33">IF('PBA Summary'!$D$2="","",_xll.ASAssetStatistic($A33,"Alpha Monthly vs Benchmark 1",'PBA Summary'!$D$2,,,"m",'PBA Summary'!$F$2,'PBA Summary'!$G$2))</f>
        <v>4.6617574700075562E-3</v>
      </c>
      <c r="ER33" s="17" cm="1">
        <f t="array" ref="ER33">IF('PBA Summary'!$D$3="","",_xll.ASAssetStatistic($A33,"Alpha Monthly vs Benchmark 1",'PBA Summary'!$D$3,,,"m",'PBA Summary'!$F$2,'PBA Summary'!$G$2))</f>
        <v>4.6617574700075562E-3</v>
      </c>
      <c r="ES33" s="11" t="str" cm="1">
        <f t="array" ref="ES33">_xll.ASAssetInfo($A33,"Company AUM (m)")</f>
        <v/>
      </c>
      <c r="ET33" s="16" cm="1">
        <f t="array" ref="ET33">_xll.ASAssetStatistic($A33,"Exponential Annualized Volatility",,,,"m",'PBA Summary'!$F$2,'PBA Summary'!$G$2)</f>
        <v>0.1433636319128857</v>
      </c>
      <c r="EU33" s="16" cm="1">
        <f t="array" ref="EU33">_xll.ASAssetStatistic($A33,"Exponential Annualized Volatility Last 1 year",,,,"m",'PBA Summary'!$F$2,'PBA Summary'!$G$2)</f>
        <v>0.12505457520675006</v>
      </c>
      <c r="EV33" s="16" t="str" cm="1">
        <f t="array" ref="EV33">_xll.ASAssetStatistic($A33,"Exponential Annualized Volatility Last 3 years",,,,"m",'PBA Summary'!$F$2,'PBA Summary'!$G$2)</f>
        <v/>
      </c>
      <c r="EW33" s="34" cm="1">
        <f t="array" ref="EW33">IF('PBA Summary'!$D$2="","",_xll.ASAssetStatistic($A33,"Exponential Correlation to Benchmark 1",'PBA Summary'!$D$2,,,"m",'PBA Summary'!$F$2,'PBA Summary'!$G$2))</f>
        <v>0.82724299746853169</v>
      </c>
      <c r="EX33" s="34" cm="1">
        <f t="array" ref="EX33">IF('PBA Summary'!$D$3="","",_xll.ASAssetStatistic($A33,"Exponential Correlation to Benchmark 1",'PBA Summary'!$D$3,,,"m",'PBA Summary'!$F$2,'PBA Summary'!$G$2))</f>
        <v>0.82724299746853169</v>
      </c>
      <c r="EY33" s="34" cm="1">
        <f t="array" ref="EY33">_xll.ASAssetStatistic($A33,"Exponential Annual Sharpe Ratio (Rf)",,,,"m",'PBA Summary'!$F$2,'PBA Summary'!$G$2)</f>
        <v>2.2306333759268506</v>
      </c>
      <c r="EZ33" s="34" cm="1">
        <f t="array" ref="EZ33">_xll.ASAssetStatistic($A33,"Exponential Normal Monthly VaR 99%",,,,"m",'PBA Summary'!$F$2,'PBA Summary'!$G$2)</f>
        <v>-7.272346898254782E-2</v>
      </c>
      <c r="FA33" s="34" cm="1">
        <f t="array" ref="FA33">_xll.ASAssetStatistic($A33,"Exponential Normal Monthly VaR 97%",,,,"m",'PBA Summary'!$F$2,'PBA Summary'!$G$2)</f>
        <v>-5.4283975899239084E-2</v>
      </c>
      <c r="FB33" s="34" cm="1">
        <f t="array" ref="FB33">_xll.ASAssetStatistic($A33,"Exponential Normal Monthly VaR 95%",,,,"m",'PBA Summary'!$F$2,'PBA Summary'!$G$2)</f>
        <v>-4.451947809396524E-2</v>
      </c>
      <c r="FC33" s="34" cm="1">
        <f t="array" ref="FC33">_xll.ASAssetStatistic($A33,"Exponential Normal Monthly VaR 90%",,,,"m",'PBA Summary'!$F$2,'PBA Summary'!$G$2)</f>
        <v>-2.9484034913798553E-2</v>
      </c>
      <c r="FD33" s="34" t="str" cm="1">
        <f t="array" ref="FD33">_xll.ASAssetStatistic($A33,"Exponential Normal weekly VaR 99%",,,,"m",'PBA Summary'!$F$2,'PBA Summary'!$G$2)</f>
        <v/>
      </c>
      <c r="FE33" s="34" t="str" cm="1">
        <f t="array" ref="FE33">_xll.ASAssetStatistic($A33,"Exponential Normal weekly VaR 97%",,,,"m",'PBA Summary'!$F$2,'PBA Summary'!$G$2)</f>
        <v/>
      </c>
      <c r="FF33" s="34" t="str" cm="1">
        <f t="array" ref="FF33">_xll.ASAssetStatistic($A33,"Exponential Normal weekly VaR 95%",,,,"m",'PBA Summary'!$F$2,'PBA Summary'!$G$2)</f>
        <v/>
      </c>
      <c r="FG33" s="34" t="str" cm="1">
        <f t="array" ref="FG33">_xll.ASAssetStatistic($A33,"Exponential Normal weekly VaR 90%",,,,"m",'PBA Summary'!$F$2,'PBA Summary'!$G$2)</f>
        <v/>
      </c>
      <c r="FH33" s="34" t="str" cm="1">
        <f t="array" ref="FH33">_xll.ASAssetStatistic($A33,"Exponential Normal daily VaR 99%",,,,"m",'PBA Summary'!$F$2,'PBA Summary'!$G$2)</f>
        <v/>
      </c>
      <c r="FI33" s="34" t="str" cm="1">
        <f t="array" ref="FI33">_xll.ASAssetStatistic($A33,"Exponential Normal daily VaR 97%",,,,"m",'PBA Summary'!$F$2,'PBA Summary'!$G$2)</f>
        <v/>
      </c>
      <c r="FJ33" s="34" t="str" cm="1">
        <f t="array" ref="FJ33">_xll.ASAssetStatistic($A33,"Exponential Normal daily VaR 95%",,,,"m",'PBA Summary'!$F$2,'PBA Summary'!$G$2)</f>
        <v/>
      </c>
      <c r="FK33" s="34" t="str" cm="1">
        <f t="array" ref="FK33">_xll.ASAssetStatistic($A33,"Exponential Normal daily VaR 90%",,,,"m",'PBA Summary'!$F$2,'PBA Summary'!$G$2)</f>
        <v/>
      </c>
      <c r="FL33" s="34" cm="1">
        <f t="array" ref="FL33">_xll.ASAssetStatistic($A33,"Bias Ratio",,,,"m",'PBA Summary'!$F$2,'PBA Summary'!$G$2)</f>
        <v>2.6666666666666665</v>
      </c>
      <c r="FM33" s="11" t="str" cm="1">
        <f t="array" ref="FM33">_xll.ASAssetInfo($A33,"Manager's Biography")</f>
        <v/>
      </c>
      <c r="FN33" s="11" cm="1">
        <f t="array" ref="FN33">_xll.ASAssetInfo($A33,"Investment Min")</f>
        <v>0</v>
      </c>
      <c r="FO33" s="11" t="str" cm="1">
        <f t="array" ref="FO33">_xll.ASAssetInfo($A33,"Auditor")</f>
        <v>PricewaterhouseCoopers/Ireland</v>
      </c>
      <c r="FP33" s="11" t="str" cm="1">
        <f t="array" ref="FP33">_xll.ASAssetInfo($A33,"Custodian")</f>
        <v>State Street Custodial Services Ireland Ltd</v>
      </c>
      <c r="FQ33" s="11" t="str" cm="1">
        <f t="array" ref="FQ33">_xll.ASAssetInfo($A33,"Administrator")</f>
        <v>State Street Fund Services Ireland Ltd</v>
      </c>
      <c r="FR33" s="14" t="str" cm="1">
        <f t="array" ref="FR33">_xll.ASAssetInfo($A33,"Proxy 1 Start Date")</f>
        <v/>
      </c>
      <c r="FS33" s="14" t="str" cm="1">
        <f t="array" ref="FS33">_xll.ASAssetInfo($A33,"Proxy 1 End Date")</f>
        <v/>
      </c>
      <c r="FT33" s="14" t="str" cm="1">
        <f t="array" ref="FT33">_xll.ASAssetInfo($A33,"Proxy 2 Start Date")</f>
        <v/>
      </c>
      <c r="FU33" s="14" t="str" cm="1">
        <f t="array" ref="FU33">_xll.ASAssetInfo($A33,"Proxy 2 End Date")</f>
        <v/>
      </c>
      <c r="FV33" s="14" t="str" cm="1">
        <f t="array" ref="FV33">_xll.ASAssetInfo($A33,"Proxy 3 Start Date")</f>
        <v/>
      </c>
      <c r="FW33" s="14" t="str" cm="1">
        <f t="array" ref="FW33">_xll.ASAssetInfo($A33,"Proxy 3 End Date")</f>
        <v/>
      </c>
      <c r="FX33" s="14" t="str" cm="1">
        <f t="array" ref="FX33">_xll.ASAssetInfo($A33,"Fund Domicile")</f>
        <v>IE</v>
      </c>
      <c r="FY33" s="14" t="str" cm="1">
        <f t="array" ref="FY33">_xll.ASAssetInfo($A33,"Fund Contact")</f>
        <v/>
      </c>
      <c r="FZ33" s="14" t="str" cm="1">
        <f t="array" ref="FZ33">_xll.ASAssetInfo($A33,"Fund Contact Email")</f>
        <v/>
      </c>
      <c r="GA33" s="14" t="str" cm="1">
        <f t="array" ref="GA33">_xll.ASAssetInfo($A33,"Fund Contact Number")</f>
        <v/>
      </c>
      <c r="GB33" s="14" t="str" cm="1">
        <f t="array" ref="GB33">_xll.ASAssetInfo($A33,"City")</f>
        <v>Dublin</v>
      </c>
      <c r="GC33" s="14" t="str" cm="1">
        <f t="array" ref="GC33">_xll.ASAssetInfo($A33,"Leverage")</f>
        <v>N</v>
      </c>
      <c r="GD33" s="14" t="str" cm="1">
        <f t="array" ref="GD33">_xll.ASAssetInfo($A33,"Lockup 1 Duration")</f>
        <v>0 Months</v>
      </c>
      <c r="GE33" s="14" t="str" cm="1">
        <f t="array" ref="GE33">_xll.ASAssetInfo($A33,"Lockup 2 Duration")</f>
        <v>0 Months</v>
      </c>
      <c r="GF33" s="14" t="str" cm="1">
        <f t="array" ref="GF33">_xll.ASAssetInfo($A33,"Lockup 3 Duration")</f>
        <v>0 Months</v>
      </c>
      <c r="GG33" s="31" t="str" cm="1">
        <f t="array" ref="GG33">_xll.ASAssetInfo($A33,"Fund Level Gate")</f>
        <v/>
      </c>
      <c r="GH33" s="31" t="str" cm="1">
        <f t="array" ref="GH33">_xll.ASAssetInfo($A33,"Fund Level Gate Frequency")</f>
        <v>Unknown</v>
      </c>
      <c r="GI33" s="35" cm="1">
        <f t="array" ref="GI33">_xll.ASAssetInfo($A33,"Payment 2 (%)")</f>
        <v>0</v>
      </c>
      <c r="GJ33" s="35" t="str" cm="1">
        <f t="array" ref="GJ33">_xll.ASAssetInfo($A33,"Payment 2 (days)")</f>
        <v/>
      </c>
      <c r="GK33" s="35" t="str" cm="1">
        <f t="array" ref="GK33">_xll.ASAssetInfo($A33,"Payment 2 (Paid After)")</f>
        <v>NAV Date</v>
      </c>
      <c r="GL33" s="35" cm="1">
        <f t="array" ref="GL33">_xll.ASAssetInfo($A33,"Payment 3 (%)")</f>
        <v>0</v>
      </c>
      <c r="GM33" s="36" t="str" cm="1">
        <f t="array" ref="GM33">_xll.ASAssetInfo($A33,"Payment 3 (Days)")</f>
        <v/>
      </c>
      <c r="GN33" s="35" t="str" cm="1">
        <f t="array" ref="GN33">_xll.ASAssetInfo($A33,"Payment 3 (Paid After)")</f>
        <v>NAV Date</v>
      </c>
      <c r="GO33" s="35" cm="1">
        <f t="array" ref="GO33">_xll.ASAssetInfo($A33,"Payment 4 (%)")</f>
        <v>0</v>
      </c>
      <c r="GP33" s="36" t="str" cm="1">
        <f t="array" ref="GP33">_xll.ASAssetInfo($A33,"Payment 4 (days)")</f>
        <v/>
      </c>
      <c r="GQ33" s="35" t="str" cm="1">
        <f t="array" ref="GQ33">_xll.ASAssetInfo($A33,"Payment 4 (Paid After)")</f>
        <v>NAV Date</v>
      </c>
      <c r="GR33" s="11" cm="1">
        <f t="array" ref="GR33">_xll.ASAssetInfo($A33,"Payment 1 (%)")</f>
        <v>1</v>
      </c>
      <c r="GS33" s="35" cm="1">
        <f t="array" ref="GS33">_xll.ASAssetInfo($A33,"Lockup 1 Fee")</f>
        <v>0</v>
      </c>
      <c r="GT33" s="35" cm="1">
        <f t="array" ref="GT33">_xll.ASAssetInfo($A33,"Lockup 2 Fee")</f>
        <v>0</v>
      </c>
      <c r="GU33" s="35" cm="1">
        <f t="array" ref="GU33">_xll.ASAssetInfo($A33,"Lockup 3 Fee")</f>
        <v>0</v>
      </c>
      <c r="GV33" s="35" t="str" cm="1">
        <f t="array" ref="GV33">_xll.ASAssetInfo($A33,"Lockup 1 type")</f>
        <v>None</v>
      </c>
      <c r="GW33" s="35" t="str" cm="1">
        <f t="array" ref="GW33">_xll.ASAssetInfo($A33,"Lockup 2 type")</f>
        <v>None</v>
      </c>
      <c r="GX33" s="35" t="str" cm="1">
        <f t="array" ref="GX33">_xll.ASAssetInfo($A33,"Lockup 3 type")</f>
        <v>None</v>
      </c>
      <c r="GY33" s="35" t="str" cm="1">
        <f t="array" ref="GY33">_xll.ASAssetInfo($A33,"Redemption 1 type")</f>
        <v>Calendar</v>
      </c>
      <c r="GZ33" s="35" t="str" cm="1">
        <f t="array" ref="GZ33">_xll.ASAssetInfo($A33,"Redemption 2 type")</f>
        <v>Calendar</v>
      </c>
      <c r="HA33" s="35" t="str" cm="1">
        <f t="array" ref="HA33">_xll.ASAssetInfo($A33,"Redemption 3 type")</f>
        <v>Calendar</v>
      </c>
      <c r="HB33" s="35" t="str" cm="1">
        <f t="array" ref="HB33">_xll.ASAssetInfo($A33,"Redemption 1 Fee")</f>
        <v/>
      </c>
      <c r="HC33" s="35" t="str" cm="1">
        <f t="array" ref="HC33">_xll.ASAssetInfo($A33,"Redemption 2 Fee")</f>
        <v/>
      </c>
      <c r="HD33" s="35" t="str" cm="1">
        <f t="array" ref="HD33">_xll.ASAssetInfo($A33,"Redemption 3 Fee")</f>
        <v/>
      </c>
      <c r="HE33" s="35" t="str" cm="1">
        <f t="array" ref="HE33">_xll.ASAssetInfo($A33,"Redemption 1 Frequency")</f>
        <v>Daily</v>
      </c>
      <c r="HF33" s="35" t="str" cm="1">
        <f t="array" ref="HF33">_xll.ASAssetInfo($A33,"Redemption 2 Frequency")</f>
        <v>Unknown</v>
      </c>
      <c r="HG33" s="35" t="str" cm="1">
        <f t="array" ref="HG33">_xll.ASAssetInfo($A33,"Redemption 3 Frequency")</f>
        <v>Unknown</v>
      </c>
      <c r="HH33" s="35" t="str" cm="1">
        <f t="array" ref="HH33">_xll.ASAssetInfo($A33,"Asset Calendar")</f>
        <v>[Default]</v>
      </c>
      <c r="HI33" s="16" cm="1">
        <f t="array" ref="HI33">_xll.ASAssetStatistic($A33,"Max Second Drawdown",,,,"m",'PBA Summary'!$F$2,'PBA Summary'!$G$2)</f>
        <v>-7.0521274380509591E-2</v>
      </c>
      <c r="HJ33" s="37" cm="1">
        <f t="array" ref="HJ33">_xll.ASAssetStatistic($A33,"Date Max Second Drawdown",,,,"m",'PBA Summary'!$F$2,'PBA Summary'!$G$2)</f>
        <v>43616</v>
      </c>
      <c r="HK33" s="37"/>
      <c r="HL33" s="37" t="str" cm="1">
        <f t="array" ref="HL33">_xll.ASAssetInfo($A33,HL$1)</f>
        <v/>
      </c>
      <c r="HM33" s="34" t="str" cm="1">
        <f t="array" ref="HM33">_xll.ASAssetInfo($A33,HM$1)</f>
        <v/>
      </c>
      <c r="HN33" s="37" t="str" cm="1">
        <f t="array" ref="HN33">_xll.ASAssetInfo($A33,HN$1)</f>
        <v/>
      </c>
      <c r="HO33" s="15" cm="1">
        <f t="array" ref="HO33">_xll.ASAssetInfo($A33,HO$1)</f>
        <v>0</v>
      </c>
      <c r="HP33" s="15" t="str" cm="1">
        <f t="array" ref="HP33">_xll.ASAssetInfo($A33,HP$1)</f>
        <v/>
      </c>
      <c r="HQ33" s="34" t="str" cm="1">
        <f t="array" ref="HQ33">_xll.ASAssetInfo($A33,HQ$1)</f>
        <v/>
      </c>
      <c r="HR33" s="37" t="str" cm="1">
        <f t="array" ref="HR33">_xll.ASAssetInfo($A33,HR$1)</f>
        <v/>
      </c>
      <c r="HS33" s="37" t="str" cm="1">
        <f t="array" ref="HS33">_xll.ASAssetInfo($A33,HS$1)</f>
        <v/>
      </c>
      <c r="HT33" s="37" t="str" cm="1">
        <f t="array" ref="HT33">_xll.ASAssetInfo($A33,HT$1)</f>
        <v/>
      </c>
      <c r="HU33" s="37" t="str" cm="1">
        <f t="array" ref="HU33">_xll.ASAssetInfo($A33,HU$1)</f>
        <v>Americas</v>
      </c>
      <c r="HV33" s="37" t="str" cm="1">
        <f t="array" ref="HV33">_xll.ASAssetInfo($A33,HV$1)</f>
        <v/>
      </c>
      <c r="HW33" s="37" t="str" cm="1">
        <f t="array" ref="HW33">_xll.ASAssetInfo($A33,HW$1)</f>
        <v/>
      </c>
    </row>
    <row r="34" spans="1:231" s="11" customFormat="1" x14ac:dyDescent="0.25">
      <c r="A34" t="s">
        <v>276</v>
      </c>
      <c r="B34" cm="1">
        <f t="array" ref="B34">_xll.ASPortfolioWeights('PBA Summary'!$C$2,"OR",$A34)</f>
        <v>0</v>
      </c>
      <c r="C34" cm="1">
        <f t="array" ref="C34">_xll.ASAssetStatistic($A34,"Annualized Return since inception",,,,"m",_xll.ASAssetInfo($A34,"Start Date"),_xll.ASAssetInfo($A34,"Last Return Date"))</f>
        <v>7.2509092862796498E-2</v>
      </c>
      <c r="D34" cm="1">
        <f t="array" ref="D34">_xll.ASAssetStatistic($A34,"Annualized Return",,,,"m",'PBA Summary'!$F$2,'PBA Summary'!$G$2)</f>
        <v>7.5852124635703344E-2</v>
      </c>
      <c r="E34" s="19" cm="1">
        <f t="array" ref="E34">_xll.ASAssetStatistic($A34,"Equilibrium Annual Return",,,,"m",'PBA Summary'!$F$2,'PBA Summary'!$G$2)</f>
        <v>9.1375322564615225E-2</v>
      </c>
      <c r="F34" cm="1">
        <f t="array" ref="F34">_xll.ASAssetStatistic($A34,"Annualized Volatility (Inception)",,,,"m",_xll.ASAssetInfo($A34,"Start Date"),_xll.ASAssetInfo($A34,"Last Return Date"))</f>
        <v>0.22984217415106808</v>
      </c>
      <c r="G34" cm="1">
        <f t="array" ref="G34">_xll.ASAssetStatistic($A34,"Annualized Volatility",,,,"m",'PBA Summary'!$F$2,'PBA Summary'!$G$2)</f>
        <v>0.25214035201533525</v>
      </c>
      <c r="H34" s="20" cm="1">
        <f t="array" ref="H34">_xll.ASAssetStatistic($A34,"Skewness",,,,"m",'PBA Summary'!$F$2,'PBA Summary'!$G$2)</f>
        <v>0.30933143678547947</v>
      </c>
      <c r="I34" s="20" cm="1">
        <f t="array" ref="I34">_xll.ASAssetStatistic($A34,"Excess kurtosis",,,,"m",'PBA Summary'!$F$2,'PBA Summary'!$G$2)</f>
        <v>-0.72421823214821646</v>
      </c>
      <c r="J34" s="19" cm="1">
        <f t="array" ref="J34">_xll.ASAssetStatistic($A34,"Return Last 1 month",,,,"m",'PBA Summary'!$F$2,'PBA Summary'!$G$2)</f>
        <v>-5.5603654046881057E-2</v>
      </c>
      <c r="K34" s="19" cm="1">
        <f t="array" ref="K34">_xll.ASAssetStatistic($A34,"Return Last 3 months",,,,"m",'PBA Summary'!$F$2,'PBA Summary'!$G$2)</f>
        <v>6.077433427247092E-2</v>
      </c>
      <c r="L34" s="19" cm="1">
        <f t="array" ref="L34">_xll.ASAssetStatistic($A34,"Return Last 1 year",,,,"m",'PBA Summary'!$F$2,'PBA Summary'!$G$2)</f>
        <v>3.9554312586839391E-2</v>
      </c>
      <c r="M34" s="19" cm="1">
        <f t="array" ref="M34">_xll.ASAssetStatistic($A34,"Year-to-date Return",,,,"m",'PBA Summary'!$F$2,'PBA Summary'!$G$2)</f>
        <v>-5.5603654046881057E-2</v>
      </c>
      <c r="N34" s="19" cm="1">
        <f t="array" ref="N34">_xll.ASAssetStatistic($A34,"Annualized Return",,,,"m",EOMONTH('PBA Summary'!$G$2,-2),'PBA Summary'!$G$2)</f>
        <v>0.26616998222035781</v>
      </c>
      <c r="O34" s="19" t="str" cm="1">
        <f t="array" ref="O34">_xll.ASAssetStatistic($A34,"Annualized Return Last 3 years",,,,"m",'PBA Summary'!$F$2,'PBA Summary'!$G$2)</f>
        <v/>
      </c>
      <c r="P34" s="19" t="str" cm="1">
        <f t="array" ref="P34">_xll.ASAssetStatistic($A34,"Annualized Return Last 5 years",,,,"m",'PBA Summary'!$F$2,'PBA Summary'!$G$2)</f>
        <v/>
      </c>
      <c r="Q34" s="19" cm="1">
        <f t="array" ref="Q34">_xll.ASAssetStatistic($A34,"Annualized Volatility Last 1 year",,,,"m",'PBA Summary'!$F$2,'PBA Summary'!$G$2)</f>
        <v>0.20953668101522757</v>
      </c>
      <c r="R34" s="19" t="str" cm="1">
        <f t="array" ref="R34">_xll.ASAssetStatistic($A34,"Annualized Volatility Last 3 years",,,,"m",'PBA Summary'!$F$2,'PBA Summary'!$G$2)</f>
        <v/>
      </c>
      <c r="S34" s="19" t="str" cm="1">
        <f t="array" ref="S34">_xll.ASAssetStatistic($A34,"Annualized Volatility Last 5 years",,,,"m",'PBA Summary'!$F$2,'PBA Summary'!$G$2)</f>
        <v/>
      </c>
      <c r="T34" s="19" cm="1">
        <f t="array" ref="T34">_xll.ASAssetStatistic($A34,"Normal monthly VaR 99%",,,,"m",'PBA Summary'!$F$2,'PBA Summary'!$G$2)</f>
        <v>-0.16078638355132219</v>
      </c>
      <c r="U34" s="19" cm="1">
        <f t="array" ref="U34">_xll.ASAssetStatistic($A34,"Modified monthly VaR 99%",,,,"m",'PBA Summary'!$F$2,'PBA Summary'!$G$2)</f>
        <v>-0.12928578883298353</v>
      </c>
      <c r="V34" s="19" cm="1">
        <f t="array" ref="V34">_xll.ASAssetStatistic($A34,"Conditional monthly VaR 99%",,,,"m",'PBA Summary'!$F$2,'PBA Summary'!$G$2)</f>
        <v>-0.11613475177304922</v>
      </c>
      <c r="W34" s="19" cm="1">
        <f t="array" ref="W34">_xll.ASAssetStatistic($A34,"Normal monthly VaR 97%",,,,"m",'PBA Summary'!$F$2,'PBA Summary'!$G$2)</f>
        <v>-0.12835598111958865</v>
      </c>
      <c r="X34" s="19" cm="1">
        <f t="array" ref="X34">_xll.ASAssetStatistic($A34,"Modified monthly VaR 97%",,,,"m",'PBA Summary'!$F$2,'PBA Summary'!$G$2)</f>
        <v>-0.11585951371869838</v>
      </c>
      <c r="Y34" s="19" cm="1">
        <f t="array" ref="Y34">_xll.ASAssetStatistic($A34,"Conditional monthly VaR 97%",,,,"m",'PBA Summary'!$F$2,'PBA Summary'!$G$2)</f>
        <v>-0.11613475177304922</v>
      </c>
      <c r="Z34" s="19" cm="1">
        <f t="array" ref="Z34">_xll.ASAssetStatistic($A34,"Normal monthly VaR 95%",,,,"m",'PBA Summary'!$F$2,'PBA Summary'!$G$2)</f>
        <v>-0.11118270027406184</v>
      </c>
      <c r="AA34" s="19" cm="1">
        <f t="array" ref="AA34">_xll.ASAssetStatistic($A34,"Modified monthly VaR 95%",,,,"m",'PBA Summary'!$F$2,'PBA Summary'!$G$2)</f>
        <v>-0.10571557282113017</v>
      </c>
      <c r="AB34" s="19" cm="1">
        <f t="array" ref="AB34">_xll.ASAssetStatistic($A34,"Conditional monthly VaR 95%",,,,"m",'PBA Summary'!$F$2,'PBA Summary'!$G$2)</f>
        <v>-0.11613475177304922</v>
      </c>
      <c r="AC34" s="66" cm="1">
        <f t="array" ref="AC34">_xll.ASAssetStatistic($A34,"Correlation to Benchmark 1","MSCI ACWI Index",,,"m",'PBA Summary'!$F$2,'PBA Summary'!$G$2)</f>
        <v>0.79050189562845452</v>
      </c>
      <c r="AD34" s="38" cm="1">
        <f t="array" ref="AD34">IF('PBA Summary'!$D$3="","",_xll.ASAssetStatistic($A34,"Correlation to Benchmark 1",'PBA Summary'!$D$3,,,"m",'PBA Summary'!$F$2,'PBA Summary'!$G$2))</f>
        <v>0.78057935934097267</v>
      </c>
      <c r="AE34" s="21" cm="1">
        <f t="array" ref="AE34">IF('PBA Summary'!$D$2="","",_xll.ASAssetStatistic($A34,"Bull correlation to Benchmark 1",'PBA Summary'!$D$2,,,"m",'PBA Summary'!$F$2,'PBA Summary'!$G$2))</f>
        <v>0.6381109413075774</v>
      </c>
      <c r="AF34" s="21" cm="1">
        <f t="array" ref="AF34">IF('PBA Summary'!$D$2="","",_xll.ASAssetStatistic($A34,"Bear correlation to Benchmark 1",'PBA Summary'!$D$2,,,"m",'PBA Summary'!$F$2,'PBA Summary'!$G$2))</f>
        <v>0.80497800015038934</v>
      </c>
      <c r="AG34" s="21" cm="1">
        <f t="array" ref="AG34">IF('PBA Summary'!$D$3="","",_xll.ASAssetStatistic($A34,"Bull correlation to Benchmark 1",'PBA Summary'!$D$3,,,"m",'PBA Summary'!$F$2,'PBA Summary'!$G$2))</f>
        <v>0.6381109413075774</v>
      </c>
      <c r="AH34" s="21" cm="1">
        <f t="array" ref="AH34">IF('PBA Summary'!$D$3="","",_xll.ASAssetStatistic($A34,"Bear correlation to Benchmark 1",'PBA Summary'!$D$3,,,"m",'PBA Summary'!$F$2,'PBA Summary'!$G$2))</f>
        <v>0.80497800015038934</v>
      </c>
      <c r="AI34" s="24" cm="1">
        <f t="array" ref="AI34">IF('PBA Summary'!$D$2="","",_xll.ASAssetStatistic($A34,"Beta to Benchmark 1",'PBA Summary'!$D$2,,,"m",'PBA Summary'!$F$2,'PBA Summary'!$G$2))</f>
        <v>1.2819856101812788</v>
      </c>
      <c r="AJ34" s="24" t="str" cm="1">
        <f t="array" ref="AJ34">IF('PBA Summary'!$D$2="","",_xll.ASAssetStatistic($A34,"Beta to Benchmark 1 Last 3 years",'PBA Summary'!$D$2,,,"m",'PBA Summary'!$F$2,'PBA Summary'!$G$2))</f>
        <v/>
      </c>
      <c r="AK34" s="24" t="str" cm="1">
        <f t="array" ref="AK34">IF('PBA Summary'!$D$2="","",_xll.ASAssetStatistic($A34,"Beta to Benchmark 1 Last 5 years",'PBA Summary'!$D$2,,,"m",'PBA Summary'!$F$2,'PBA Summary'!$G$2))</f>
        <v/>
      </c>
      <c r="AL34" s="25" cm="1">
        <f t="array" ref="AL34">IF('PBA Summary'!$D$3="","",_xll.ASAssetStatistic($A34,"Beta to Benchmark 1",'PBA Summary'!$D$3,,,"m",'PBA Summary'!$F$2,'PBA Summary'!$G$2))</f>
        <v>1.2819856101812788</v>
      </c>
      <c r="AM34" s="25" t="str" cm="1">
        <f t="array" ref="AM34">IF('PBA Summary'!$D$3="","",_xll.ASAssetStatistic($A34,"Beta to Benchmark 1 Last 3 years",'PBA Summary'!$D$3,,,"m",'PBA Summary'!$F$2,'PBA Summary'!$G$2))</f>
        <v/>
      </c>
      <c r="AN34" s="25" t="str" cm="1">
        <f t="array" ref="AN34">IF('PBA Summary'!$D$3="","",_xll.ASAssetStatistic($A34,"Beta to Benchmark 1 Last 5 years",'PBA Summary'!$D$3,,,"m",'PBA Summary'!$F$2,'PBA Summary'!$G$2))</f>
        <v/>
      </c>
      <c r="AO34" s="25" cm="1">
        <f t="array" ref="AO34">IF('PBA Summary'!$D$2="","",_xll.ASAssetStatistic($A34,"Bull Beta to Benchmark 1",'PBA Summary'!$D$2,,,"m",'PBA Summary'!$F$2,'PBA Summary'!$G$2))</f>
        <v>1.8830607267128876</v>
      </c>
      <c r="AP34" s="25" cm="1">
        <f t="array" ref="AP34">IF('PBA Summary'!$D$2="","",_xll.ASAssetStatistic($A34,"Bear Beta to Benchmark 1",'PBA Summary'!$D$2,,,"m",'PBA Summary'!$F$2,'PBA Summary'!$G$2))</f>
        <v>0.72752428094394139</v>
      </c>
      <c r="AQ34" s="25" cm="1">
        <f t="array" ref="AQ34">IF('PBA Summary'!$D$3="","",_xll.ASAssetStatistic($A34,"Bull Beta to Benchmark 1",'PBA Summary'!$D$3,,,"m",'PBA Summary'!$F$2,'PBA Summary'!$G$2))</f>
        <v>1.8830607267128876</v>
      </c>
      <c r="AR34" s="25" cm="1">
        <f t="array" ref="AR34">IF('PBA Summary'!$D$3="","",_xll.ASAssetStatistic($A34,"Bear Beta to Benchmark 1",'PBA Summary'!$D$3,,,"m",'PBA Summary'!$F$2,'PBA Summary'!$G$2))</f>
        <v>0.72752428094394139</v>
      </c>
      <c r="AS34" s="25" cm="1">
        <f t="array" ref="AS34">_xll.ASAssetStatistic($A34,"Annual Sharpe Ratio (Rf)",,,'PBA Summary'!$H$2,"m",'PBA Summary'!$F$2,'PBA Summary'!$G$2)</f>
        <v>0.29091783226844248</v>
      </c>
      <c r="AT34" s="25" t="str" cm="1">
        <f t="array" ref="AT34">_xll.ASAssetStatistic($A34,"Annual Sharpe Ratio (Rf) Last 3 years",,,'PBA Summary'!$H$2,"m",'PBA Summary'!$F$2,'PBA Summary'!$G$2)</f>
        <v/>
      </c>
      <c r="AU34" s="25" t="str" cm="1">
        <f t="array" ref="AU34">_xll.ASAssetStatistic($A34,"Annual Sharpe Ratio (Rf) Last 5 years",,,'PBA Summary'!$H$2,"m",'PBA Summary'!$F$2,'PBA Summary'!$G$2)</f>
        <v/>
      </c>
      <c r="AV34" s="18" cm="1">
        <f t="array" ref="AV34">_xll.ASAssetStatistic($A34,"Ann. Downside Deviation (vs 0%)",,,'PBA Summary'!$H$2,"m",'PBA Summary'!$F$2,'PBA Summary'!$G$2)</f>
        <v>0.14242090085444803</v>
      </c>
      <c r="AW34" s="18" cm="1">
        <f t="array" ref="AW34">_xll.ASAssetStatistic($A34,"Ann. Downside Deviation (vs Rf)",,,'PBA Summary'!$H$2,"m",'PBA Summary'!$F$2,'PBA Summary'!$G$2)</f>
        <v>0.14286388934261393</v>
      </c>
      <c r="AX34" s="39" cm="1">
        <f t="array" ref="AX34">_xll.ASAssetStatistic($A34,"Annual Treynor ratio",,,'PBA Summary'!$H$2,"m",'PBA Summary'!$F$2,'PBA Summary'!$G$2)</f>
        <v>7.491388746766757E-2</v>
      </c>
      <c r="AY34" s="26" cm="1">
        <f t="array" ref="AY34">_xll.ASAssetStatistic($A34,"Annual Sortino Ratio (vs 0%)",,,'PBA Summary'!$H$2,"m",'PBA Summary'!$F$2,'PBA Summary'!$G$2)</f>
        <v>0.53259124314361028</v>
      </c>
      <c r="AZ34" s="26" cm="1">
        <f t="array" ref="AZ34">_xll.ASAssetStatistic($A34,"Annual Sortino Ratio (vs Rf)",,,'PBA Summary'!$H$2,"m",'PBA Summary'!$F$2,'PBA Summary'!$G$2)</f>
        <v>0.51344062501190513</v>
      </c>
      <c r="BA34" s="26" cm="1">
        <f t="array" ref="BA34">_xll.ASAssetStatistic($A34,"Sterling ratio",,,'PBA Summary'!$H$2,"m",'PBA Summary'!$F$2,'PBA Summary'!$G$2)</f>
        <v>0.35090213105380375</v>
      </c>
      <c r="BB34" s="26" cm="1">
        <f t="array" ref="BB34">_xll.ASAssetStatistic($A34,"Calmar ratio",,,'PBA Summary'!$H$2,"m",'PBA Summary'!$F$2,'PBA Summary'!$G$2)</f>
        <v>0.65297899878485255</v>
      </c>
      <c r="BC34" s="26" cm="1">
        <f t="array" ref="BC34">_xll.ASAssetStatistic($A34,"Hurst index",,,'PBA Summary'!$H$2,"m",'PBA Summary'!$F$2,'PBA Summary'!$G$2)</f>
        <v>0.32687678382678437</v>
      </c>
      <c r="BD34" s="26" cm="1">
        <f t="array" ref="BD34">_xll.ASAssetStatistic($A34,"Omega (Threshold 1)",,,'PBA Summary'!$H$2,"m",'PBA Summary'!$F$2,'PBA Summary'!$G$2)</f>
        <v>1.3382579189957808</v>
      </c>
      <c r="BE34" s="26" cm="1">
        <f t="array" ref="BE34">_xll.ASAssetStatistic($A34,"Omega (Threshold 2)",,,'PBA Summary'!$H$2,"m",'PBA Summary'!$F$2,'PBA Summary'!$G$2)</f>
        <v>1.1268349070910539</v>
      </c>
      <c r="BF34" s="26" cm="1">
        <f t="array" ref="BF34">_xll.ASAssetStatistic($A34,"Omega (Threshold 3)",,,'PBA Summary'!$H$2,"m",'PBA Summary'!$F$2,'PBA Summary'!$G$2)</f>
        <v>0.95252336788341485</v>
      </c>
      <c r="BG34" s="26" cm="1">
        <f t="array" ref="BG34">_xll.ASAssetStatistic($A34,"Omega (Threshold 4)",,,'PBA Summary'!$H$2,"m",'PBA Summary'!$F$2,'PBA Summary'!$G$2)</f>
        <v>0.80854221440600005</v>
      </c>
      <c r="BH34" s="26" cm="1">
        <f t="array" ref="BH34">_xll.ASAssetStatistic($A34,"Omega (Threshold 5)",,,'PBA Summary'!$H$2,"m",'PBA Summary'!$F$2,'PBA Summary'!$G$2)</f>
        <v>0.68807615996996485</v>
      </c>
      <c r="BI34" s="26" t="str" cm="1">
        <f t="array" ref="BI34">_xll.ASAssetStatistic($A34,"Autocorrelated (illiquid)",,,'PBA Summary'!$H$2,"m",'PBA Summary'!$F$2,'PBA Summary'!$G$2)</f>
        <v>No</v>
      </c>
      <c r="BJ34" s="27" cm="1">
        <f t="array" ref="BJ34">_xll.ASAssetStatistic($A34,"% months in Run Up",,,'PBA Summary'!$H$2,"m",'PBA Summary'!$F$2,'PBA Summary'!$G$2)</f>
        <v>0.4</v>
      </c>
      <c r="BK34" s="27" cm="1">
        <f t="array" ref="BK34">_xll.ASAssetStatistic($A34,"% months in Drawdown",,,'PBA Summary'!$H$2,"m",'PBA Summary'!$F$2,'PBA Summary'!$G$2)</f>
        <v>0.6</v>
      </c>
      <c r="BL34" s="18" cm="1">
        <f t="array" ref="BL34">IF('PBA Summary'!$D$2="","",_xll.ASAssetStatistic($A34,"Bull Beta to Benchmark 1",'PBA Summary'!$D$2,,,"m",'PBA Summary'!$F$2,'PBA Summary'!$G$2))</f>
        <v>1.8830607267128876</v>
      </c>
      <c r="BM34" s="18" cm="1">
        <f t="array" ref="BM34">IF('PBA Summary'!$D$2="","",_xll.ASAssetStatistic($A34,"Average return during bear Benchmark 1",'PBA Summary'!$D$2,,,"m",'PBA Summary'!$F$2,'PBA Summary'!$G$2))</f>
        <v>-6.4522070990794572E-2</v>
      </c>
      <c r="BN34" s="18" cm="1">
        <f t="array" ref="BN34">IF('PBA Summary'!$D$3="","",_xll.ASAssetStatistic($A34,"Average return during bull Benchmark 1",'PBA Summary'!$D$3,,,"m",'PBA Summary'!$F$2,'PBA Summary'!$G$2))</f>
        <v>3.5108959990617035E-2</v>
      </c>
      <c r="BO34" s="18" cm="1">
        <f t="array" ref="BO34">IF('PBA Summary'!$D$3="","",_xll.ASAssetStatistic($A34,"Average return during bear Benchmark 1",'PBA Summary'!$D$3,,,"m",'PBA Summary'!$F$2,'PBA Summary'!$G$2))</f>
        <v>-6.4522070990794572E-2</v>
      </c>
      <c r="BP34" s="27" cm="1">
        <f t="array" ref="BP34">_xll.ASAssetStatistic($A34,"Maximum consecutive gain",,,'PBA Summary'!$H$2,"m",'PBA Summary'!$F$2,'PBA Summary'!$G$2)</f>
        <v>0.21174002137401482</v>
      </c>
      <c r="BQ34" s="27" cm="1">
        <f t="array" ref="BQ34">_xll.ASAssetStatistic($A34,"Maximum consecutive loss",,,'PBA Summary'!$H$2,"m",'PBA Summary'!$F$2,'PBA Summary'!$G$2)</f>
        <v>-0.11613475177304922</v>
      </c>
      <c r="BR34" s="27" cm="1">
        <f t="array" ref="BR34">_xll.ASAssetStatistic($A34,"Max monthly gain",,,'PBA Summary'!$H$2,"m",'PBA Summary'!$F$2,'PBA Summary'!$G$2)</f>
        <v>0.13751355075326943</v>
      </c>
      <c r="BS34" s="27" cm="1">
        <f t="array" ref="BS34">_xll.ASAssetStatistic($A34,"Max monthly loss",,,'PBA Summary'!$H$2,"m",'PBA Summary'!$F$2,'PBA Summary'!$G$2)</f>
        <v>-0.11613475177304922</v>
      </c>
      <c r="BT34" s="27" cm="1">
        <f t="array" ref="BT34">_xll.ASAssetStatistic($A34,"Max drawdown",,,'PBA Summary'!$H$2,"m",'PBA Summary'!$F$2,'PBA Summary'!$G$2)</f>
        <v>-0.11616319173642453</v>
      </c>
      <c r="BU34" s="28" cm="1">
        <f t="array" ref="BU34">_xll.ASAssetStatistic($A34,"Date Max drawdown",,,'PBA Summary'!$H$2,"m",'PBA Summary'!$F$2,'PBA Summary'!$G$2)</f>
        <v>43738</v>
      </c>
      <c r="BV34" s="28" cm="1">
        <f t="array" ref="BV34">_xll.ASAssetStatistic($A34,"Start Date Max Drawdown",,,'PBA Summary'!$H$2,"m",'PBA Summary'!$F$2,'PBA Summary'!$G$2)</f>
        <v>43555</v>
      </c>
      <c r="BW34" s="28" cm="1">
        <f t="array" ref="BW34">_xll.ASAssetStatistic($A34,"End Date Max Drawdown",,,'PBA Summary'!$H$2,"m",'PBA Summary'!$F$2,'PBA Summary'!$G$2)</f>
        <v>43769</v>
      </c>
      <c r="BX34" s="29" cm="1">
        <f t="array" ref="BX34">_xll.ASAssetStatistic($A34,"Max Time-under-water (months)",,,'PBA Summary'!$H$2,"m",'PBA Summary'!$F$2,'PBA Summary'!$G$2)</f>
        <v>8</v>
      </c>
      <c r="BY34" s="27" cm="1">
        <f t="array" ref="BY34">_xll.ASAssetStatistic($A34,"Max possible drawdown 99%",,,'PBA Summary'!$H$2,"m",'PBA Summary'!$F$2,'PBA Summary'!$G$2)</f>
        <v>-0.83926687251421517</v>
      </c>
      <c r="BZ34" s="27" cm="1">
        <f t="array" ref="BZ34">_xll.ASAssetStatistic($A34,"Max possible drawdown 99.9%",,,'PBA Summary'!$H$2,"m",'PBA Summary'!$F$2,'PBA Summary'!$G$2)</f>
        <v>-1</v>
      </c>
      <c r="CA34" s="30" cm="1">
        <f t="array" ref="CA34">_xll.ASAssetStatistic($A34,"Max Possible Time-under-water 99% (months)",,,'PBA Summary'!$H$2,"m",'PBA Summary'!$F$2,'PBA Summary'!$G$2)</f>
        <v>393.06770658232767</v>
      </c>
      <c r="CB34" s="30" cm="1">
        <f t="array" ref="CB34">_xll.ASAssetStatistic($A34,"Max Possible Time-under-water 99.9% (months)",,,'PBA Summary'!$H$2,"m",'PBA Summary'!$F$2,'PBA Summary'!$G$2)</f>
        <v>693.58597931573354</v>
      </c>
      <c r="CC34" s="17" cm="1">
        <f t="array" ref="CC34">_xll.ASPortfolioReturnAttribution('PBA Summary'!$C$2,"OR",A34,"Last 1m",'PBA Summary'!$F$2,'PBA Summary'!$G$2)</f>
        <v>0</v>
      </c>
      <c r="CD34" s="11" t="str" cm="1">
        <f t="array" ref="CD34">_xll.ASAssetInfo($A34,"Strategy")</f>
        <v>Funds - Healthcare Index Long Only</v>
      </c>
      <c r="CE34" s="14" cm="1">
        <f t="array" ref="CE34">_xll.ASAssetInfo($A34,"Start Date")</f>
        <v>36934</v>
      </c>
      <c r="CF34" s="14" t="str" cm="1">
        <f t="array" ref="CF34">_xll.ASAssetRatings($A34,"Quantitative",0,0,0,0,0,'PBA Summary'!$F$2,'PBA Summary'!$G$2)</f>
        <v/>
      </c>
      <c r="CG34" s="14" t="str" cm="1">
        <f t="array" ref="CG34">_xll.ASAssetRatings($A34,"Qualitative",0,0,0,0,0,'PBA Summary'!$F$2,'PBA Summary'!$G$2)</f>
        <v/>
      </c>
      <c r="CH34" s="14" t="str" cm="1">
        <f t="array" ref="CH34">_xll.ASAssetRatings($A34,"Final",0,0,0,0,0,'PBA Summary'!$F$2,'PBA Summary'!$G$2)</f>
        <v/>
      </c>
      <c r="CI34" s="14" cm="1">
        <f t="array" ref="CI34">_xll.ASAssetInfo($A34,"Last Return Date")</f>
        <v>44134</v>
      </c>
      <c r="CJ34" s="14" t="str" cm="1">
        <f t="array" ref="CJ34">_xll.ASAssetInfo($A34,"Company Name")</f>
        <v>iShares ETFs/USA</v>
      </c>
      <c r="CK34" s="14" t="str" cm="1">
        <f t="array" ref="CK34">_xll.ASAssetInfo($A34,"Manager Name")</f>
        <v>Greg Savage</v>
      </c>
      <c r="CL34" s="14" t="str" cm="1">
        <f t="array" ref="CL34">_xll.ASAssetInfo($A34,"Address")</f>
        <v>BlackRock Fund Advisors. 400 Howard Street. San Francisco, CA 94105. USA</v>
      </c>
      <c r="CM34" s="14" t="str" cm="1">
        <f t="array" ref="CM34">_xll.ASAssetInfo($A34,"Phone Number")</f>
        <v>1-415-670-2000</v>
      </c>
      <c r="CN34" s="14" t="str" cm="1">
        <f t="array" ref="CN34">_xll.ASAssetInfo($A34,"Email")</f>
        <v/>
      </c>
      <c r="CO34" s="14" t="str" cm="1">
        <f t="array" ref="CO34">_xll.ASAssetInfo($A34,"Asset Type")</f>
        <v>Equities</v>
      </c>
      <c r="CP34" s="14" t="str" cm="1">
        <f t="array" ref="CP34">_xll.ASAssetInfo($A34,"Proprietary ID")</f>
        <v/>
      </c>
      <c r="CQ34" s="14" t="str" cm="1">
        <f t="array" ref="CQ34">_xll.ASAssetInfo($A34,"Country")</f>
        <v>United States of America</v>
      </c>
      <c r="CR34" s="14" t="str" cm="1">
        <f t="array" ref="CR34">_xll.ASAssetInfo($A34,"Currency")</f>
        <v>USD</v>
      </c>
      <c r="CS34" s="14" t="str" cm="1">
        <f t="array" ref="CS34">_xll.ASAssetInfo($A34,"Sub-Strategy")</f>
        <v/>
      </c>
      <c r="CT34" s="31" cm="1">
        <f t="array" ref="CT34">_xll.ASAssetInfo($A34,"Fund AUM (m)")</f>
        <v>8773.6270000000004</v>
      </c>
      <c r="CU34" s="31" t="str" cm="1">
        <f t="array" ref="CU34">_xll.ASAssetInfo($A34,"Status")</f>
        <v>Unknown</v>
      </c>
      <c r="CV34" s="31" t="str" cm="1">
        <f t="array" ref="CV34">_xll.ASAssetInfo($A34,"Redemption 1 Frequency")</f>
        <v>Daily</v>
      </c>
      <c r="CW34" s="31" t="str" cm="1">
        <f t="array" ref="CW34">_xll.ASAssetInfo($A34,"Redemption 2 Frequency")</f>
        <v>Unknown</v>
      </c>
      <c r="CX34" s="31" t="str" cm="1">
        <f t="array" ref="CX34">_xll.ASAssetInfo($A34,"Redemption 3 Frequency")</f>
        <v>Unknown</v>
      </c>
      <c r="CY34" s="31" t="str" cm="1">
        <f t="array" ref="CY34">_xll.ASAssetInfo($A34,"Notice Period")</f>
        <v/>
      </c>
      <c r="CZ34" s="15" t="str" cm="1">
        <f t="array" ref="CZ34">_xll.ASAssetInfo($A34,"Performance Fee")</f>
        <v/>
      </c>
      <c r="DA34" s="15" cm="1">
        <f t="array" ref="DA34">_xll.ASAssetInfo($A34,"Management Fee")</f>
        <v>4.6999999999999993E-3</v>
      </c>
      <c r="DB34" s="15" t="str" cm="1">
        <f t="array" ref="DB34">_xll.ASAssetInfo($A34,"ISIN")</f>
        <v>US4642875565</v>
      </c>
      <c r="DC34" s="16" cm="1">
        <f t="array" ref="DC34">_xll.ASAssetStatistic($A34,"Return during " &amp;YEAR(EOMONTH('PBA Summary'!$G$2,-60)),,,,"M",DATE(YEAR(EOMONTH('PBA Summary'!$G$2,-60)),1,31),DATE(YEAR(EOMONTH('PBA Summary'!$G$2,-60)),12,31))</f>
        <v>0.11560277477793068</v>
      </c>
      <c r="DD34" s="16" cm="1">
        <f t="array" ref="DD34">_xll.ASAssetStatistic($A34,"Return during " &amp;YEAR(EOMONTH('PBA Summary'!$G$2,-48)),,,,"M",DATE(YEAR(EOMONTH('PBA Summary'!$G$2,-48)),1,31),DATE(YEAR(EOMONTH('PBA Summary'!$G$2,-48)),12,31))</f>
        <v>-0.21414555444119698</v>
      </c>
      <c r="DE34" s="16" cm="1">
        <f t="array" ref="DE34">_xll.ASAssetStatistic($A34,"Return during " &amp;YEAR(EOMONTH('PBA Summary'!$G$2,-36)),,,,"M",DATE(YEAR(EOMONTH('PBA Summary'!$G$2,-36)),1,31),DATE(YEAR(EOMONTH('PBA Summary'!$G$2,-36)),12,31))</f>
        <v>0.21076462101875459</v>
      </c>
      <c r="DF34" s="16" cm="1">
        <f t="array" ref="DF34">_xll.ASAssetStatistic($A34,"Return during " &amp;YEAR(EOMONTH('PBA Summary'!$G$2,-24)),,,,"M",DATE(YEAR(EOMONTH('PBA Summary'!$G$2,-24)),1,31),DATE(YEAR(EOMONTH('PBA Summary'!$G$2,-24)),12,31))</f>
        <v>-9.5314476361570533E-2</v>
      </c>
      <c r="DG34" s="16" cm="1">
        <f t="array" ref="DG34">_xll.ASAssetStatistic($A34,"Return during " &amp;YEAR(EOMONTH('PBA Summary'!$G$2,-12)),,,,"M",DATE(YEAR(EOMONTH('PBA Summary'!$G$2,-12)),1,31),DATE(YEAR(EOMONTH('PBA Summary'!$G$2,-12)),12,31))</f>
        <v>0.25213012775700738</v>
      </c>
      <c r="DH34" s="11" t="str" cm="1">
        <f t="array" ref="DH34">_xll.ASAssetInfo($A34,"Prime Broker")</f>
        <v/>
      </c>
      <c r="DI34" s="16" cm="1">
        <f t="array" ref="DI34">_xll.ASAssetStatistic($A34,"Return",,,,"m",'PBA Summary'!$F$2,'PBA Summary'!$G$2)</f>
        <v>9.5697642762595958E-2</v>
      </c>
      <c r="DJ34" s="33" cm="1">
        <f t="array" ref="DJ34">IF('PBA Summary'!$D$2="","",_xll.ASAssetStatistic($A34,"Ann. Information Ratio vs Benchmark 1",'PBA Summary'!$D$2,,,"m",'PBA Summary'!$F$2,'PBA Summary'!$G$2))</f>
        <v>-0.59018816682024211</v>
      </c>
      <c r="DK34" s="33" cm="1">
        <f t="array" ref="DK34">IF('PBA Summary'!$D$3="","",_xll.ASAssetStatistic($A34,"Ann. Information Ratio vs Benchmark 1",'PBA Summary'!$D$3,,,"m",'PBA Summary'!$F$2,'PBA Summary'!$G$2))</f>
        <v>-0.59018816682024211</v>
      </c>
      <c r="DL34" s="33" cm="1">
        <f t="array" ref="DL34">IF('PBA Summary'!$D$2="","",_xll.ASAssetStatistic($A34,"Ann. Tracking Error vs Benchmark 1",'PBA Summary'!$D$2,,,"m",'PBA Summary'!$F$2,'PBA Summary'!$G$2))</f>
        <v>0.16343975534220342</v>
      </c>
      <c r="DM34" s="33" cm="1">
        <f t="array" ref="DM34">IF('PBA Summary'!$D$3="","",_xll.ASAssetStatistic($A34,"Ann. Tracking Error vs Benchmark 1",'PBA Summary'!$D$3,,,"m",'PBA Summary'!$F$2,'PBA Summary'!$G$2))</f>
        <v>0.16343975534220342</v>
      </c>
      <c r="DN34" s="33" cm="1">
        <f t="array" ref="DN34">IF('PBA Summary'!$D$2="","",_xll.ASAssetStatistic($A34,"R² vs Benchmark 1",'PBA Summary'!$D$2,,,"m",'PBA Summary'!$F$2,'PBA Summary'!$G$2))</f>
        <v>0.60930413622916335</v>
      </c>
      <c r="DO34" s="33" cm="1">
        <f t="array" ref="DO34">IF('PBA Summary'!$D$3="","",_xll.ASAssetStatistic($A34,"R² vs Benchmark 1",'PBA Summary'!$D$3,,,"m",'PBA Summary'!$F$2,'PBA Summary'!$G$2))</f>
        <v>0.60930413622916335</v>
      </c>
      <c r="DP34" s="11" t="str" cm="1">
        <f t="array" ref="DP34">_xll.ASAssetInfo($A34,"On-/Offshore")</f>
        <v>Unknown</v>
      </c>
      <c r="DQ34" s="16" cm="1">
        <f t="array" ref="DQ34">_xll.ASAssetStatistic($A34,"Quarter-to-date",,,,"m",'PBA Summary'!$F$2,'PBA Summary'!$G$2)</f>
        <v>-5.5603654046881057E-2</v>
      </c>
      <c r="DR34" s="16" cm="1">
        <f t="array" ref="DR34">_xll.ASAssetStatistic($A34,"Annualized Return Since inception",,,,"m",'PBA Summary'!$F$2,'PBA Summary'!$G$2)</f>
        <v>7.2509092862796498E-2</v>
      </c>
      <c r="DS34" s="16" cm="1">
        <f t="array" ref="DS34">IF('PBA Summary'!$D$2="","",_xll.ASAssetStatistic($A34,"Ann. Bear Market Return vs Benchmark 1",'PBA Summary'!$D$2,,,"m",'PBA Summary'!$F$2,'PBA Summary'!$G$2))</f>
        <v>-0.5541505065688257</v>
      </c>
      <c r="DT34" s="16" cm="1">
        <f t="array" ref="DT34">IF('PBA Summary'!$D$2="","",_xll.ASAssetStatistic($A34,"Ann. Bull Market Return vs Benchmark 1",'PBA Summary'!$D$2,,,"m",'PBA Summary'!$F$2,'PBA Summary'!$G$2))</f>
        <v>0.48206371384683799</v>
      </c>
      <c r="DU34" s="16" cm="1">
        <f t="array" ref="DU34">IF('PBA Summary'!$D$3="","",_xll.ASAssetStatistic($A34,"Ann. Bear Market Return vs Benchmark 1",'PBA Summary'!$D$3,,,"m",'PBA Summary'!$F$2,'PBA Summary'!$G$2))</f>
        <v>-0.5541505065688257</v>
      </c>
      <c r="DV34" s="16" cm="1">
        <f t="array" ref="DV34">IF('PBA Summary'!$D$3="","",_xll.ASAssetStatistic($A34,"Ann. Bull Market Return vs Benchmark 1",'PBA Summary'!$D$3,,,"m",'PBA Summary'!$F$2,'PBA Summary'!$G$2))</f>
        <v>0.48206371384683799</v>
      </c>
      <c r="DW34" s="17" cm="1">
        <f t="array" ref="DW34">_xll.ASAssetStatistic($A34,"Average Positive Return",,,,"m",'PBA Summary'!$F$2,'PBA Summary'!$G$2)</f>
        <v>7.2406536823342735E-2</v>
      </c>
      <c r="DX34" s="17" cm="1">
        <f t="array" ref="DX34">_xll.ASAssetStatistic($A34,"Average Negative Return",,,,"m",'PBA Summary'!$F$2,'PBA Summary'!$G$2)</f>
        <v>-4.734193522872375E-2</v>
      </c>
      <c r="DY34" s="16" cm="1">
        <f t="array" ref="DY34">IF('PBA Summary'!$D$2="","",_xll.ASAssetStatistic($A34,"Outperformance vs Benchmark 1",'PBA Summary'!$D$2,,,"m",'PBA Summary'!$F$2,'PBA Summary'!$G$2))</f>
        <v>-0.12414600204612269</v>
      </c>
      <c r="DZ34" s="16" cm="1">
        <f t="array" ref="DZ34">IF('PBA Summary'!$D$3="","",_xll.ASAssetStatistic($A34,"Outperformance vs Benchmark 1",'PBA Summary'!$D$3,,,"m",'PBA Summary'!$F$2,'PBA Summary'!$G$2))</f>
        <v>-0.12414600204612269</v>
      </c>
      <c r="EA34" s="16" cm="1">
        <f t="array" ref="EA34">IF('PBA Summary'!$D$2="","",_xll.ASAssetStatistic($A34,"Annual Outperformance vs Benchmark 1",'PBA Summary'!$D$2,,,"m",'PBA Summary'!$F$2,'PBA Summary'!$G$2))</f>
        <v>-9.6460209590963908E-2</v>
      </c>
      <c r="EB34" s="16" cm="1">
        <f t="array" ref="EB34">IF('PBA Summary'!$D$3="","",_xll.ASAssetStatistic($A34,"Annual Outperformance vs Benchmark 1",'PBA Summary'!$D$3,,,"m",'PBA Summary'!$F$2,'PBA Summary'!$G$2))</f>
        <v>-9.6460209590963908E-2</v>
      </c>
      <c r="EC34" s="32" cm="1">
        <f t="array" ref="EC34">_xll.ASAssetStatistic($A34,"Rachev Ratio 99%",,,,"m",'PBA Summary'!$F$2,'PBA Summary'!$G$2)</f>
        <v>-1.184086146944187</v>
      </c>
      <c r="ED34" s="32" cm="1">
        <f t="array" ref="ED34">_xll.ASAssetStatistic($A34,"Rachev Ratio 97%",,,,"m",'PBA Summary'!$F$2,'PBA Summary'!$G$2)</f>
        <v>-1.184086146944187</v>
      </c>
      <c r="EE34" s="32" cm="1">
        <f t="array" ref="EE34">_xll.ASAssetStatistic($A34,"Rachev Ratio 95%",,,,"m",'PBA Summary'!$F$2,'PBA Summary'!$G$2)</f>
        <v>-1.184086146944187</v>
      </c>
      <c r="EF34" s="32" cm="1">
        <f t="array" ref="EF34">_xll.ASAssetStatistic($A34,"Rachev Ratio 90%",,,,"m",'PBA Summary'!$F$2,'PBA Summary'!$G$2)</f>
        <v>-1.427622999144706</v>
      </c>
      <c r="EG34" s="34" cm="1">
        <f t="array" ref="EG34">IF('PBA Summary'!$D$2="","",_xll.ASAssetStatistic($A34,"Annual Up Capture vs Benchmark 1",'PBA Summary'!$D$2,,,"m",'PBA Summary'!$F$2,'PBA Summary'!$G$2))</f>
        <v>0.95230387680747353</v>
      </c>
      <c r="EH34" s="34" cm="1">
        <f t="array" ref="EH34">IF('PBA Summary'!$D$3="","",_xll.ASAssetStatistic($A34,"Annual Up Capture vs Benchmark 1",'PBA Summary'!$D$3,,,"m",'PBA Summary'!$F$2,'PBA Summary'!$G$2))</f>
        <v>0.95230387680747353</v>
      </c>
      <c r="EI34" s="34" cm="1">
        <f t="array" ref="EI34">IF('PBA Summary'!$D$2="","",_xll.ASAssetStatistic($A34,"Annual Down Capture vs Benchmark 1",'PBA Summary'!$D$2,,,"m",'PBA Summary'!$F$2,'PBA Summary'!$G$2))</f>
        <v>1.3465823314732439</v>
      </c>
      <c r="EJ34" s="34" cm="1">
        <f t="array" ref="EJ34">IF('PBA Summary'!$D$3="","",_xll.ASAssetStatistic($A34,"Annual Down Capture vs Benchmark 1",'PBA Summary'!$D$3,,,"m",'PBA Summary'!$F$2,'PBA Summary'!$G$2))</f>
        <v>1.3465823314732439</v>
      </c>
      <c r="EK34" s="16" cm="1">
        <f t="array" ref="EK34">IF('PBA Summary'!$D$2="","",_xll.ASAssetStatistic($A34,"Ann. Tracking Error vs Benchmark 1",'PBA Summary'!$D$2,,,"m",'PBA Summary'!$F$2,'PBA Summary'!$G$2))</f>
        <v>0.16343975534220342</v>
      </c>
      <c r="EL34" s="16" cm="1">
        <f t="array" ref="EL34">IF('PBA Summary'!$D$3="","",_xll.ASAssetStatistic($A34,"Ann. Tracking Error vs Benchmark 1",'PBA Summary'!$D$3,,,"m",'PBA Summary'!$F$2,'PBA Summary'!$G$2))</f>
        <v>0.16343975534220342</v>
      </c>
      <c r="EM34" s="16" cm="1">
        <f t="array" ref="EM34">IF('PBA Summary'!$D$2="","",_xll.ASAssetStatistic($A34,"Annual Jensen Alpha vs Benchmark 1 (Rf)",'PBA Summary'!$D$2,,,"m",'PBA Summary'!$F$2,'PBA Summary'!$G$2))</f>
        <v>-0.14434484427417793</v>
      </c>
      <c r="EN34" s="16" cm="1">
        <f t="array" ref="EN34">IF('PBA Summary'!$D$3="","",_xll.ASAssetStatistic($A34,"Annual Jensen Alpha vs Benchmark 1 (Rf)",'PBA Summary'!$D$3,,,"m",'PBA Summary'!$F$2,'PBA Summary'!$G$2))</f>
        <v>-0.14434484427417793</v>
      </c>
      <c r="EO34" s="33" cm="1">
        <f t="array" ref="EO34">IF('PBA Summary'!$D$2="","",_xll.ASAssetStatistic($A34,"Ann. Information Ratio vs Benchmark 1",'PBA Summary'!$D$2,,,"m",'PBA Summary'!$F$2,'PBA Summary'!$G$2))</f>
        <v>-0.59018816682024211</v>
      </c>
      <c r="EP34" s="33" cm="1">
        <f t="array" ref="EP34">IF('PBA Summary'!$D$3="","",_xll.ASAssetStatistic($A34,"Ann. Information Ratio vs Benchmark 1",'PBA Summary'!$D$3,,,"m",'PBA Summary'!$F$2,'PBA Summary'!$G$2))</f>
        <v>-0.59018816682024211</v>
      </c>
      <c r="EQ34" s="17" cm="1">
        <f t="array" ref="EQ34">IF('PBA Summary'!$D$2="","",_xll.ASAssetStatistic($A34,"Alpha Monthly vs Benchmark 1",'PBA Summary'!$D$2,,,"m",'PBA Summary'!$F$2,'PBA Summary'!$G$2))</f>
        <v>-9.7500150293689386E-3</v>
      </c>
      <c r="ER34" s="17" cm="1">
        <f t="array" ref="ER34">IF('PBA Summary'!$D$3="","",_xll.ASAssetStatistic($A34,"Alpha Monthly vs Benchmark 1",'PBA Summary'!$D$3,,,"m",'PBA Summary'!$F$2,'PBA Summary'!$G$2))</f>
        <v>-9.7500150293689386E-3</v>
      </c>
      <c r="ES34" s="11" t="str" cm="1">
        <f t="array" ref="ES34">_xll.ASAssetInfo($A34,"Company AUM (m)")</f>
        <v/>
      </c>
      <c r="ET34" s="16" cm="1">
        <f t="array" ref="ET34">_xll.ASAssetStatistic($A34,"Exponential Annualized Volatility",,,,"m",'PBA Summary'!$F$2,'PBA Summary'!$G$2)</f>
        <v>0.24097819744472287</v>
      </c>
      <c r="EU34" s="16" cm="1">
        <f t="array" ref="EU34">_xll.ASAssetStatistic($A34,"Exponential Annualized Volatility Last 1 year",,,,"m",'PBA Summary'!$F$2,'PBA Summary'!$G$2)</f>
        <v>0.22051064212757823</v>
      </c>
      <c r="EV34" s="16" t="str" cm="1">
        <f t="array" ref="EV34">_xll.ASAssetStatistic($A34,"Exponential Annualized Volatility Last 3 years",,,,"m",'PBA Summary'!$F$2,'PBA Summary'!$G$2)</f>
        <v/>
      </c>
      <c r="EW34" s="34" cm="1">
        <f t="array" ref="EW34">IF('PBA Summary'!$D$2="","",_xll.ASAssetStatistic($A34,"Exponential Correlation to Benchmark 1",'PBA Summary'!$D$2,,,"m",'PBA Summary'!$F$2,'PBA Summary'!$G$2))</f>
        <v>0.66410397865140902</v>
      </c>
      <c r="EX34" s="34" cm="1">
        <f t="array" ref="EX34">IF('PBA Summary'!$D$3="","",_xll.ASAssetStatistic($A34,"Exponential Correlation to Benchmark 1",'PBA Summary'!$D$3,,,"m",'PBA Summary'!$F$2,'PBA Summary'!$G$2))</f>
        <v>0.66410397865140902</v>
      </c>
      <c r="EY34" s="34" cm="1">
        <f t="array" ref="EY34">_xll.ASAssetStatistic($A34,"Exponential Annual Sharpe Ratio (Rf)",,,,"m",'PBA Summary'!$F$2,'PBA Summary'!$G$2)</f>
        <v>0.47626734996507525</v>
      </c>
      <c r="EZ34" s="34" cm="1">
        <f t="array" ref="EZ34">_xll.ASAssetStatistic($A34,"Exponential Normal Monthly VaR 99%",,,,"m",'PBA Summary'!$F$2,'PBA Summary'!$G$2)</f>
        <v>-0.15254751098522745</v>
      </c>
      <c r="FA34" s="34" cm="1">
        <f t="array" ref="FA34">_xll.ASAssetStatistic($A34,"Exponential Normal Monthly VaR 97%",,,,"m",'PBA Summary'!$F$2,'PBA Summary'!$G$2)</f>
        <v>-0.12155278975976172</v>
      </c>
      <c r="FB34" s="34" cm="1">
        <f t="array" ref="FB34">_xll.ASAssetStatistic($A34,"Exponential Normal Monthly VaR 95%",,,,"m",'PBA Summary'!$F$2,'PBA Summary'!$G$2)</f>
        <v>-0.10513976332710512</v>
      </c>
      <c r="FC34" s="34" cm="1">
        <f t="array" ref="FC34">_xll.ASAssetStatistic($A34,"Exponential Normal Monthly VaR 90%",,,,"m",'PBA Summary'!$F$2,'PBA Summary'!$G$2)</f>
        <v>-7.9866868472287605E-2</v>
      </c>
      <c r="FD34" s="34" t="str" cm="1">
        <f t="array" ref="FD34">_xll.ASAssetStatistic($A34,"Exponential Normal weekly VaR 99%",,,,"m",'PBA Summary'!$F$2,'PBA Summary'!$G$2)</f>
        <v/>
      </c>
      <c r="FE34" s="34" t="str" cm="1">
        <f t="array" ref="FE34">_xll.ASAssetStatistic($A34,"Exponential Normal weekly VaR 97%",,,,"m",'PBA Summary'!$F$2,'PBA Summary'!$G$2)</f>
        <v/>
      </c>
      <c r="FF34" s="34" t="str" cm="1">
        <f t="array" ref="FF34">_xll.ASAssetStatistic($A34,"Exponential Normal weekly VaR 95%",,,,"m",'PBA Summary'!$F$2,'PBA Summary'!$G$2)</f>
        <v/>
      </c>
      <c r="FG34" s="34" t="str" cm="1">
        <f t="array" ref="FG34">_xll.ASAssetStatistic($A34,"Exponential Normal weekly VaR 90%",,,,"m",'PBA Summary'!$F$2,'PBA Summary'!$G$2)</f>
        <v/>
      </c>
      <c r="FH34" s="34" t="str" cm="1">
        <f t="array" ref="FH34">_xll.ASAssetStatistic($A34,"Exponential Normal daily VaR 99%",,,,"m",'PBA Summary'!$F$2,'PBA Summary'!$G$2)</f>
        <v/>
      </c>
      <c r="FI34" s="34" t="str" cm="1">
        <f t="array" ref="FI34">_xll.ASAssetStatistic($A34,"Exponential Normal daily VaR 97%",,,,"m",'PBA Summary'!$F$2,'PBA Summary'!$G$2)</f>
        <v/>
      </c>
      <c r="FJ34" s="34" t="str" cm="1">
        <f t="array" ref="FJ34">_xll.ASAssetStatistic($A34,"Exponential Normal daily VaR 95%",,,,"m",'PBA Summary'!$F$2,'PBA Summary'!$G$2)</f>
        <v/>
      </c>
      <c r="FK34" s="34" t="str" cm="1">
        <f t="array" ref="FK34">_xll.ASAssetStatistic($A34,"Exponential Normal daily VaR 90%",,,,"m",'PBA Summary'!$F$2,'PBA Summary'!$G$2)</f>
        <v/>
      </c>
      <c r="FL34" s="34" cm="1">
        <f t="array" ref="FL34">_xll.ASAssetStatistic($A34,"Bias Ratio",,,,"m",'PBA Summary'!$F$2,'PBA Summary'!$G$2)</f>
        <v>0.375</v>
      </c>
      <c r="FM34" s="11" t="str" cm="1">
        <f t="array" ref="FM34">_xll.ASAssetInfo($A34,"Manager's Biography")</f>
        <v/>
      </c>
      <c r="FN34" s="11" cm="1">
        <f t="array" ref="FN34">_xll.ASAssetInfo($A34,"Investment Min")</f>
        <v>0</v>
      </c>
      <c r="FO34" s="11" t="str" cm="1">
        <f t="array" ref="FO34">_xll.ASAssetInfo($A34,"Auditor")</f>
        <v>PricewaterhouseCoopers LLP</v>
      </c>
      <c r="FP34" s="11" t="str" cm="1">
        <f t="array" ref="FP34">_xll.ASAssetInfo($A34,"Custodian")</f>
        <v>State Street Bank &amp; Trust Co</v>
      </c>
      <c r="FQ34" s="11" t="str" cm="1">
        <f t="array" ref="FQ34">_xll.ASAssetInfo($A34,"Administrator")</f>
        <v>State Street Bank &amp; Trust Co</v>
      </c>
      <c r="FR34" s="14" t="str" cm="1">
        <f t="array" ref="FR34">_xll.ASAssetInfo($A34,"Proxy 1 Start Date")</f>
        <v/>
      </c>
      <c r="FS34" s="14" t="str" cm="1">
        <f t="array" ref="FS34">_xll.ASAssetInfo($A34,"Proxy 1 End Date")</f>
        <v/>
      </c>
      <c r="FT34" s="14" t="str" cm="1">
        <f t="array" ref="FT34">_xll.ASAssetInfo($A34,"Proxy 2 Start Date")</f>
        <v/>
      </c>
      <c r="FU34" s="14" t="str" cm="1">
        <f t="array" ref="FU34">_xll.ASAssetInfo($A34,"Proxy 2 End Date")</f>
        <v/>
      </c>
      <c r="FV34" s="14" t="str" cm="1">
        <f t="array" ref="FV34">_xll.ASAssetInfo($A34,"Proxy 3 Start Date")</f>
        <v/>
      </c>
      <c r="FW34" s="14" t="str" cm="1">
        <f t="array" ref="FW34">_xll.ASAssetInfo($A34,"Proxy 3 End Date")</f>
        <v/>
      </c>
      <c r="FX34" s="14" t="str" cm="1">
        <f t="array" ref="FX34">_xll.ASAssetInfo($A34,"Fund Domicile")</f>
        <v>US</v>
      </c>
      <c r="FY34" s="14" t="str" cm="1">
        <f t="array" ref="FY34">_xll.ASAssetInfo($A34,"Fund Contact")</f>
        <v/>
      </c>
      <c r="FZ34" s="14" t="str" cm="1">
        <f t="array" ref="FZ34">_xll.ASAssetInfo($A34,"Fund Contact Email")</f>
        <v/>
      </c>
      <c r="GA34" s="14" t="str" cm="1">
        <f t="array" ref="GA34">_xll.ASAssetInfo($A34,"Fund Contact Number")</f>
        <v/>
      </c>
      <c r="GB34" s="14" t="str" cm="1">
        <f t="array" ref="GB34">_xll.ASAssetInfo($A34,"City")</f>
        <v>San Francisco</v>
      </c>
      <c r="GC34" s="14" t="str" cm="1">
        <f t="array" ref="GC34">_xll.ASAssetInfo($A34,"Leverage")</f>
        <v>N</v>
      </c>
      <c r="GD34" s="14" t="str" cm="1">
        <f t="array" ref="GD34">_xll.ASAssetInfo($A34,"Lockup 1 Duration")</f>
        <v>0 Months</v>
      </c>
      <c r="GE34" s="14" t="str" cm="1">
        <f t="array" ref="GE34">_xll.ASAssetInfo($A34,"Lockup 2 Duration")</f>
        <v>0 Months</v>
      </c>
      <c r="GF34" s="14" t="str" cm="1">
        <f t="array" ref="GF34">_xll.ASAssetInfo($A34,"Lockup 3 Duration")</f>
        <v>0 Months</v>
      </c>
      <c r="GG34" s="31" t="str" cm="1">
        <f t="array" ref="GG34">_xll.ASAssetInfo($A34,"Fund Level Gate")</f>
        <v/>
      </c>
      <c r="GH34" s="31" t="str" cm="1">
        <f t="array" ref="GH34">_xll.ASAssetInfo($A34,"Fund Level Gate Frequency")</f>
        <v>Unknown</v>
      </c>
      <c r="GI34" s="35" cm="1">
        <f t="array" ref="GI34">_xll.ASAssetInfo($A34,"Payment 2 (%)")</f>
        <v>0</v>
      </c>
      <c r="GJ34" s="35" t="str" cm="1">
        <f t="array" ref="GJ34">_xll.ASAssetInfo($A34,"Payment 2 (days)")</f>
        <v/>
      </c>
      <c r="GK34" s="35" t="str" cm="1">
        <f t="array" ref="GK34">_xll.ASAssetInfo($A34,"Payment 2 (Paid After)")</f>
        <v>NAV Date</v>
      </c>
      <c r="GL34" s="35" cm="1">
        <f t="array" ref="GL34">_xll.ASAssetInfo($A34,"Payment 3 (%)")</f>
        <v>0</v>
      </c>
      <c r="GM34" s="36" t="str" cm="1">
        <f t="array" ref="GM34">_xll.ASAssetInfo($A34,"Payment 3 (Days)")</f>
        <v/>
      </c>
      <c r="GN34" s="35" t="str" cm="1">
        <f t="array" ref="GN34">_xll.ASAssetInfo($A34,"Payment 3 (Paid After)")</f>
        <v>NAV Date</v>
      </c>
      <c r="GO34" s="35" cm="1">
        <f t="array" ref="GO34">_xll.ASAssetInfo($A34,"Payment 4 (%)")</f>
        <v>0</v>
      </c>
      <c r="GP34" s="36" t="str" cm="1">
        <f t="array" ref="GP34">_xll.ASAssetInfo($A34,"Payment 4 (days)")</f>
        <v/>
      </c>
      <c r="GQ34" s="35" t="str" cm="1">
        <f t="array" ref="GQ34">_xll.ASAssetInfo($A34,"Payment 4 (Paid After)")</f>
        <v>NAV Date</v>
      </c>
      <c r="GR34" s="11" cm="1">
        <f t="array" ref="GR34">_xll.ASAssetInfo($A34,"Payment 1 (%)")</f>
        <v>1</v>
      </c>
      <c r="GS34" s="35" cm="1">
        <f t="array" ref="GS34">_xll.ASAssetInfo($A34,"Lockup 1 Fee")</f>
        <v>0</v>
      </c>
      <c r="GT34" s="35" cm="1">
        <f t="array" ref="GT34">_xll.ASAssetInfo($A34,"Lockup 2 Fee")</f>
        <v>0</v>
      </c>
      <c r="GU34" s="35" cm="1">
        <f t="array" ref="GU34">_xll.ASAssetInfo($A34,"Lockup 3 Fee")</f>
        <v>0</v>
      </c>
      <c r="GV34" s="35" t="str" cm="1">
        <f t="array" ref="GV34">_xll.ASAssetInfo($A34,"Lockup 1 type")</f>
        <v>None</v>
      </c>
      <c r="GW34" s="35" t="str" cm="1">
        <f t="array" ref="GW34">_xll.ASAssetInfo($A34,"Lockup 2 type")</f>
        <v>None</v>
      </c>
      <c r="GX34" s="35" t="str" cm="1">
        <f t="array" ref="GX34">_xll.ASAssetInfo($A34,"Lockup 3 type")</f>
        <v>None</v>
      </c>
      <c r="GY34" s="35" t="str" cm="1">
        <f t="array" ref="GY34">_xll.ASAssetInfo($A34,"Redemption 1 type")</f>
        <v>Calendar</v>
      </c>
      <c r="GZ34" s="35" t="str" cm="1">
        <f t="array" ref="GZ34">_xll.ASAssetInfo($A34,"Redemption 2 type")</f>
        <v>Calendar</v>
      </c>
      <c r="HA34" s="35" t="str" cm="1">
        <f t="array" ref="HA34">_xll.ASAssetInfo($A34,"Redemption 3 type")</f>
        <v>Calendar</v>
      </c>
      <c r="HB34" s="35" t="str" cm="1">
        <f t="array" ref="HB34">_xll.ASAssetInfo($A34,"Redemption 1 Fee")</f>
        <v/>
      </c>
      <c r="HC34" s="35" t="str" cm="1">
        <f t="array" ref="HC34">_xll.ASAssetInfo($A34,"Redemption 2 Fee")</f>
        <v/>
      </c>
      <c r="HD34" s="35" t="str" cm="1">
        <f t="array" ref="HD34">_xll.ASAssetInfo($A34,"Redemption 3 Fee")</f>
        <v/>
      </c>
      <c r="HE34" s="35" t="str" cm="1">
        <f t="array" ref="HE34">_xll.ASAssetInfo($A34,"Redemption 1 Frequency")</f>
        <v>Daily</v>
      </c>
      <c r="HF34" s="35" t="str" cm="1">
        <f t="array" ref="HF34">_xll.ASAssetInfo($A34,"Redemption 2 Frequency")</f>
        <v>Unknown</v>
      </c>
      <c r="HG34" s="35" t="str" cm="1">
        <f t="array" ref="HG34">_xll.ASAssetInfo($A34,"Redemption 3 Frequency")</f>
        <v>Unknown</v>
      </c>
      <c r="HH34" s="35" t="str" cm="1">
        <f t="array" ref="HH34">_xll.ASAssetInfo($A34,"Asset Calendar")</f>
        <v>[Default]</v>
      </c>
      <c r="HI34" s="16" cm="1">
        <f t="array" ref="HI34">_xll.ASAssetStatistic($A34,"Max Second Drawdown",,,,"m",'PBA Summary'!$F$2,'PBA Summary'!$G$2)</f>
        <v>-0.11613475177304922</v>
      </c>
      <c r="HJ34" s="37" cm="1">
        <f t="array" ref="HJ34">_xll.ASAssetStatistic($A34,"Date Max Second Drawdown",,,,"m",'PBA Summary'!$F$2,'PBA Summary'!$G$2)</f>
        <v>43465</v>
      </c>
      <c r="HK34" s="37"/>
      <c r="HL34" s="37" t="str" cm="1">
        <f t="array" ref="HL34">_xll.ASAssetInfo($A34,HL$1)</f>
        <v/>
      </c>
      <c r="HM34" s="34" t="str" cm="1">
        <f t="array" ref="HM34">_xll.ASAssetInfo($A34,HM$1)</f>
        <v/>
      </c>
      <c r="HN34" s="37" t="str" cm="1">
        <f t="array" ref="HN34">_xll.ASAssetInfo($A34,HN$1)</f>
        <v/>
      </c>
      <c r="HO34" s="15" cm="1">
        <f t="array" ref="HO34">_xll.ASAssetInfo($A34,HO$1)</f>
        <v>0</v>
      </c>
      <c r="HP34" s="15" t="str" cm="1">
        <f t="array" ref="HP34">_xll.ASAssetInfo($A34,HP$1)</f>
        <v/>
      </c>
      <c r="HQ34" s="34" t="str" cm="1">
        <f t="array" ref="HQ34">_xll.ASAssetInfo($A34,HQ$1)</f>
        <v/>
      </c>
      <c r="HR34" s="37" t="str" cm="1">
        <f t="array" ref="HR34">_xll.ASAssetInfo($A34,HR$1)</f>
        <v/>
      </c>
      <c r="HS34" s="37" t="str" cm="1">
        <f t="array" ref="HS34">_xll.ASAssetInfo($A34,HS$1)</f>
        <v/>
      </c>
      <c r="HT34" s="37" t="str" cm="1">
        <f t="array" ref="HT34">_xll.ASAssetInfo($A34,HT$1)</f>
        <v/>
      </c>
      <c r="HU34" s="37" t="str" cm="1">
        <f t="array" ref="HU34">_xll.ASAssetInfo($A34,HU$1)</f>
        <v>Americas</v>
      </c>
      <c r="HV34" s="37" t="str" cm="1">
        <f t="array" ref="HV34">_xll.ASAssetInfo($A34,HV$1)</f>
        <v>Health Care</v>
      </c>
      <c r="HW34" s="37" t="str" cm="1">
        <f t="array" ref="HW34">_xll.ASAssetInfo($A34,HW$1)</f>
        <v/>
      </c>
    </row>
    <row r="35" spans="1:231" s="11" customFormat="1" x14ac:dyDescent="0.25">
      <c r="A35" t="s">
        <v>17</v>
      </c>
      <c r="B35" cm="1">
        <f t="array" ref="B35">_xll.ASPortfolioWeights('PBA Summary'!$C$2,"OR",$A35)</f>
        <v>0</v>
      </c>
      <c r="C35" cm="1">
        <f t="array" ref="C35">_xll.ASAssetStatistic($A35,"Annualized Return since inception",,,,"m",_xll.ASAssetInfo($A35,"Start Date"),_xll.ASAssetInfo($A35,"Last Return Date"))</f>
        <v>2.3467643874783617E-2</v>
      </c>
      <c r="D35" cm="1">
        <f t="array" ref="D35">_xll.ASAssetStatistic($A35,"Annualized Return",,,,"m",'PBA Summary'!$F$2,'PBA Summary'!$G$2)</f>
        <v>0.23476908332050739</v>
      </c>
      <c r="E35" s="19" cm="1">
        <f t="array" ref="E35">_xll.ASAssetStatistic($A35,"Equilibrium Annual Return",,,,"m",'PBA Summary'!$F$2,'PBA Summary'!$G$2)</f>
        <v>9.0987662428685612E-2</v>
      </c>
      <c r="F35" cm="1">
        <f t="array" ref="F35">_xll.ASAssetStatistic($A35,"Annualized Volatility (Inception)",,,,"m",_xll.ASAssetInfo($A35,"Start Date"),_xll.ASAssetInfo($A35,"Last Return Date"))</f>
        <v>0.15982982180609442</v>
      </c>
      <c r="G35" cm="1">
        <f t="array" ref="G35">_xll.ASAssetStatistic($A35,"Annualized Volatility",,,,"m",'PBA Summary'!$F$2,'PBA Summary'!$G$2)</f>
        <v>0.12473142888002148</v>
      </c>
      <c r="H35" s="20" cm="1">
        <f t="array" ref="H35">_xll.ASAssetStatistic($A35,"Skewness",,,,"m",'PBA Summary'!$F$2,'PBA Summary'!$G$2)</f>
        <v>0.1955037325974737</v>
      </c>
      <c r="I35" s="20" cm="1">
        <f t="array" ref="I35">_xll.ASAssetStatistic($A35,"Excess kurtosis",,,,"m",'PBA Summary'!$F$2,'PBA Summary'!$G$2)</f>
        <v>-0.53583571389992413</v>
      </c>
      <c r="J35" s="19" cm="1">
        <f t="array" ref="J35">_xll.ASAssetStatistic($A35,"Return Last 1 month",,,,"m",'PBA Summary'!$F$2,'PBA Summary'!$G$2)</f>
        <v>4.2821158690176553E-2</v>
      </c>
      <c r="K35" s="19" cm="1">
        <f t="array" ref="K35">_xll.ASAssetStatistic($A35,"Return Last 3 months",,,,"m",'PBA Summary'!$F$2,'PBA Summary'!$G$2)</f>
        <v>4.9252344344006049E-2</v>
      </c>
      <c r="L35" s="19" cm="1">
        <f t="array" ref="L35">_xll.ASAssetStatistic($A35,"Return Last 1 year",,,,"m",'PBA Summary'!$F$2,'PBA Summary'!$G$2)</f>
        <v>0.19768563162970176</v>
      </c>
      <c r="M35" s="19" cm="1">
        <f t="array" ref="M35">_xll.ASAssetStatistic($A35,"Year-to-date Return",,,,"m",'PBA Summary'!$F$2,'PBA Summary'!$G$2)</f>
        <v>4.2821158690176553E-2</v>
      </c>
      <c r="N35" s="19" cm="1">
        <f t="array" ref="N35">_xll.ASAssetStatistic($A35,"Annualized Return",,,,"m",EOMONTH('PBA Summary'!$G$2,-2),'PBA Summary'!$G$2)</f>
        <v>0.21204792644202342</v>
      </c>
      <c r="O35" s="19" t="str" cm="1">
        <f t="array" ref="O35">_xll.ASAssetStatistic($A35,"Annualized Return Last 3 years",,,,"m",'PBA Summary'!$F$2,'PBA Summary'!$G$2)</f>
        <v/>
      </c>
      <c r="P35" s="19" t="str" cm="1">
        <f t="array" ref="P35">_xll.ASAssetStatistic($A35,"Annualized Return Last 5 years",,,,"m",'PBA Summary'!$F$2,'PBA Summary'!$G$2)</f>
        <v/>
      </c>
      <c r="Q35" s="19" cm="1">
        <f t="array" ref="Q35">_xll.ASAssetStatistic($A35,"Annualized Volatility Last 1 year",,,,"m",'PBA Summary'!$F$2,'PBA Summary'!$G$2)</f>
        <v>0.13487787547373711</v>
      </c>
      <c r="R35" s="19" t="str" cm="1">
        <f t="array" ref="R35">_xll.ASAssetStatistic($A35,"Annualized Volatility Last 3 years",,,,"m",'PBA Summary'!$F$2,'PBA Summary'!$G$2)</f>
        <v/>
      </c>
      <c r="S35" s="19" t="str" cm="1">
        <f t="array" ref="S35">_xll.ASAssetStatistic($A35,"Annualized Volatility Last 5 years",,,,"m",'PBA Summary'!$F$2,'PBA Summary'!$G$2)</f>
        <v/>
      </c>
      <c r="T35" s="19" cm="1">
        <f t="array" ref="T35">_xll.ASAssetStatistic($A35,"Normal monthly VaR 99%",,,,"m",'PBA Summary'!$F$2,'PBA Summary'!$G$2)</f>
        <v>-6.5443124475069114E-2</v>
      </c>
      <c r="U35" s="19" cm="1">
        <f t="array" ref="U35">_xll.ASAssetStatistic($A35,"Modified monthly VaR 99%",,,,"m",'PBA Summary'!$F$2,'PBA Summary'!$G$2)</f>
        <v>-5.5238309606613495E-2</v>
      </c>
      <c r="V35" s="19" cm="1">
        <f t="array" ref="V35">_xll.ASAssetStatistic($A35,"Conditional monthly VaR 99%",,,,"m",'PBA Summary'!$F$2,'PBA Summary'!$G$2)</f>
        <v>-4.0237081559395316E-2</v>
      </c>
      <c r="W35" s="19" cm="1">
        <f t="array" ref="W35">_xll.ASAssetStatistic($A35,"Normal monthly VaR 97%",,,,"m",'PBA Summary'!$F$2,'PBA Summary'!$G$2)</f>
        <v>-4.9400113500696299E-2</v>
      </c>
      <c r="X35" s="19" cm="1">
        <f t="array" ref="X35">_xll.ASAssetStatistic($A35,"Modified monthly VaR 97%",,,,"m",'PBA Summary'!$F$2,'PBA Summary'!$G$2)</f>
        <v>-4.5461443310678154E-2</v>
      </c>
      <c r="Y35" s="19" cm="1">
        <f t="array" ref="Y35">_xll.ASAssetStatistic($A35,"Conditional monthly VaR 97%",,,,"m",'PBA Summary'!$F$2,'PBA Summary'!$G$2)</f>
        <v>-4.0237081559395316E-2</v>
      </c>
      <c r="Z35" s="19" cm="1">
        <f t="array" ref="Z35">_xll.ASAssetStatistic($A35,"Normal monthly VaR 95%",,,,"m",'PBA Summary'!$F$2,'PBA Summary'!$G$2)</f>
        <v>-4.0904655152600611E-2</v>
      </c>
      <c r="AA35" s="19" cm="1">
        <f t="array" ref="AA35">_xll.ASAssetStatistic($A35,"Modified monthly VaR 95%",,,,"m",'PBA Summary'!$F$2,'PBA Summary'!$G$2)</f>
        <v>-3.9267146075037673E-2</v>
      </c>
      <c r="AB35" s="19" cm="1">
        <f t="array" ref="AB35">_xll.ASAssetStatistic($A35,"Conditional monthly VaR 95%",,,,"m",'PBA Summary'!$F$2,'PBA Summary'!$G$2)</f>
        <v>-4.0237081559395316E-2</v>
      </c>
      <c r="AC35" s="66" cm="1">
        <f t="array" ref="AC35">_xll.ASAssetStatistic($A35,"Correlation to Benchmark 1","MSCI ACWI Index",,,"m",'PBA Summary'!$F$2,'PBA Summary'!$G$2)</f>
        <v>-8.8326916980989351E-2</v>
      </c>
      <c r="AD35" s="38" cm="1">
        <f t="array" ref="AD35">IF('PBA Summary'!$D$3="","",_xll.ASAssetStatistic($A35,"Correlation to Benchmark 1",'PBA Summary'!$D$3,,,"m",'PBA Summary'!$F$2,'PBA Summary'!$G$2))</f>
        <v>-0.12125809322523959</v>
      </c>
      <c r="AE35" s="21" cm="1">
        <f t="array" ref="AE35">IF('PBA Summary'!$D$2="","",_xll.ASAssetStatistic($A35,"Bull correlation to Benchmark 1",'PBA Summary'!$D$2,,,"m",'PBA Summary'!$F$2,'PBA Summary'!$G$2))</f>
        <v>0.56028996746971926</v>
      </c>
      <c r="AF35" s="21" cm="1">
        <f t="array" ref="AF35">IF('PBA Summary'!$D$2="","",_xll.ASAssetStatistic($A35,"Bear correlation to Benchmark 1",'PBA Summary'!$D$2,,,"m",'PBA Summary'!$F$2,'PBA Summary'!$G$2))</f>
        <v>0.32687080004405961</v>
      </c>
      <c r="AG35" s="21" cm="1">
        <f t="array" ref="AG35">IF('PBA Summary'!$D$3="","",_xll.ASAssetStatistic($A35,"Bull correlation to Benchmark 1",'PBA Summary'!$D$3,,,"m",'PBA Summary'!$F$2,'PBA Summary'!$G$2))</f>
        <v>0.56028996746971926</v>
      </c>
      <c r="AH35" s="21" cm="1">
        <f t="array" ref="AH35">IF('PBA Summary'!$D$3="","",_xll.ASAssetStatistic($A35,"Bear correlation to Benchmark 1",'PBA Summary'!$D$3,,,"m",'PBA Summary'!$F$2,'PBA Summary'!$G$2))</f>
        <v>0.32687080004405961</v>
      </c>
      <c r="AI35" s="24" cm="1">
        <f t="array" ref="AI35">IF('PBA Summary'!$D$2="","",_xll.ASAssetStatistic($A35,"Beta to Benchmark 1",'PBA Summary'!$D$2,,,"m",'PBA Summary'!$F$2,'PBA Summary'!$G$2))</f>
        <v>-9.8516815401084659E-2</v>
      </c>
      <c r="AJ35" s="24" t="str" cm="1">
        <f t="array" ref="AJ35">IF('PBA Summary'!$D$2="","",_xll.ASAssetStatistic($A35,"Beta to Benchmark 1 Last 3 years",'PBA Summary'!$D$2,,,"m",'PBA Summary'!$F$2,'PBA Summary'!$G$2))</f>
        <v/>
      </c>
      <c r="AK35" s="24" t="str" cm="1">
        <f t="array" ref="AK35">IF('PBA Summary'!$D$2="","",_xll.ASAssetStatistic($A35,"Beta to Benchmark 1 Last 5 years",'PBA Summary'!$D$2,,,"m",'PBA Summary'!$F$2,'PBA Summary'!$G$2))</f>
        <v/>
      </c>
      <c r="AL35" s="25" cm="1">
        <f t="array" ref="AL35">IF('PBA Summary'!$D$3="","",_xll.ASAssetStatistic($A35,"Beta to Benchmark 1",'PBA Summary'!$D$3,,,"m",'PBA Summary'!$F$2,'PBA Summary'!$G$2))</f>
        <v>-9.8516815401084659E-2</v>
      </c>
      <c r="AM35" s="25" t="str" cm="1">
        <f t="array" ref="AM35">IF('PBA Summary'!$D$3="","",_xll.ASAssetStatistic($A35,"Beta to Benchmark 1 Last 3 years",'PBA Summary'!$D$3,,,"m",'PBA Summary'!$F$2,'PBA Summary'!$G$2))</f>
        <v/>
      </c>
      <c r="AN35" s="25" t="str" cm="1">
        <f t="array" ref="AN35">IF('PBA Summary'!$D$3="","",_xll.ASAssetStatistic($A35,"Beta to Benchmark 1 Last 5 years",'PBA Summary'!$D$3,,,"m",'PBA Summary'!$F$2,'PBA Summary'!$G$2))</f>
        <v/>
      </c>
      <c r="AO35" s="25" cm="1">
        <f t="array" ref="AO35">IF('PBA Summary'!$D$2="","",_xll.ASAssetStatistic($A35,"Bull Beta to Benchmark 1",'PBA Summary'!$D$2,,,"m",'PBA Summary'!$F$2,'PBA Summary'!$G$2))</f>
        <v>0.92532265465003904</v>
      </c>
      <c r="AP35" s="25" cm="1">
        <f t="array" ref="AP35">IF('PBA Summary'!$D$2="","",_xll.ASAssetStatistic($A35,"Bear Beta to Benchmark 1",'PBA Summary'!$D$2,,,"m",'PBA Summary'!$F$2,'PBA Summary'!$G$2))</f>
        <v>0.18765924097628675</v>
      </c>
      <c r="AQ35" s="25" cm="1">
        <f t="array" ref="AQ35">IF('PBA Summary'!$D$3="","",_xll.ASAssetStatistic($A35,"Bull Beta to Benchmark 1",'PBA Summary'!$D$3,,,"m",'PBA Summary'!$F$2,'PBA Summary'!$G$2))</f>
        <v>0.92532265465003904</v>
      </c>
      <c r="AR35" s="25" cm="1">
        <f t="array" ref="AR35">IF('PBA Summary'!$D$3="","",_xll.ASAssetStatistic($A35,"Bear Beta to Benchmark 1",'PBA Summary'!$D$3,,,"m",'PBA Summary'!$F$2,'PBA Summary'!$G$2))</f>
        <v>0.18765924097628675</v>
      </c>
      <c r="AS35" s="25" cm="1">
        <f t="array" ref="AS35">_xll.ASAssetStatistic($A35,"Annual Sharpe Ratio (Rf)",,,'PBA Summary'!$H$2,"m",'PBA Summary'!$F$2,'PBA Summary'!$G$2)</f>
        <v>1.8621536320563266</v>
      </c>
      <c r="AT35" s="25" t="str" cm="1">
        <f t="array" ref="AT35">_xll.ASAssetStatistic($A35,"Annual Sharpe Ratio (Rf) Last 3 years",,,'PBA Summary'!$H$2,"m",'PBA Summary'!$F$2,'PBA Summary'!$G$2)</f>
        <v/>
      </c>
      <c r="AU35" s="25" t="str" cm="1">
        <f t="array" ref="AU35">_xll.ASAssetStatistic($A35,"Annual Sharpe Ratio (Rf) Last 5 years",,,'PBA Summary'!$H$2,"m",'PBA Summary'!$F$2,'PBA Summary'!$G$2)</f>
        <v/>
      </c>
      <c r="AV35" s="18" cm="1">
        <f t="array" ref="AV35">_xll.ASAssetStatistic($A35,"Ann. Downside Deviation (vs 0%)",,,'PBA Summary'!$H$2,"m",'PBA Summary'!$F$2,'PBA Summary'!$G$2)</f>
        <v>4.8362834963492835E-2</v>
      </c>
      <c r="AW35" s="18" cm="1">
        <f t="array" ref="AW35">_xll.ASAssetStatistic($A35,"Ann. Downside Deviation (vs Rf)",,,'PBA Summary'!$H$2,"m",'PBA Summary'!$F$2,'PBA Summary'!$G$2)</f>
        <v>4.8710387388671332E-2</v>
      </c>
      <c r="AX35" s="39" cm="1">
        <f t="array" ref="AX35">_xll.ASAssetStatistic($A35,"Annual Treynor ratio",,,'PBA Summary'!$H$2,"m",'PBA Summary'!$F$2,'PBA Summary'!$G$2)</f>
        <v>0.22865354316801548</v>
      </c>
      <c r="AY35" s="26" cm="1">
        <f t="array" ref="AY35">_xll.ASAssetStatistic($A35,"Annual Sortino Ratio (vs 0%)",,,'PBA Summary'!$H$2,"m",'PBA Summary'!$F$2,'PBA Summary'!$G$2)</f>
        <v>4.8543284010899104</v>
      </c>
      <c r="AZ35" s="26" cm="1">
        <f t="array" ref="AZ35">_xll.ASAssetStatistic($A35,"Annual Sortino Ratio (vs Rf)",,,'PBA Summary'!$H$2,"m",'PBA Summary'!$F$2,'PBA Summary'!$G$2)</f>
        <v>4.7683686328991639</v>
      </c>
      <c r="BA35" s="26" cm="1">
        <f t="array" ref="BA35">_xll.ASAssetStatistic($A35,"Sterling ratio",,,'PBA Summary'!$H$2,"m",'PBA Summary'!$F$2,'PBA Summary'!$G$2)</f>
        <v>1.6466414011923229</v>
      </c>
      <c r="BB35" s="26" cm="1">
        <f t="array" ref="BB35">_xll.ASAssetStatistic($A35,"Calmar ratio",,,'PBA Summary'!$H$2,"m",'PBA Summary'!$F$2,'PBA Summary'!$G$2)</f>
        <v>5.5143114688164578</v>
      </c>
      <c r="BC35" s="26" cm="1">
        <f t="array" ref="BC35">_xll.ASAssetStatistic($A35,"Hurst index",,,'PBA Summary'!$H$2,"m",'PBA Summary'!$F$2,'PBA Summary'!$G$2)</f>
        <v>0.41950106854631569</v>
      </c>
      <c r="BD35" s="26" cm="1">
        <f t="array" ref="BD35">_xll.ASAssetStatistic($A35,"Omega (Threshold 1)",,,'PBA Summary'!$H$2,"m",'PBA Summary'!$F$2,'PBA Summary'!$G$2)</f>
        <v>3.7261285511370721</v>
      </c>
      <c r="BE35" s="26" cm="1">
        <f t="array" ref="BE35">_xll.ASAssetStatistic($A35,"Omega (Threshold 2)",,,'PBA Summary'!$H$2,"m",'PBA Summary'!$F$2,'PBA Summary'!$G$2)</f>
        <v>2.5768335553911403</v>
      </c>
      <c r="BF35" s="26" cm="1">
        <f t="array" ref="BF35">_xll.ASAssetStatistic($A35,"Omega (Threshold 3)",,,'PBA Summary'!$H$2,"m",'PBA Summary'!$F$2,'PBA Summary'!$G$2)</f>
        <v>1.7964418806466123</v>
      </c>
      <c r="BG35" s="26" cm="1">
        <f t="array" ref="BG35">_xll.ASAssetStatistic($A35,"Omega (Threshold 4)",,,'PBA Summary'!$H$2,"m",'PBA Summary'!$F$2,'PBA Summary'!$G$2)</f>
        <v>1.2583457776090359</v>
      </c>
      <c r="BH35" s="26" cm="1">
        <f t="array" ref="BH35">_xll.ASAssetStatistic($A35,"Omega (Threshold 5)",,,'PBA Summary'!$H$2,"m",'PBA Summary'!$F$2,'PBA Summary'!$G$2)</f>
        <v>0.89186080797568712</v>
      </c>
      <c r="BI35" s="26" t="str" cm="1">
        <f t="array" ref="BI35">_xll.ASAssetStatistic($A35,"Autocorrelated (illiquid)",,,'PBA Summary'!$H$2,"m",'PBA Summary'!$F$2,'PBA Summary'!$G$2)</f>
        <v>No</v>
      </c>
      <c r="BJ35" s="27" cm="1">
        <f t="array" ref="BJ35">_xll.ASAssetStatistic($A35,"% months in Run Up",,,'PBA Summary'!$H$2,"m",'PBA Summary'!$F$2,'PBA Summary'!$G$2)</f>
        <v>0.6</v>
      </c>
      <c r="BK35" s="27" cm="1">
        <f t="array" ref="BK35">_xll.ASAssetStatistic($A35,"% months in Drawdown",,,'PBA Summary'!$H$2,"m",'PBA Summary'!$F$2,'PBA Summary'!$G$2)</f>
        <v>0.4</v>
      </c>
      <c r="BL35" s="18" cm="1">
        <f t="array" ref="BL35">IF('PBA Summary'!$D$2="","",_xll.ASAssetStatistic($A35,"Bull Beta to Benchmark 1",'PBA Summary'!$D$2,,,"m",'PBA Summary'!$F$2,'PBA Summary'!$G$2))</f>
        <v>0.92532265465003904</v>
      </c>
      <c r="BM35" s="18" cm="1">
        <f t="array" ref="BM35">IF('PBA Summary'!$D$2="","",_xll.ASAssetStatistic($A35,"Average return during bear Benchmark 1",'PBA Summary'!$D$2,,,"m",'PBA Summary'!$F$2,'PBA Summary'!$G$2))</f>
        <v>4.420996205227945E-2</v>
      </c>
      <c r="BN35" s="18" cm="1">
        <f t="array" ref="BN35">IF('PBA Summary'!$D$3="","",_xll.ASAssetStatistic($A35,"Average return during bull Benchmark 1",'PBA Summary'!$D$3,,,"m",'PBA Summary'!$F$2,'PBA Summary'!$G$2))</f>
        <v>8.9073262124079525E-3</v>
      </c>
      <c r="BO35" s="18" cm="1">
        <f t="array" ref="BO35">IF('PBA Summary'!$D$3="","",_xll.ASAssetStatistic($A35,"Average return during bear Benchmark 1",'PBA Summary'!$D$3,,,"m",'PBA Summary'!$F$2,'PBA Summary'!$G$2))</f>
        <v>4.420996205227945E-2</v>
      </c>
      <c r="BP35" s="27" cm="1">
        <f t="array" ref="BP35">_xll.ASAssetStatistic($A35,"Maximum consecutive gain",,,'PBA Summary'!$H$2,"m",'PBA Summary'!$F$2,'PBA Summary'!$G$2)</f>
        <v>0.18992748584484076</v>
      </c>
      <c r="BQ35" s="27" cm="1">
        <f t="array" ref="BQ35">_xll.ASAssetStatistic($A35,"Maximum consecutive loss",,,'PBA Summary'!$H$2,"m",'PBA Summary'!$F$2,'PBA Summary'!$G$2)</f>
        <v>-4.0237081559395316E-2</v>
      </c>
      <c r="BR35" s="27" cm="1">
        <f t="array" ref="BR35">_xll.ASAssetStatistic($A35,"Max monthly gain",,,'PBA Summary'!$H$2,"m",'PBA Summary'!$F$2,'PBA Summary'!$G$2)</f>
        <v>8.5672923009322055E-2</v>
      </c>
      <c r="BS35" s="27" cm="1">
        <f t="array" ref="BS35">_xll.ASAssetStatistic($A35,"Max monthly loss",,,'PBA Summary'!$H$2,"m",'PBA Summary'!$F$2,'PBA Summary'!$G$2)</f>
        <v>-4.0237081559395316E-2</v>
      </c>
      <c r="BT35" s="27" cm="1">
        <f t="array" ref="BT35">_xll.ASAssetStatistic($A35,"Max drawdown",,,'PBA Summary'!$H$2,"m",'PBA Summary'!$F$2,'PBA Summary'!$G$2)</f>
        <v>-4.2574505384422201E-2</v>
      </c>
      <c r="BU35" s="28" cm="1">
        <f t="array" ref="BU35">_xll.ASAssetStatistic($A35,"Date Max drawdown",,,'PBA Summary'!$H$2,"m",'PBA Summary'!$F$2,'PBA Summary'!$G$2)</f>
        <v>43799</v>
      </c>
      <c r="BV35" s="28" cm="1">
        <f t="array" ref="BV35">_xll.ASAssetStatistic($A35,"Start Date Max Drawdown",,,'PBA Summary'!$H$2,"m",'PBA Summary'!$F$2,'PBA Summary'!$G$2)</f>
        <v>43738</v>
      </c>
      <c r="BW35" s="28" cm="1">
        <f t="array" ref="BW35">_xll.ASAssetStatistic($A35,"End Date Max Drawdown",,,'PBA Summary'!$H$2,"m",'PBA Summary'!$F$2,'PBA Summary'!$G$2)</f>
        <v>43830</v>
      </c>
      <c r="BX35" s="29" cm="1">
        <f t="array" ref="BX35">_xll.ASAssetStatistic($A35,"Max Time-under-water (months)",,,'PBA Summary'!$H$2,"m",'PBA Summary'!$F$2,'PBA Summary'!$G$2)</f>
        <v>4</v>
      </c>
      <c r="BY35" s="27" cm="1">
        <f t="array" ref="BY35">_xll.ASAssetStatistic($A35,"Max possible drawdown 99%",,,'PBA Summary'!$H$2,"m",'PBA Summary'!$F$2,'PBA Summary'!$G$2)</f>
        <v>-9.5741914553353943E-2</v>
      </c>
      <c r="BZ35" s="27" cm="1">
        <f t="array" ref="BZ35">_xll.ASAssetStatistic($A35,"Max possible drawdown 99.9%",,,'PBA Summary'!$H$2,"m",'PBA Summary'!$F$2,'PBA Summary'!$G$2)</f>
        <v>-0.16894099529171766</v>
      </c>
      <c r="CA35" s="30" cm="1">
        <f t="array" ref="CA35">_xll.ASAssetStatistic($A35,"Max Possible Time-under-water 99% (months)",,,'PBA Summary'!$H$2,"m",'PBA Summary'!$F$2,'PBA Summary'!$G$2)</f>
        <v>20.902793640122752</v>
      </c>
      <c r="CB35" s="30" cm="1">
        <f t="array" ref="CB35">_xll.ASAssetStatistic($A35,"Max Possible Time-under-water 99.9% (months)",,,'PBA Summary'!$H$2,"m",'PBA Summary'!$F$2,'PBA Summary'!$G$2)</f>
        <v>36.883937180635975</v>
      </c>
      <c r="CC35" s="17" cm="1">
        <f t="array" ref="CC35">_xll.ASPortfolioReturnAttribution('PBA Summary'!$C$2,"OR",A35,"Last 1m",'PBA Summary'!$F$2,'PBA Summary'!$G$2)</f>
        <v>0</v>
      </c>
      <c r="CD35" s="11" t="str" cm="1">
        <f t="array" ref="CD35">_xll.ASAssetInfo($A35,"Strategy")</f>
        <v>Funds - Gold Index Long</v>
      </c>
      <c r="CE35" s="14" cm="1">
        <f t="array" ref="CE35">_xll.ASAssetInfo($A35,"Start Date")</f>
        <v>40645</v>
      </c>
      <c r="CF35" s="14" t="str" cm="1">
        <f t="array" ref="CF35">_xll.ASAssetRatings($A35,"Quantitative",0,0,0,0,0,'PBA Summary'!$F$2,'PBA Summary'!$G$2)</f>
        <v/>
      </c>
      <c r="CG35" s="14" t="str" cm="1">
        <f t="array" ref="CG35">_xll.ASAssetRatings($A35,"Qualitative",0,0,0,0,0,'PBA Summary'!$F$2,'PBA Summary'!$G$2)</f>
        <v/>
      </c>
      <c r="CH35" s="14" t="str" cm="1">
        <f t="array" ref="CH35">_xll.ASAssetRatings($A35,"Final",0,0,0,0,0,'PBA Summary'!$F$2,'PBA Summary'!$G$2)</f>
        <v/>
      </c>
      <c r="CI35" s="14" cm="1">
        <f t="array" ref="CI35">_xll.ASAssetInfo($A35,"Last Return Date")</f>
        <v>44134</v>
      </c>
      <c r="CJ35" s="14" t="str" cm="1">
        <f t="array" ref="CJ35">_xll.ASAssetInfo($A35,"Company Name")</f>
        <v>iShares ETFs/Ireland</v>
      </c>
      <c r="CK35" s="14" t="str" cm="1">
        <f t="array" ref="CK35">_xll.ASAssetInfo($A35,"Manager Name")</f>
        <v/>
      </c>
      <c r="CL35" s="14" t="str" cm="1">
        <f t="array" ref="CL35">_xll.ASAssetInfo($A35,"Address")</f>
        <v>BlackRock Inc. JP Morgan House. International Financial Services Ctr. Dublin 1. Ireland</v>
      </c>
      <c r="CM35" s="14" t="str" cm="1">
        <f t="array" ref="CM35">_xll.ASAssetInfo($A35,"Phone Number")</f>
        <v>+44-20-7668-8007 Tel</v>
      </c>
      <c r="CN35" s="14" t="str" cm="1">
        <f t="array" ref="CN35">_xll.ASAssetInfo($A35,"Email")</f>
        <v/>
      </c>
      <c r="CO35" s="14" t="str" cm="1">
        <f t="array" ref="CO35">_xll.ASAssetInfo($A35,"Asset Type")</f>
        <v>Portfolio Hedge</v>
      </c>
      <c r="CP35" s="14" t="str" cm="1">
        <f t="array" ref="CP35">_xll.ASAssetInfo($A35,"Proprietary ID")</f>
        <v/>
      </c>
      <c r="CQ35" s="14" t="str" cm="1">
        <f t="array" ref="CQ35">_xll.ASAssetInfo($A35,"Country")</f>
        <v>Ireland</v>
      </c>
      <c r="CR35" s="14" t="str" cm="1">
        <f t="array" ref="CR35">_xll.ASAssetInfo($A35,"Currency")</f>
        <v>USD</v>
      </c>
      <c r="CS35" s="14" t="str" cm="1">
        <f t="array" ref="CS35">_xll.ASAssetInfo($A35,"Sub-Strategy")</f>
        <v/>
      </c>
      <c r="CT35" s="31" cm="1">
        <f t="array" ref="CT35">_xll.ASAssetInfo($A35,"Fund AUM (m)")</f>
        <v>15110.76</v>
      </c>
      <c r="CU35" s="31" t="str" cm="1">
        <f t="array" ref="CU35">_xll.ASAssetInfo($A35,"Status")</f>
        <v>Unknown</v>
      </c>
      <c r="CV35" s="31" t="str" cm="1">
        <f t="array" ref="CV35">_xll.ASAssetInfo($A35,"Redemption 1 Frequency")</f>
        <v>Daily</v>
      </c>
      <c r="CW35" s="31" t="str" cm="1">
        <f t="array" ref="CW35">_xll.ASAssetInfo($A35,"Redemption 2 Frequency")</f>
        <v>Unknown</v>
      </c>
      <c r="CX35" s="31" t="str" cm="1">
        <f t="array" ref="CX35">_xll.ASAssetInfo($A35,"Redemption 3 Frequency")</f>
        <v>Unknown</v>
      </c>
      <c r="CY35" s="31" t="str" cm="1">
        <f t="array" ref="CY35">_xll.ASAssetInfo($A35,"Notice Period")</f>
        <v/>
      </c>
      <c r="CZ35" s="15" t="str" cm="1">
        <f t="array" ref="CZ35">_xll.ASAssetInfo($A35,"Performance Fee")</f>
        <v/>
      </c>
      <c r="DA35" s="15" cm="1">
        <f t="array" ref="DA35">_xll.ASAssetInfo($A35,"Management Fee")</f>
        <v>1.5E-3</v>
      </c>
      <c r="DB35" s="15" t="str" cm="1">
        <f t="array" ref="DB35">_xll.ASAssetInfo($A35,"ISIN")</f>
        <v>IE00B4ND3602</v>
      </c>
      <c r="DC35" s="16" cm="1">
        <f t="array" ref="DC35">_xll.ASAssetStatistic($A35,"Return during " &amp;YEAR(EOMONTH('PBA Summary'!$G$2,-60)),,,,"M",DATE(YEAR(EOMONTH('PBA Summary'!$G$2,-60)),1,31),DATE(YEAR(EOMONTH('PBA Summary'!$G$2,-60)),12,31))</f>
        <v>-0.11723089491836658</v>
      </c>
      <c r="DD35" s="16" cm="1">
        <f t="array" ref="DD35">_xll.ASAssetStatistic($A35,"Return during " &amp;YEAR(EOMONTH('PBA Summary'!$G$2,-48)),,,,"M",DATE(YEAR(EOMONTH('PBA Summary'!$G$2,-48)),1,31),DATE(YEAR(EOMONTH('PBA Summary'!$G$2,-48)),12,31))</f>
        <v>8.9683959451402062E-2</v>
      </c>
      <c r="DE35" s="16" cm="1">
        <f t="array" ref="DE35">_xll.ASAssetStatistic($A35,"Return during " &amp;YEAR(EOMONTH('PBA Summary'!$G$2,-36)),,,,"M",DATE(YEAR(EOMONTH('PBA Summary'!$G$2,-36)),1,31),DATE(YEAR(EOMONTH('PBA Summary'!$G$2,-36)),12,31))</f>
        <v>0.11666849075188845</v>
      </c>
      <c r="DF35" s="16" cm="1">
        <f t="array" ref="DF35">_xll.ASAssetStatistic($A35,"Return during " &amp;YEAR(EOMONTH('PBA Summary'!$G$2,-24)),,,,"M",DATE(YEAR(EOMONTH('PBA Summary'!$G$2,-24)),1,31),DATE(YEAR(EOMONTH('PBA Summary'!$G$2,-24)),12,31))</f>
        <v>-1.3133392139565436E-2</v>
      </c>
      <c r="DG35" s="16" cm="1">
        <f t="array" ref="DG35">_xll.ASAssetStatistic($A35,"Return during " &amp;YEAR(EOMONTH('PBA Summary'!$G$2,-12)),,,,"M",DATE(YEAR(EOMONTH('PBA Summary'!$G$2,-12)),1,31),DATE(YEAR(EOMONTH('PBA Summary'!$G$2,-12)),12,31))</f>
        <v>0.18283841493693553</v>
      </c>
      <c r="DH35" s="11" t="str" cm="1">
        <f t="array" ref="DH35">_xll.ASAssetInfo($A35,"Prime Broker")</f>
        <v/>
      </c>
      <c r="DI35" s="16" cm="1">
        <f t="array" ref="DI35">_xll.ASAssetStatistic($A35,"Return",,,,"m",'PBA Summary'!$F$2,'PBA Summary'!$G$2)</f>
        <v>0.30161391741773236</v>
      </c>
      <c r="DJ35" s="33" cm="1">
        <f t="array" ref="DJ35">IF('PBA Summary'!$D$2="","",_xll.ASAssetStatistic($A35,"Ann. Information Ratio vs Benchmark 1",'PBA Summary'!$D$2,,,"m",'PBA Summary'!$F$2,'PBA Summary'!$G$2))</f>
        <v>0.29852684529365903</v>
      </c>
      <c r="DK35" s="33" cm="1">
        <f t="array" ref="DK35">IF('PBA Summary'!$D$3="","",_xll.ASAssetStatistic($A35,"Ann. Information Ratio vs Benchmark 1",'PBA Summary'!$D$3,,,"m",'PBA Summary'!$F$2,'PBA Summary'!$G$2))</f>
        <v>0.29852684529365903</v>
      </c>
      <c r="DL35" s="33" cm="1">
        <f t="array" ref="DL35">IF('PBA Summary'!$D$2="","",_xll.ASAssetStatistic($A35,"Ann. Tracking Error vs Benchmark 1",'PBA Summary'!$D$2,,,"m",'PBA Summary'!$F$2,'PBA Summary'!$G$2))</f>
        <v>0.20921652467268667</v>
      </c>
      <c r="DM35" s="33" cm="1">
        <f t="array" ref="DM35">IF('PBA Summary'!$D$3="","",_xll.ASAssetStatistic($A35,"Ann. Tracking Error vs Benchmark 1",'PBA Summary'!$D$3,,,"m",'PBA Summary'!$F$2,'PBA Summary'!$G$2))</f>
        <v>0.20921652467268667</v>
      </c>
      <c r="DN35" s="33" cm="1">
        <f t="array" ref="DN35">IF('PBA Summary'!$D$2="","",_xll.ASAssetStatistic($A35,"R² vs Benchmark 1",'PBA Summary'!$D$2,,,"m",'PBA Summary'!$F$2,'PBA Summary'!$G$2))</f>
        <v>1.4703525172620895E-2</v>
      </c>
      <c r="DO35" s="33" cm="1">
        <f t="array" ref="DO35">IF('PBA Summary'!$D$3="","",_xll.ASAssetStatistic($A35,"R² vs Benchmark 1",'PBA Summary'!$D$3,,,"m",'PBA Summary'!$F$2,'PBA Summary'!$G$2))</f>
        <v>1.4703525172620895E-2</v>
      </c>
      <c r="DP35" s="11" t="str" cm="1">
        <f t="array" ref="DP35">_xll.ASAssetInfo($A35,"On-/Offshore")</f>
        <v>Unknown</v>
      </c>
      <c r="DQ35" s="16" cm="1">
        <f t="array" ref="DQ35">_xll.ASAssetStatistic($A35,"Quarter-to-date",,,,"m",'PBA Summary'!$F$2,'PBA Summary'!$G$2)</f>
        <v>4.2821158690176553E-2</v>
      </c>
      <c r="DR35" s="16" cm="1">
        <f t="array" ref="DR35">_xll.ASAssetStatistic($A35,"Annualized Return Since inception",,,,"m",'PBA Summary'!$F$2,'PBA Summary'!$G$2)</f>
        <v>2.3467643874783617E-2</v>
      </c>
      <c r="DS35" s="16" cm="1">
        <f t="array" ref="DS35">IF('PBA Summary'!$D$2="","",_xll.ASAssetStatistic($A35,"Ann. Bear Market Return vs Benchmark 1",'PBA Summary'!$D$2,,,"m",'PBA Summary'!$F$2,'PBA Summary'!$G$2))</f>
        <v>0.67657324882749581</v>
      </c>
      <c r="DT35" s="16" cm="1">
        <f t="array" ref="DT35">IF('PBA Summary'!$D$2="","",_xll.ASAssetStatistic($A35,"Ann. Bull Market Return vs Benchmark 1",'PBA Summary'!$D$2,,,"m",'PBA Summary'!$F$2,'PBA Summary'!$G$2))</f>
        <v>0.10479439252646516</v>
      </c>
      <c r="DU35" s="16" cm="1">
        <f t="array" ref="DU35">IF('PBA Summary'!$D$3="","",_xll.ASAssetStatistic($A35,"Ann. Bear Market Return vs Benchmark 1",'PBA Summary'!$D$3,,,"m",'PBA Summary'!$F$2,'PBA Summary'!$G$2))</f>
        <v>0.67657324882749581</v>
      </c>
      <c r="DV35" s="16" cm="1">
        <f t="array" ref="DV35">IF('PBA Summary'!$D$3="","",_xll.ASAssetStatistic($A35,"Ann. Bull Market Return vs Benchmark 1",'PBA Summary'!$D$3,,,"m",'PBA Summary'!$F$2,'PBA Summary'!$G$2))</f>
        <v>0.10479439252646516</v>
      </c>
      <c r="DW35" s="17" cm="1">
        <f t="array" ref="DW35">_xll.ASAssetStatistic($A35,"Average Positive Return",,,,"m",'PBA Summary'!$F$2,'PBA Summary'!$G$2)</f>
        <v>3.7563022280127444E-2</v>
      </c>
      <c r="DX35" s="17" cm="1">
        <f t="array" ref="DX35">_xll.ASAssetStatistic($A35,"Average Negative Return",,,,"m",'PBA Summary'!$F$2,'PBA Summary'!$G$2)</f>
        <v>-2.0161957251133834E-2</v>
      </c>
      <c r="DY35" s="16" cm="1">
        <f t="array" ref="DY35">IF('PBA Summary'!$D$2="","",_xll.ASAssetStatistic($A35,"Outperformance vs Benchmark 1",'PBA Summary'!$D$2,,,"m",'PBA Summary'!$F$2,'PBA Summary'!$G$2))</f>
        <v>8.1770272609013706E-2</v>
      </c>
      <c r="DZ35" s="16" cm="1">
        <f t="array" ref="DZ35">IF('PBA Summary'!$D$3="","",_xll.ASAssetStatistic($A35,"Outperformance vs Benchmark 1",'PBA Summary'!$D$3,,,"m",'PBA Summary'!$F$2,'PBA Summary'!$G$2))</f>
        <v>8.1770272609013706E-2</v>
      </c>
      <c r="EA35" s="16" cm="1">
        <f t="array" ref="EA35">IF('PBA Summary'!$D$2="","",_xll.ASAssetStatistic($A35,"Annual Outperformance vs Benchmark 1",'PBA Summary'!$D$2,,,"m",'PBA Summary'!$F$2,'PBA Summary'!$G$2))</f>
        <v>6.2456749093840136E-2</v>
      </c>
      <c r="EB35" s="16" cm="1">
        <f t="array" ref="EB35">IF('PBA Summary'!$D$3="","",_xll.ASAssetStatistic($A35,"Annual Outperformance vs Benchmark 1",'PBA Summary'!$D$3,,,"m",'PBA Summary'!$F$2,'PBA Summary'!$G$2))</f>
        <v>6.2456749093840136E-2</v>
      </c>
      <c r="EC35" s="32" cm="1">
        <f t="array" ref="EC35">_xll.ASAssetStatistic($A35,"Rachev Ratio 99%",,,,"m",'PBA Summary'!$F$2,'PBA Summary'!$G$2)</f>
        <v>-2.129203204831279</v>
      </c>
      <c r="ED35" s="32" cm="1">
        <f t="array" ref="ED35">_xll.ASAssetStatistic($A35,"Rachev Ratio 97%",,,,"m",'PBA Summary'!$F$2,'PBA Summary'!$G$2)</f>
        <v>-2.129203204831279</v>
      </c>
      <c r="EE35" s="32" cm="1">
        <f t="array" ref="EE35">_xll.ASAssetStatistic($A35,"Rachev Ratio 95%",,,,"m",'PBA Summary'!$F$2,'PBA Summary'!$G$2)</f>
        <v>-2.129203204831279</v>
      </c>
      <c r="EF35" s="32" cm="1">
        <f t="array" ref="EF35">_xll.ASAssetStatistic($A35,"Rachev Ratio 90%",,,,"m",'PBA Summary'!$F$2,'PBA Summary'!$G$2)</f>
        <v>-2.1870134322807742</v>
      </c>
      <c r="EG35" s="34" cm="1">
        <f t="array" ref="EG35">IF('PBA Summary'!$D$2="","",_xll.ASAssetStatistic($A35,"Annual Up Capture vs Benchmark 1",'PBA Summary'!$D$2,,,"m",'PBA Summary'!$F$2,'PBA Summary'!$G$2))</f>
        <v>0.20701849860108798</v>
      </c>
      <c r="EH35" s="34" cm="1">
        <f t="array" ref="EH35">IF('PBA Summary'!$D$3="","",_xll.ASAssetStatistic($A35,"Annual Up Capture vs Benchmark 1",'PBA Summary'!$D$3,,,"m",'PBA Summary'!$F$2,'PBA Summary'!$G$2))</f>
        <v>0.20701849860108798</v>
      </c>
      <c r="EI35" s="34" cm="1">
        <f t="array" ref="EI35">IF('PBA Summary'!$D$2="","",_xll.ASAssetStatistic($A35,"Annual Down Capture vs Benchmark 1",'PBA Summary'!$D$2,,,"m",'PBA Summary'!$F$2,'PBA Summary'!$G$2))</f>
        <v>-1.644068844147853</v>
      </c>
      <c r="EJ35" s="34" cm="1">
        <f t="array" ref="EJ35">IF('PBA Summary'!$D$3="","",_xll.ASAssetStatistic($A35,"Annual Down Capture vs Benchmark 1",'PBA Summary'!$D$3,,,"m",'PBA Summary'!$F$2,'PBA Summary'!$G$2))</f>
        <v>-1.644068844147853</v>
      </c>
      <c r="EK35" s="16" cm="1">
        <f t="array" ref="EK35">IF('PBA Summary'!$D$2="","",_xll.ASAssetStatistic($A35,"Ann. Tracking Error vs Benchmark 1",'PBA Summary'!$D$2,,,"m",'PBA Summary'!$F$2,'PBA Summary'!$G$2))</f>
        <v>0.20921652467268667</v>
      </c>
      <c r="EL35" s="16" cm="1">
        <f t="array" ref="EL35">IF('PBA Summary'!$D$3="","",_xll.ASAssetStatistic($A35,"Ann. Tracking Error vs Benchmark 1",'PBA Summary'!$D$3,,,"m",'PBA Summary'!$F$2,'PBA Summary'!$G$2))</f>
        <v>0.20921652467268667</v>
      </c>
      <c r="EM35" s="16" cm="1">
        <f t="array" ref="EM35">IF('PBA Summary'!$D$2="","",_xll.ASAssetStatistic($A35,"Annual Jensen Alpha vs Benchmark 1 (Rf)",'PBA Summary'!$D$2,,,"m",'PBA Summary'!$F$2,'PBA Summary'!$G$2))</f>
        <v>0.24899845370434326</v>
      </c>
      <c r="EN35" s="16" cm="1">
        <f t="array" ref="EN35">IF('PBA Summary'!$D$3="","",_xll.ASAssetStatistic($A35,"Annual Jensen Alpha vs Benchmark 1 (Rf)",'PBA Summary'!$D$3,,,"m",'PBA Summary'!$F$2,'PBA Summary'!$G$2))</f>
        <v>0.24899845370434326</v>
      </c>
      <c r="EO35" s="33" cm="1">
        <f t="array" ref="EO35">IF('PBA Summary'!$D$2="","",_xll.ASAssetStatistic($A35,"Ann. Information Ratio vs Benchmark 1",'PBA Summary'!$D$2,,,"m",'PBA Summary'!$F$2,'PBA Summary'!$G$2))</f>
        <v>0.29852684529365903</v>
      </c>
      <c r="EP35" s="33" cm="1">
        <f t="array" ref="EP35">IF('PBA Summary'!$D$3="","",_xll.ASAssetStatistic($A35,"Ann. Information Ratio vs Benchmark 1",'PBA Summary'!$D$3,,,"m",'PBA Summary'!$F$2,'PBA Summary'!$G$2))</f>
        <v>0.29852684529365903</v>
      </c>
      <c r="EQ35" s="17" cm="1">
        <f t="array" ref="EQ35">IF('PBA Summary'!$D$2="","",_xll.ASAssetStatistic($A35,"Alpha Monthly vs Benchmark 1",'PBA Summary'!$D$2,,,"m",'PBA Summary'!$F$2,'PBA Summary'!$G$2))</f>
        <v>1.9726948825308965E-2</v>
      </c>
      <c r="ER35" s="17" cm="1">
        <f t="array" ref="ER35">IF('PBA Summary'!$D$3="","",_xll.ASAssetStatistic($A35,"Alpha Monthly vs Benchmark 1",'PBA Summary'!$D$3,,,"m",'PBA Summary'!$F$2,'PBA Summary'!$G$2))</f>
        <v>1.9726948825308965E-2</v>
      </c>
      <c r="ES35" s="11" t="str" cm="1">
        <f t="array" ref="ES35">_xll.ASAssetInfo($A35,"Company AUM (m)")</f>
        <v/>
      </c>
      <c r="ET35" s="16" cm="1">
        <f t="array" ref="ET35">_xll.ASAssetStatistic($A35,"Exponential Annualized Volatility",,,,"m",'PBA Summary'!$F$2,'PBA Summary'!$G$2)</f>
        <v>0.13003375820518667</v>
      </c>
      <c r="EU35" s="16" cm="1">
        <f t="array" ref="EU35">_xll.ASAssetStatistic($A35,"Exponential Annualized Volatility Last 1 year",,,,"m",'PBA Summary'!$F$2,'PBA Summary'!$G$2)</f>
        <v>0.13551199482153981</v>
      </c>
      <c r="EV35" s="16" t="str" cm="1">
        <f t="array" ref="EV35">_xll.ASAssetStatistic($A35,"Exponential Annualized Volatility Last 3 years",,,,"m",'PBA Summary'!$F$2,'PBA Summary'!$G$2)</f>
        <v/>
      </c>
      <c r="EW35" s="34" cm="1">
        <f t="array" ref="EW35">IF('PBA Summary'!$D$2="","",_xll.ASAssetStatistic($A35,"Exponential Correlation to Benchmark 1",'PBA Summary'!$D$2,,,"m",'PBA Summary'!$F$2,'PBA Summary'!$G$2))</f>
        <v>-0.10472654165623942</v>
      </c>
      <c r="EX35" s="34" cm="1">
        <f t="array" ref="EX35">IF('PBA Summary'!$D$3="","",_xll.ASAssetStatistic($A35,"Exponential Correlation to Benchmark 1",'PBA Summary'!$D$3,,,"m",'PBA Summary'!$F$2,'PBA Summary'!$G$2))</f>
        <v>-0.10472654165623942</v>
      </c>
      <c r="EY35" s="34" cm="1">
        <f t="array" ref="EY35">_xll.ASAssetStatistic($A35,"Exponential Annual Sharpe Ratio (Rf)",,,,"m",'PBA Summary'!$F$2,'PBA Summary'!$G$2)</f>
        <v>1.9621609083144096</v>
      </c>
      <c r="EZ35" s="34" cm="1">
        <f t="array" ref="EZ35">_xll.ASAssetStatistic($A35,"Exponential Normal Monthly VaR 99%",,,,"m",'PBA Summary'!$F$2,'PBA Summary'!$G$2)</f>
        <v>-6.8038119041194875E-2</v>
      </c>
      <c r="FA35" s="34" cm="1">
        <f t="array" ref="FA35">_xll.ASAssetStatistic($A35,"Exponential Normal Monthly VaR 97%",,,,"m",'PBA Summary'!$F$2,'PBA Summary'!$G$2)</f>
        <v>-5.1313120148322483E-2</v>
      </c>
      <c r="FB35" s="34" cm="1">
        <f t="array" ref="FB35">_xll.ASAssetStatistic($A35,"Exponential Normal Monthly VaR 95%",,,,"m",'PBA Summary'!$F$2,'PBA Summary'!$G$2)</f>
        <v>-4.245652011898176E-2</v>
      </c>
      <c r="FC35" s="34" cm="1">
        <f t="array" ref="FC35">_xll.ASAssetStatistic($A35,"Exponential Normal Monthly VaR 90%",,,,"m",'PBA Summary'!$F$2,'PBA Summary'!$G$2)</f>
        <v>-2.8819064392513867E-2</v>
      </c>
      <c r="FD35" s="34" t="str" cm="1">
        <f t="array" ref="FD35">_xll.ASAssetStatistic($A35,"Exponential Normal weekly VaR 99%",,,,"m",'PBA Summary'!$F$2,'PBA Summary'!$G$2)</f>
        <v/>
      </c>
      <c r="FE35" s="34" t="str" cm="1">
        <f t="array" ref="FE35">_xll.ASAssetStatistic($A35,"Exponential Normal weekly VaR 97%",,,,"m",'PBA Summary'!$F$2,'PBA Summary'!$G$2)</f>
        <v/>
      </c>
      <c r="FF35" s="34" t="str" cm="1">
        <f t="array" ref="FF35">_xll.ASAssetStatistic($A35,"Exponential Normal weekly VaR 95%",,,,"m",'PBA Summary'!$F$2,'PBA Summary'!$G$2)</f>
        <v/>
      </c>
      <c r="FG35" s="34" t="str" cm="1">
        <f t="array" ref="FG35">_xll.ASAssetStatistic($A35,"Exponential Normal weekly VaR 90%",,,,"m",'PBA Summary'!$F$2,'PBA Summary'!$G$2)</f>
        <v/>
      </c>
      <c r="FH35" s="34" t="str" cm="1">
        <f t="array" ref="FH35">_xll.ASAssetStatistic($A35,"Exponential Normal daily VaR 99%",,,,"m",'PBA Summary'!$F$2,'PBA Summary'!$G$2)</f>
        <v/>
      </c>
      <c r="FI35" s="34" t="str" cm="1">
        <f t="array" ref="FI35">_xll.ASAssetStatistic($A35,"Exponential Normal daily VaR 97%",,,,"m",'PBA Summary'!$F$2,'PBA Summary'!$G$2)</f>
        <v/>
      </c>
      <c r="FJ35" s="34" t="str" cm="1">
        <f t="array" ref="FJ35">_xll.ASAssetStatistic($A35,"Exponential Normal daily VaR 95%",,,,"m",'PBA Summary'!$F$2,'PBA Summary'!$G$2)</f>
        <v/>
      </c>
      <c r="FK35" s="34" t="str" cm="1">
        <f t="array" ref="FK35">_xll.ASAssetStatistic($A35,"Exponential Normal daily VaR 90%",,,,"m",'PBA Summary'!$F$2,'PBA Summary'!$G$2)</f>
        <v/>
      </c>
      <c r="FL35" s="34" cm="1">
        <f t="array" ref="FL35">_xll.ASAssetStatistic($A35,"Bias Ratio",,,,"m",'PBA Summary'!$F$2,'PBA Summary'!$G$2)</f>
        <v>1</v>
      </c>
      <c r="FM35" s="11" t="str" cm="1">
        <f t="array" ref="FM35">_xll.ASAssetInfo($A35,"Manager's Biography")</f>
        <v/>
      </c>
      <c r="FN35" s="11" cm="1">
        <f t="array" ref="FN35">_xll.ASAssetInfo($A35,"Investment Min")</f>
        <v>0</v>
      </c>
      <c r="FO35" s="11" t="str" cm="1">
        <f t="array" ref="FO35">_xll.ASAssetInfo($A35,"Auditor")</f>
        <v>PricewaterhouseCoopers/Ireland</v>
      </c>
      <c r="FP35" s="11" t="str" cm="1">
        <f t="array" ref="FP35">_xll.ASAssetInfo($A35,"Custodian")</f>
        <v>JPMorgan Chase Bank NA/London</v>
      </c>
      <c r="FQ35" s="11" t="str" cm="1">
        <f t="array" ref="FQ35">_xll.ASAssetInfo($A35,"Administrator")</f>
        <v>State Street Bank &amp; Trust Co</v>
      </c>
      <c r="FR35" s="14" t="str" cm="1">
        <f t="array" ref="FR35">_xll.ASAssetInfo($A35,"Proxy 1 Start Date")</f>
        <v/>
      </c>
      <c r="FS35" s="14" t="str" cm="1">
        <f t="array" ref="FS35">_xll.ASAssetInfo($A35,"Proxy 1 End Date")</f>
        <v/>
      </c>
      <c r="FT35" s="14" t="str" cm="1">
        <f t="array" ref="FT35">_xll.ASAssetInfo($A35,"Proxy 2 Start Date")</f>
        <v/>
      </c>
      <c r="FU35" s="14" t="str" cm="1">
        <f t="array" ref="FU35">_xll.ASAssetInfo($A35,"Proxy 2 End Date")</f>
        <v/>
      </c>
      <c r="FV35" s="14" t="str" cm="1">
        <f t="array" ref="FV35">_xll.ASAssetInfo($A35,"Proxy 3 Start Date")</f>
        <v/>
      </c>
      <c r="FW35" s="14" t="str" cm="1">
        <f t="array" ref="FW35">_xll.ASAssetInfo($A35,"Proxy 3 End Date")</f>
        <v/>
      </c>
      <c r="FX35" s="14" t="str" cm="1">
        <f t="array" ref="FX35">_xll.ASAssetInfo($A35,"Fund Domicile")</f>
        <v>IE</v>
      </c>
      <c r="FY35" s="14" t="str" cm="1">
        <f t="array" ref="FY35">_xll.ASAssetInfo($A35,"Fund Contact")</f>
        <v/>
      </c>
      <c r="FZ35" s="14" t="str" cm="1">
        <f t="array" ref="FZ35">_xll.ASAssetInfo($A35,"Fund Contact Email")</f>
        <v/>
      </c>
      <c r="GA35" s="14" t="str" cm="1">
        <f t="array" ref="GA35">_xll.ASAssetInfo($A35,"Fund Contact Number")</f>
        <v/>
      </c>
      <c r="GB35" s="14" t="str" cm="1">
        <f t="array" ref="GB35">_xll.ASAssetInfo($A35,"City")</f>
        <v>Dublin</v>
      </c>
      <c r="GC35" s="14" t="str" cm="1">
        <f t="array" ref="GC35">_xll.ASAssetInfo($A35,"Leverage")</f>
        <v>N</v>
      </c>
      <c r="GD35" s="14" t="str" cm="1">
        <f t="array" ref="GD35">_xll.ASAssetInfo($A35,"Lockup 1 Duration")</f>
        <v>0 Months</v>
      </c>
      <c r="GE35" s="14" t="str" cm="1">
        <f t="array" ref="GE35">_xll.ASAssetInfo($A35,"Lockup 2 Duration")</f>
        <v>0 Months</v>
      </c>
      <c r="GF35" s="14" t="str" cm="1">
        <f t="array" ref="GF35">_xll.ASAssetInfo($A35,"Lockup 3 Duration")</f>
        <v>0 Months</v>
      </c>
      <c r="GG35" s="31" t="str" cm="1">
        <f t="array" ref="GG35">_xll.ASAssetInfo($A35,"Fund Level Gate")</f>
        <v/>
      </c>
      <c r="GH35" s="31" t="str" cm="1">
        <f t="array" ref="GH35">_xll.ASAssetInfo($A35,"Fund Level Gate Frequency")</f>
        <v>Unknown</v>
      </c>
      <c r="GI35" s="35" cm="1">
        <f t="array" ref="GI35">_xll.ASAssetInfo($A35,"Payment 2 (%)")</f>
        <v>0</v>
      </c>
      <c r="GJ35" s="35" t="str" cm="1">
        <f t="array" ref="GJ35">_xll.ASAssetInfo($A35,"Payment 2 (days)")</f>
        <v/>
      </c>
      <c r="GK35" s="35" t="str" cm="1">
        <f t="array" ref="GK35">_xll.ASAssetInfo($A35,"Payment 2 (Paid After)")</f>
        <v>NAV Date</v>
      </c>
      <c r="GL35" s="35" cm="1">
        <f t="array" ref="GL35">_xll.ASAssetInfo($A35,"Payment 3 (%)")</f>
        <v>0</v>
      </c>
      <c r="GM35" s="36" t="str" cm="1">
        <f t="array" ref="GM35">_xll.ASAssetInfo($A35,"Payment 3 (Days)")</f>
        <v/>
      </c>
      <c r="GN35" s="35" t="str" cm="1">
        <f t="array" ref="GN35">_xll.ASAssetInfo($A35,"Payment 3 (Paid After)")</f>
        <v>NAV Date</v>
      </c>
      <c r="GO35" s="35" cm="1">
        <f t="array" ref="GO35">_xll.ASAssetInfo($A35,"Payment 4 (%)")</f>
        <v>0</v>
      </c>
      <c r="GP35" s="36" t="str" cm="1">
        <f t="array" ref="GP35">_xll.ASAssetInfo($A35,"Payment 4 (days)")</f>
        <v/>
      </c>
      <c r="GQ35" s="35" t="str" cm="1">
        <f t="array" ref="GQ35">_xll.ASAssetInfo($A35,"Payment 4 (Paid After)")</f>
        <v>NAV Date</v>
      </c>
      <c r="GR35" s="11" cm="1">
        <f t="array" ref="GR35">_xll.ASAssetInfo($A35,"Payment 1 (%)")</f>
        <v>1</v>
      </c>
      <c r="GS35" s="35" cm="1">
        <f t="array" ref="GS35">_xll.ASAssetInfo($A35,"Lockup 1 Fee")</f>
        <v>0</v>
      </c>
      <c r="GT35" s="35" cm="1">
        <f t="array" ref="GT35">_xll.ASAssetInfo($A35,"Lockup 2 Fee")</f>
        <v>0</v>
      </c>
      <c r="GU35" s="35" cm="1">
        <f t="array" ref="GU35">_xll.ASAssetInfo($A35,"Lockup 3 Fee")</f>
        <v>0</v>
      </c>
      <c r="GV35" s="35" t="str" cm="1">
        <f t="array" ref="GV35">_xll.ASAssetInfo($A35,"Lockup 1 type")</f>
        <v>None</v>
      </c>
      <c r="GW35" s="35" t="str" cm="1">
        <f t="array" ref="GW35">_xll.ASAssetInfo($A35,"Lockup 2 type")</f>
        <v>None</v>
      </c>
      <c r="GX35" s="35" t="str" cm="1">
        <f t="array" ref="GX35">_xll.ASAssetInfo($A35,"Lockup 3 type")</f>
        <v>None</v>
      </c>
      <c r="GY35" s="35" t="str" cm="1">
        <f t="array" ref="GY35">_xll.ASAssetInfo($A35,"Redemption 1 type")</f>
        <v>Calendar</v>
      </c>
      <c r="GZ35" s="35" t="str" cm="1">
        <f t="array" ref="GZ35">_xll.ASAssetInfo($A35,"Redemption 2 type")</f>
        <v>Calendar</v>
      </c>
      <c r="HA35" s="35" t="str" cm="1">
        <f t="array" ref="HA35">_xll.ASAssetInfo($A35,"Redemption 3 type")</f>
        <v>Calendar</v>
      </c>
      <c r="HB35" s="35" t="str" cm="1">
        <f t="array" ref="HB35">_xll.ASAssetInfo($A35,"Redemption 1 Fee")</f>
        <v/>
      </c>
      <c r="HC35" s="35" t="str" cm="1">
        <f t="array" ref="HC35">_xll.ASAssetInfo($A35,"Redemption 2 Fee")</f>
        <v/>
      </c>
      <c r="HD35" s="35" t="str" cm="1">
        <f t="array" ref="HD35">_xll.ASAssetInfo($A35,"Redemption 3 Fee")</f>
        <v/>
      </c>
      <c r="HE35" s="35" t="str" cm="1">
        <f t="array" ref="HE35">_xll.ASAssetInfo($A35,"Redemption 1 Frequency")</f>
        <v>Daily</v>
      </c>
      <c r="HF35" s="35" t="str" cm="1">
        <f t="array" ref="HF35">_xll.ASAssetInfo($A35,"Redemption 2 Frequency")</f>
        <v>Unknown</v>
      </c>
      <c r="HG35" s="35" t="str" cm="1">
        <f t="array" ref="HG35">_xll.ASAssetInfo($A35,"Redemption 3 Frequency")</f>
        <v>Unknown</v>
      </c>
      <c r="HH35" s="35" t="str" cm="1">
        <f t="array" ref="HH35">_xll.ASAssetInfo($A35,"Asset Calendar")</f>
        <v>[Default]</v>
      </c>
      <c r="HI35" s="16" cm="1">
        <f t="array" ref="HI35">_xll.ASAssetStatistic($A35,"Max Second Drawdown",,,,"m",'PBA Summary'!$F$2,'PBA Summary'!$G$2)</f>
        <v>-2.9218900675025083E-2</v>
      </c>
      <c r="HJ35" s="37" cm="1">
        <f t="array" ref="HJ35">_xll.ASAssetStatistic($A35,"Date Max Second Drawdown",,,,"m",'PBA Summary'!$F$2,'PBA Summary'!$G$2)</f>
        <v>43585</v>
      </c>
      <c r="HK35" s="37"/>
      <c r="HL35" s="37" t="str" cm="1">
        <f t="array" ref="HL35">_xll.ASAssetInfo($A35,HL$1)</f>
        <v/>
      </c>
      <c r="HM35" s="34" t="str" cm="1">
        <f t="array" ref="HM35">_xll.ASAssetInfo($A35,HM$1)</f>
        <v/>
      </c>
      <c r="HN35" s="37" t="str" cm="1">
        <f t="array" ref="HN35">_xll.ASAssetInfo($A35,HN$1)</f>
        <v/>
      </c>
      <c r="HO35" s="15" cm="1">
        <f t="array" ref="HO35">_xll.ASAssetInfo($A35,HO$1)</f>
        <v>0</v>
      </c>
      <c r="HP35" s="15" t="str" cm="1">
        <f t="array" ref="HP35">_xll.ASAssetInfo($A35,HP$1)</f>
        <v/>
      </c>
      <c r="HQ35" s="34" t="str" cm="1">
        <f t="array" ref="HQ35">_xll.ASAssetInfo($A35,HQ$1)</f>
        <v/>
      </c>
      <c r="HR35" s="37" t="str" cm="1">
        <f t="array" ref="HR35">_xll.ASAssetInfo($A35,HR$1)</f>
        <v/>
      </c>
      <c r="HS35" s="37" t="str" cm="1">
        <f t="array" ref="HS35">_xll.ASAssetInfo($A35,HS$1)</f>
        <v/>
      </c>
      <c r="HT35" s="37" t="str" cm="1">
        <f t="array" ref="HT35">_xll.ASAssetInfo($A35,HT$1)</f>
        <v/>
      </c>
      <c r="HU35" s="37" t="str" cm="1">
        <f t="array" ref="HU35">_xll.ASAssetInfo($A35,HU$1)</f>
        <v>Global</v>
      </c>
      <c r="HV35" s="37" t="str" cm="1">
        <f t="array" ref="HV35">_xll.ASAssetInfo($A35,HV$1)</f>
        <v/>
      </c>
      <c r="HW35" s="37" t="str" cm="1">
        <f t="array" ref="HW35">_xll.ASAssetInfo($A35,HW$1)</f>
        <v/>
      </c>
    </row>
    <row r="36" spans="1:231" s="11" customFormat="1" x14ac:dyDescent="0.25">
      <c r="A36" t="s">
        <v>303</v>
      </c>
      <c r="B36" cm="1">
        <f t="array" ref="B36">_xll.ASPortfolioWeights('PBA Summary'!$C$2,"OR",$A36)</f>
        <v>0</v>
      </c>
      <c r="C36" cm="1">
        <f t="array" ref="C36">_xll.ASAssetStatistic($A36,"Annualized Return since inception",,,,"m",_xll.ASAssetInfo($A36,"Start Date"),_xll.ASAssetInfo($A36,"Last Return Date"))</f>
        <v>0.13564369360264994</v>
      </c>
      <c r="D36" cm="1">
        <f t="array" ref="D36">_xll.ASAssetStatistic($A36,"Annualized Return",,,,"m",'PBA Summary'!$F$2,'PBA Summary'!$G$2)</f>
        <v>0.23028788714898818</v>
      </c>
      <c r="E36" s="19" cm="1">
        <f t="array" ref="E36">_xll.ASAssetStatistic($A36,"Equilibrium Annual Return",,,,"m",'PBA Summary'!$F$2,'PBA Summary'!$G$2)</f>
        <v>0.57834498880929064</v>
      </c>
      <c r="F36" cm="1">
        <f t="array" ref="F36">_xll.ASAssetStatistic($A36,"Annualized Volatility (Inception)",,,,"m",_xll.ASAssetInfo($A36,"Start Date"),_xll.ASAssetInfo($A36,"Last Return Date"))</f>
        <v>0.17161078281136213</v>
      </c>
      <c r="G36" cm="1">
        <f t="array" ref="G36">_xll.ASAssetStatistic($A36,"Annualized Volatility",,,,"m",'PBA Summary'!$F$2,'PBA Summary'!$G$2)</f>
        <v>0.14843022212419019</v>
      </c>
      <c r="H36" s="20" cm="1">
        <f t="array" ref="H36">_xll.ASAssetStatistic($A36,"Skewness",,,,"m",'PBA Summary'!$F$2,'PBA Summary'!$G$2)</f>
        <v>-0.31473141451495634</v>
      </c>
      <c r="I36" s="20" cm="1">
        <f t="array" ref="I36">_xll.ASAssetStatistic($A36,"Excess kurtosis",,,,"m",'PBA Summary'!$F$2,'PBA Summary'!$G$2)</f>
        <v>0.55068709254493564</v>
      </c>
      <c r="J36" s="19" cm="1">
        <f t="array" ref="J36">_xll.ASAssetStatistic($A36,"Return Last 1 month",,,,"m",'PBA Summary'!$F$2,'PBA Summary'!$G$2)</f>
        <v>1.059299179744233E-3</v>
      </c>
      <c r="K36" s="19" cm="1">
        <f t="array" ref="K36">_xll.ASAssetStatistic($A36,"Return Last 3 months",,,,"m",'PBA Summary'!$F$2,'PBA Summary'!$G$2)</f>
        <v>6.3943296713543152E-2</v>
      </c>
      <c r="L36" s="19" cm="1">
        <f t="array" ref="L36">_xll.ASAssetStatistic($A36,"Return Last 1 year",,,,"m",'PBA Summary'!$F$2,'PBA Summary'!$G$2)</f>
        <v>0.23260033364856181</v>
      </c>
      <c r="M36" s="19" cm="1">
        <f t="array" ref="M36">_xll.ASAssetStatistic($A36,"Year-to-date Return",,,,"m",'PBA Summary'!$F$2,'PBA Summary'!$G$2)</f>
        <v>1.059299179744233E-3</v>
      </c>
      <c r="N36" s="19" cm="1">
        <f t="array" ref="N36">_xll.ASAssetStatistic($A36,"Annualized Return",,,,"m",EOMONTH('PBA Summary'!$G$2,-2),'PBA Summary'!$G$2)</f>
        <v>0.28136816724767288</v>
      </c>
      <c r="O36" s="19" t="str" cm="1">
        <f t="array" ref="O36">_xll.ASAssetStatistic($A36,"Annualized Return Last 3 years",,,,"m",'PBA Summary'!$F$2,'PBA Summary'!$G$2)</f>
        <v/>
      </c>
      <c r="P36" s="19" t="str" cm="1">
        <f t="array" ref="P36">_xll.ASAssetStatistic($A36,"Annualized Return Last 5 years",,,,"m",'PBA Summary'!$F$2,'PBA Summary'!$G$2)</f>
        <v/>
      </c>
      <c r="Q36" s="19" cm="1">
        <f t="array" ref="Q36">_xll.ASAssetStatistic($A36,"Annualized Volatility Last 1 year",,,,"m",'PBA Summary'!$F$2,'PBA Summary'!$G$2)</f>
        <v>0.1137497745040502</v>
      </c>
      <c r="R36" s="19" t="str" cm="1">
        <f t="array" ref="R36">_xll.ASAssetStatistic($A36,"Annualized Volatility Last 3 years",,,,"m",'PBA Summary'!$F$2,'PBA Summary'!$G$2)</f>
        <v/>
      </c>
      <c r="S36" s="19" t="str" cm="1">
        <f t="array" ref="S36">_xll.ASAssetStatistic($A36,"Annualized Volatility Last 5 years",,,,"m",'PBA Summary'!$F$2,'PBA Summary'!$G$2)</f>
        <v/>
      </c>
      <c r="T36" s="19" cm="1">
        <f t="array" ref="T36">_xll.ASAssetStatistic($A36,"Normal monthly VaR 99%",,,,"m",'PBA Summary'!$F$2,'PBA Summary'!$G$2)</f>
        <v>-8.1409283779480909E-2</v>
      </c>
      <c r="U36" s="19" cm="1">
        <f t="array" ref="U36">_xll.ASAssetStatistic($A36,"Modified monthly VaR 99%",,,,"m",'PBA Summary'!$F$2,'PBA Summary'!$G$2)</f>
        <v>-9.5244613685961835E-2</v>
      </c>
      <c r="V36" s="19" cm="1">
        <f t="array" ref="V36">_xll.ASAssetStatistic($A36,"Conditional monthly VaR 99%",,,,"m",'PBA Summary'!$F$2,'PBA Summary'!$G$2)</f>
        <v>-7.602586782148324E-2</v>
      </c>
      <c r="W36" s="19" cm="1">
        <f t="array" ref="W36">_xll.ASAssetStatistic($A36,"Normal monthly VaR 97%",,,,"m",'PBA Summary'!$F$2,'PBA Summary'!$G$2)</f>
        <v>-6.2318123645674475E-2</v>
      </c>
      <c r="X36" s="19" cm="1">
        <f t="array" ref="X36">_xll.ASAssetStatistic($A36,"Modified monthly VaR 97%",,,,"m",'PBA Summary'!$F$2,'PBA Summary'!$G$2)</f>
        <v>-6.8554795047328143E-2</v>
      </c>
      <c r="Y36" s="19" cm="1">
        <f t="array" ref="Y36">_xll.ASAssetStatistic($A36,"Conditional monthly VaR 97%",,,,"m",'PBA Summary'!$F$2,'PBA Summary'!$G$2)</f>
        <v>-7.602586782148324E-2</v>
      </c>
      <c r="Z36" s="19" cm="1">
        <f t="array" ref="Z36">_xll.ASAssetStatistic($A36,"Normal monthly VaR 95%",,,,"m",'PBA Summary'!$F$2,'PBA Summary'!$G$2)</f>
        <v>-5.2208540351574781E-2</v>
      </c>
      <c r="AA36" s="19" cm="1">
        <f t="array" ref="AA36">_xll.ASAssetStatistic($A36,"Modified monthly VaR 95%",,,,"m",'PBA Summary'!$F$2,'PBA Summary'!$G$2)</f>
        <v>-5.5486029858698382E-2</v>
      </c>
      <c r="AB36" s="19" cm="1">
        <f t="array" ref="AB36">_xll.ASAssetStatistic($A36,"Conditional monthly VaR 95%",,,,"m",'PBA Summary'!$F$2,'PBA Summary'!$G$2)</f>
        <v>-7.602586782148324E-2</v>
      </c>
      <c r="AC36" s="66" cm="1">
        <f t="array" ref="AC36">_xll.ASAssetStatistic($A36,"Correlation to Benchmark 1","MSCI ACWI Index",,,"m",'PBA Summary'!$F$2,'PBA Summary'!$G$2)</f>
        <v>0.76016458465309589</v>
      </c>
      <c r="AD36" s="38" cm="1">
        <f t="array" ref="AD36">IF('PBA Summary'!$D$3="","",_xll.ASAssetStatistic($A36,"Correlation to Benchmark 1",'PBA Summary'!$D$3,,,"m",'PBA Summary'!$F$2,'PBA Summary'!$G$2))</f>
        <v>0.7978780706631784</v>
      </c>
      <c r="AE36" s="21" cm="1">
        <f t="array" ref="AE36">IF('PBA Summary'!$D$2="","",_xll.ASAssetStatistic($A36,"Bull correlation to Benchmark 1",'PBA Summary'!$D$2,,,"m",'PBA Summary'!$F$2,'PBA Summary'!$G$2))</f>
        <v>0.62256811507568377</v>
      </c>
      <c r="AF36" s="21" cm="1">
        <f t="array" ref="AF36">IF('PBA Summary'!$D$2="","",_xll.ASAssetStatistic($A36,"Bear correlation to Benchmark 1",'PBA Summary'!$D$2,,,"m",'PBA Summary'!$F$2,'PBA Summary'!$G$2))</f>
        <v>0.89536838186705481</v>
      </c>
      <c r="AG36" s="21" cm="1">
        <f t="array" ref="AG36">IF('PBA Summary'!$D$3="","",_xll.ASAssetStatistic($A36,"Bull correlation to Benchmark 1",'PBA Summary'!$D$3,,,"m",'PBA Summary'!$F$2,'PBA Summary'!$G$2))</f>
        <v>0.62256811507568377</v>
      </c>
      <c r="AH36" s="21" cm="1">
        <f t="array" ref="AH36">IF('PBA Summary'!$D$3="","",_xll.ASAssetStatistic($A36,"Bear correlation to Benchmark 1",'PBA Summary'!$D$3,,,"m",'PBA Summary'!$F$2,'PBA Summary'!$G$2))</f>
        <v>0.89536838186705481</v>
      </c>
      <c r="AI36" s="24" cm="1">
        <f t="array" ref="AI36">IF('PBA Summary'!$D$2="","",_xll.ASAssetStatistic($A36,"Beta to Benchmark 1",'PBA Summary'!$D$2,,,"m",'PBA Summary'!$F$2,'PBA Summary'!$G$2))</f>
        <v>0.77140526491307537</v>
      </c>
      <c r="AJ36" s="24" t="str" cm="1">
        <f t="array" ref="AJ36">IF('PBA Summary'!$D$2="","",_xll.ASAssetStatistic($A36,"Beta to Benchmark 1 Last 3 years",'PBA Summary'!$D$2,,,"m",'PBA Summary'!$F$2,'PBA Summary'!$G$2))</f>
        <v/>
      </c>
      <c r="AK36" s="24" t="str" cm="1">
        <f t="array" ref="AK36">IF('PBA Summary'!$D$2="","",_xll.ASAssetStatistic($A36,"Beta to Benchmark 1 Last 5 years",'PBA Summary'!$D$2,,,"m",'PBA Summary'!$F$2,'PBA Summary'!$G$2))</f>
        <v/>
      </c>
      <c r="AL36" s="25" cm="1">
        <f t="array" ref="AL36">IF('PBA Summary'!$D$3="","",_xll.ASAssetStatistic($A36,"Beta to Benchmark 1",'PBA Summary'!$D$3,,,"m",'PBA Summary'!$F$2,'PBA Summary'!$G$2))</f>
        <v>0.77140526491307537</v>
      </c>
      <c r="AM36" s="25" t="str" cm="1">
        <f t="array" ref="AM36">IF('PBA Summary'!$D$3="","",_xll.ASAssetStatistic($A36,"Beta to Benchmark 1 Last 3 years",'PBA Summary'!$D$3,,,"m",'PBA Summary'!$F$2,'PBA Summary'!$G$2))</f>
        <v/>
      </c>
      <c r="AN36" s="25" t="str" cm="1">
        <f t="array" ref="AN36">IF('PBA Summary'!$D$3="","",_xll.ASAssetStatistic($A36,"Beta to Benchmark 1 Last 5 years",'PBA Summary'!$D$3,,,"m",'PBA Summary'!$F$2,'PBA Summary'!$G$2))</f>
        <v/>
      </c>
      <c r="AO36" s="25" cm="1">
        <f t="array" ref="AO36">IF('PBA Summary'!$D$2="","",_xll.ASAssetStatistic($A36,"Bull Beta to Benchmark 1",'PBA Summary'!$D$2,,,"m",'PBA Summary'!$F$2,'PBA Summary'!$G$2))</f>
        <v>1.0350636961518529</v>
      </c>
      <c r="AP36" s="25" cm="1">
        <f t="array" ref="AP36">IF('PBA Summary'!$D$2="","",_xll.ASAssetStatistic($A36,"Bear Beta to Benchmark 1",'PBA Summary'!$D$2,,,"m",'PBA Summary'!$F$2,'PBA Summary'!$G$2))</f>
        <v>0.84161779252355473</v>
      </c>
      <c r="AQ36" s="25" cm="1">
        <f t="array" ref="AQ36">IF('PBA Summary'!$D$3="","",_xll.ASAssetStatistic($A36,"Bull Beta to Benchmark 1",'PBA Summary'!$D$3,,,"m",'PBA Summary'!$F$2,'PBA Summary'!$G$2))</f>
        <v>1.0350636961518529</v>
      </c>
      <c r="AR36" s="25" cm="1">
        <f t="array" ref="AR36">IF('PBA Summary'!$D$3="","",_xll.ASAssetStatistic($A36,"Bear Beta to Benchmark 1",'PBA Summary'!$D$3,,,"m",'PBA Summary'!$F$2,'PBA Summary'!$G$2))</f>
        <v>0.84161779252355473</v>
      </c>
      <c r="AS36" s="25" cm="1">
        <f t="array" ref="AS36">_xll.ASAssetStatistic($A36,"Annual Sharpe Ratio (Rf)",,,'PBA Summary'!$H$2,"m",'PBA Summary'!$F$2,'PBA Summary'!$G$2)</f>
        <v>1.5346462727678207</v>
      </c>
      <c r="AT36" s="25" t="str" cm="1">
        <f t="array" ref="AT36">_xll.ASAssetStatistic($A36,"Annual Sharpe Ratio (Rf) Last 3 years",,,'PBA Summary'!$H$2,"m",'PBA Summary'!$F$2,'PBA Summary'!$G$2)</f>
        <v/>
      </c>
      <c r="AU36" s="25" t="str" cm="1">
        <f t="array" ref="AU36">_xll.ASAssetStatistic($A36,"Annual Sharpe Ratio (Rf) Last 5 years",,,'PBA Summary'!$H$2,"m",'PBA Summary'!$F$2,'PBA Summary'!$G$2)</f>
        <v/>
      </c>
      <c r="AV36" s="18" cm="1">
        <f t="array" ref="AV36">_xll.ASAssetStatistic($A36,"Ann. Downside Deviation (vs 0%)",,,'PBA Summary'!$H$2,"m",'PBA Summary'!$F$2,'PBA Summary'!$G$2)</f>
        <v>7.4960472535182912E-2</v>
      </c>
      <c r="AW36" s="18" cm="1">
        <f t="array" ref="AW36">_xll.ASAssetStatistic($A36,"Ann. Downside Deviation (vs Rf)",,,'PBA Summary'!$H$2,"m",'PBA Summary'!$F$2,'PBA Summary'!$G$2)</f>
        <v>7.5251744004481105E-2</v>
      </c>
      <c r="AX36" s="39" cm="1">
        <f t="array" ref="AX36">_xll.ASAssetStatistic($A36,"Annual Treynor ratio",,,'PBA Summary'!$H$2,"m",'PBA Summary'!$F$2,'PBA Summary'!$G$2)</f>
        <v>9.5244479247518263E-2</v>
      </c>
      <c r="AY36" s="26" cm="1">
        <f t="array" ref="AY36">_xll.ASAssetStatistic($A36,"Annual Sortino Ratio (vs 0%)",,,'PBA Summary'!$H$2,"m",'PBA Summary'!$F$2,'PBA Summary'!$G$2)</f>
        <v>3.0721242724410773</v>
      </c>
      <c r="AZ36" s="26" cm="1">
        <f t="array" ref="AZ36">_xll.ASAssetStatistic($A36,"Annual Sortino Ratio (vs Rf)",,,'PBA Summary'!$H$2,"m",'PBA Summary'!$F$2,'PBA Summary'!$G$2)</f>
        <v>3.0270114023593102</v>
      </c>
      <c r="BA36" s="26" cm="1">
        <f t="array" ref="BA36">_xll.ASAssetStatistic($A36,"Sterling ratio",,,'PBA Summary'!$H$2,"m",'PBA Summary'!$F$2,'PBA Summary'!$G$2)</f>
        <v>1.5657553130455413</v>
      </c>
      <c r="BB36" s="26" cm="1">
        <f t="array" ref="BB36">_xll.ASAssetStatistic($A36,"Calmar ratio",,,'PBA Summary'!$H$2,"m",'PBA Summary'!$F$2,'PBA Summary'!$G$2)</f>
        <v>3.0290727846701921</v>
      </c>
      <c r="BC36" s="26" cm="1">
        <f t="array" ref="BC36">_xll.ASAssetStatistic($A36,"Hurst index",,,'PBA Summary'!$H$2,"m",'PBA Summary'!$F$2,'PBA Summary'!$G$2)</f>
        <v>0.301399827836203</v>
      </c>
      <c r="BD36" s="26" cm="1">
        <f t="array" ref="BD36">_xll.ASAssetStatistic($A36,"Omega (Threshold 1)",,,'PBA Summary'!$H$2,"m",'PBA Summary'!$F$2,'PBA Summary'!$G$2)</f>
        <v>3.0921551079663758</v>
      </c>
      <c r="BE36" s="26" cm="1">
        <f t="array" ref="BE36">_xll.ASAssetStatistic($A36,"Omega (Threshold 2)",,,'PBA Summary'!$H$2,"m",'PBA Summary'!$F$2,'PBA Summary'!$G$2)</f>
        <v>2.284786048429142</v>
      </c>
      <c r="BF36" s="26" cm="1">
        <f t="array" ref="BF36">_xll.ASAssetStatistic($A36,"Omega (Threshold 3)",,,'PBA Summary'!$H$2,"m",'PBA Summary'!$F$2,'PBA Summary'!$G$2)</f>
        <v>1.6802422722153441</v>
      </c>
      <c r="BG36" s="26" cm="1">
        <f t="array" ref="BG36">_xll.ASAssetStatistic($A36,"Omega (Threshold 4)",,,'PBA Summary'!$H$2,"m",'PBA Summary'!$F$2,'PBA Summary'!$G$2)</f>
        <v>1.2277041784252163</v>
      </c>
      <c r="BH36" s="26" cm="1">
        <f t="array" ref="BH36">_xll.ASAssetStatistic($A36,"Omega (Threshold 5)",,,'PBA Summary'!$H$2,"m",'PBA Summary'!$F$2,'PBA Summary'!$G$2)</f>
        <v>0.89690528333718378</v>
      </c>
      <c r="BI36" s="26" t="str" cm="1">
        <f t="array" ref="BI36">_xll.ASAssetStatistic($A36,"Autocorrelated (illiquid)",,,'PBA Summary'!$H$2,"m",'PBA Summary'!$F$2,'PBA Summary'!$G$2)</f>
        <v>No</v>
      </c>
      <c r="BJ36" s="27" cm="1">
        <f t="array" ref="BJ36">_xll.ASAssetStatistic($A36,"% months in Run Up",,,'PBA Summary'!$H$2,"m",'PBA Summary'!$F$2,'PBA Summary'!$G$2)</f>
        <v>0.73333333333333339</v>
      </c>
      <c r="BK36" s="27" cm="1">
        <f t="array" ref="BK36">_xll.ASAssetStatistic($A36,"% months in Drawdown",,,'PBA Summary'!$H$2,"m",'PBA Summary'!$F$2,'PBA Summary'!$G$2)</f>
        <v>0.26666666666666666</v>
      </c>
      <c r="BL36" s="18" cm="1">
        <f t="array" ref="BL36">IF('PBA Summary'!$D$2="","",_xll.ASAssetStatistic($A36,"Bull Beta to Benchmark 1",'PBA Summary'!$D$2,,,"m",'PBA Summary'!$F$2,'PBA Summary'!$G$2))</f>
        <v>1.0350636961518529</v>
      </c>
      <c r="BM36" s="18" cm="1">
        <f t="array" ref="BM36">IF('PBA Summary'!$D$2="","",_xll.ASAssetStatistic($A36,"Average return during bear Benchmark 1",'PBA Summary'!$D$2,,,"m",'PBA Summary'!$F$2,'PBA Summary'!$G$2))</f>
        <v>-2.0384221313764161E-2</v>
      </c>
      <c r="BN36" s="18" cm="1">
        <f t="array" ref="BN36">IF('PBA Summary'!$D$3="","",_xll.ASAssetStatistic($A36,"Average return during bull Benchmark 1",'PBA Summary'!$D$3,,,"m",'PBA Summary'!$F$2,'PBA Summary'!$G$2))</f>
        <v>3.2326538583813742E-2</v>
      </c>
      <c r="BO36" s="18" cm="1">
        <f t="array" ref="BO36">IF('PBA Summary'!$D$3="","",_xll.ASAssetStatistic($A36,"Average return during bear Benchmark 1",'PBA Summary'!$D$3,,,"m",'PBA Summary'!$F$2,'PBA Summary'!$G$2))</f>
        <v>-2.0384221313764161E-2</v>
      </c>
      <c r="BP36" s="27" cm="1">
        <f t="array" ref="BP36">_xll.ASAssetStatistic($A36,"Maximum consecutive gain",,,'PBA Summary'!$H$2,"m",'PBA Summary'!$F$2,'PBA Summary'!$G$2)</f>
        <v>0.15875081265149227</v>
      </c>
      <c r="BQ36" s="27" cm="1">
        <f t="array" ref="BQ36">_xll.ASAssetStatistic($A36,"Maximum consecutive loss",,,'PBA Summary'!$H$2,"m",'PBA Summary'!$F$2,'PBA Summary'!$G$2)</f>
        <v>-7.602586782148324E-2</v>
      </c>
      <c r="BR36" s="27" cm="1">
        <f t="array" ref="BR36">_xll.ASAssetStatistic($A36,"Max monthly gain",,,'PBA Summary'!$H$2,"m",'PBA Summary'!$F$2,'PBA Summary'!$G$2)</f>
        <v>9.2234396796597951E-2</v>
      </c>
      <c r="BS36" s="27" cm="1">
        <f t="array" ref="BS36">_xll.ASAssetStatistic($A36,"Max monthly loss",,,'PBA Summary'!$H$2,"m",'PBA Summary'!$F$2,'PBA Summary'!$G$2)</f>
        <v>-7.602586782148324E-2</v>
      </c>
      <c r="BT36" s="27" cm="1">
        <f t="array" ref="BT36">_xll.ASAssetStatistic($A36,"Max drawdown",,,'PBA Summary'!$H$2,"m",'PBA Summary'!$F$2,'PBA Summary'!$G$2)</f>
        <v>-7.602586782148324E-2</v>
      </c>
      <c r="BU36" s="28" cm="1">
        <f t="array" ref="BU36">_xll.ASAssetStatistic($A36,"Date Max drawdown",,,'PBA Summary'!$H$2,"m",'PBA Summary'!$F$2,'PBA Summary'!$G$2)</f>
        <v>43465</v>
      </c>
      <c r="BV36" s="28" cm="1">
        <f t="array" ref="BV36">_xll.ASAssetStatistic($A36,"Start Date Max Drawdown",,,'PBA Summary'!$H$2,"m",'PBA Summary'!$F$2,'PBA Summary'!$G$2)</f>
        <v>43465</v>
      </c>
      <c r="BW36" s="28" cm="1">
        <f t="array" ref="BW36">_xll.ASAssetStatistic($A36,"End Date Max Drawdown",,,'PBA Summary'!$H$2,"m",'PBA Summary'!$F$2,'PBA Summary'!$G$2)</f>
        <v>43496</v>
      </c>
      <c r="BX36" s="29" cm="1">
        <f t="array" ref="BX36">_xll.ASAssetStatistic($A36,"Max Time-under-water (months)",,,'PBA Summary'!$H$2,"m",'PBA Summary'!$F$2,'PBA Summary'!$G$2)</f>
        <v>2</v>
      </c>
      <c r="BY36" s="27" cm="1">
        <f t="array" ref="BY36">_xll.ASAssetStatistic($A36,"Max possible drawdown 99%",,,'PBA Summary'!$H$2,"m",'PBA Summary'!$F$2,'PBA Summary'!$G$2)</f>
        <v>-0.13595845498564071</v>
      </c>
      <c r="BZ36" s="27" cm="1">
        <f t="array" ref="BZ36">_xll.ASAssetStatistic($A36,"Max possible drawdown 99.9%",,,'PBA Summary'!$H$2,"m",'PBA Summary'!$F$2,'PBA Summary'!$G$2)</f>
        <v>-0.23990492367685479</v>
      </c>
      <c r="CA36" s="30" cm="1">
        <f t="array" ref="CA36">_xll.ASAssetStatistic($A36,"Max Possible Time-under-water 99% (months)",,,'PBA Summary'!$H$2,"m",'PBA Summary'!$F$2,'PBA Summary'!$G$2)</f>
        <v>29.765945278498126</v>
      </c>
      <c r="CB36" s="30" cm="1">
        <f t="array" ref="CB36">_xll.ASAssetStatistic($A36,"Max Possible Time-under-water 99.9% (months)",,,'PBA Summary'!$H$2,"m",'PBA Summary'!$F$2,'PBA Summary'!$G$2)</f>
        <v>52.523374371691162</v>
      </c>
      <c r="CC36" s="17" cm="1">
        <f t="array" ref="CC36">_xll.ASPortfolioReturnAttribution('PBA Summary'!$C$2,"OR",A36,"Last 1m",'PBA Summary'!$F$2,'PBA Summary'!$G$2)</f>
        <v>0</v>
      </c>
      <c r="CD36" s="11" t="str" cm="1">
        <f t="array" ref="CD36">_xll.ASAssetInfo($A36,"Strategy")</f>
        <v>Funds - Healthcare Index Long Only</v>
      </c>
      <c r="CE36" s="14" cm="1">
        <f t="array" ref="CE36">_xll.ASAssetInfo($A36,"Start Date")</f>
        <v>38845</v>
      </c>
      <c r="CF36" s="14" t="str" cm="1">
        <f t="array" ref="CF36">_xll.ASAssetRatings($A36,"Quantitative",0,0,0,0,0,'PBA Summary'!$F$2,'PBA Summary'!$G$2)</f>
        <v/>
      </c>
      <c r="CG36" s="14" t="str" cm="1">
        <f t="array" ref="CG36">_xll.ASAssetRatings($A36,"Qualitative",0,0,0,0,0,'PBA Summary'!$F$2,'PBA Summary'!$G$2)</f>
        <v/>
      </c>
      <c r="CH36" s="14" t="str" cm="1">
        <f t="array" ref="CH36">_xll.ASAssetRatings($A36,"Final",0,0,0,0,0,'PBA Summary'!$F$2,'PBA Summary'!$G$2)</f>
        <v/>
      </c>
      <c r="CI36" s="14" cm="1">
        <f t="array" ref="CI36">_xll.ASAssetInfo($A36,"Last Return Date")</f>
        <v>44134</v>
      </c>
      <c r="CJ36" s="14" t="str" cm="1">
        <f t="array" ref="CJ36">_xll.ASAssetInfo($A36,"Company Name")</f>
        <v>iShares ETFs/USA</v>
      </c>
      <c r="CK36" s="14" t="str" cm="1">
        <f t="array" ref="CK36">_xll.ASAssetInfo($A36,"Manager Name")</f>
        <v>Greg Savage</v>
      </c>
      <c r="CL36" s="14" t="str" cm="1">
        <f t="array" ref="CL36">_xll.ASAssetInfo($A36,"Address")</f>
        <v>BlackRock Fund Advisors. 400 Howard Street. San Francisco, CA 94105. USA</v>
      </c>
      <c r="CM36" s="14" t="str" cm="1">
        <f t="array" ref="CM36">_xll.ASAssetInfo($A36,"Phone Number")</f>
        <v>1-415-670-2000</v>
      </c>
      <c r="CN36" s="14" t="str" cm="1">
        <f t="array" ref="CN36">_xll.ASAssetInfo($A36,"Email")</f>
        <v/>
      </c>
      <c r="CO36" s="14" t="str" cm="1">
        <f t="array" ref="CO36">_xll.ASAssetInfo($A36,"Asset Type")</f>
        <v>Equities</v>
      </c>
      <c r="CP36" s="14" t="str" cm="1">
        <f t="array" ref="CP36">_xll.ASAssetInfo($A36,"Proprietary ID")</f>
        <v/>
      </c>
      <c r="CQ36" s="14" t="str" cm="1">
        <f t="array" ref="CQ36">_xll.ASAssetInfo($A36,"Country")</f>
        <v>United States of America</v>
      </c>
      <c r="CR36" s="14" t="str" cm="1">
        <f t="array" ref="CR36">_xll.ASAssetInfo($A36,"Currency")</f>
        <v>USD</v>
      </c>
      <c r="CS36" s="14" t="str" cm="1">
        <f t="array" ref="CS36">_xll.ASAssetInfo($A36,"Sub-Strategy")</f>
        <v>Medical Devices</v>
      </c>
      <c r="CT36" s="31" cm="1">
        <f t="array" ref="CT36">_xll.ASAssetInfo($A36,"Fund AUM (m)")</f>
        <v>8224.1919999999991</v>
      </c>
      <c r="CU36" s="31" t="str" cm="1">
        <f t="array" ref="CU36">_xll.ASAssetInfo($A36,"Status")</f>
        <v>Unknown</v>
      </c>
      <c r="CV36" s="31" t="str" cm="1">
        <f t="array" ref="CV36">_xll.ASAssetInfo($A36,"Redemption 1 Frequency")</f>
        <v>Daily</v>
      </c>
      <c r="CW36" s="31" t="str" cm="1">
        <f t="array" ref="CW36">_xll.ASAssetInfo($A36,"Redemption 2 Frequency")</f>
        <v>Unknown</v>
      </c>
      <c r="CX36" s="31" t="str" cm="1">
        <f t="array" ref="CX36">_xll.ASAssetInfo($A36,"Redemption 3 Frequency")</f>
        <v>Unknown</v>
      </c>
      <c r="CY36" s="31" t="str" cm="1">
        <f t="array" ref="CY36">_xll.ASAssetInfo($A36,"Notice Period")</f>
        <v/>
      </c>
      <c r="CZ36" s="15" t="str" cm="1">
        <f t="array" ref="CZ36">_xll.ASAssetInfo($A36,"Performance Fee")</f>
        <v/>
      </c>
      <c r="DA36" s="15" cm="1">
        <f t="array" ref="DA36">_xll.ASAssetInfo($A36,"Management Fee")</f>
        <v>4.3E-3</v>
      </c>
      <c r="DB36" s="15" t="str" cm="1">
        <f t="array" ref="DB36">_xll.ASAssetInfo($A36,"ISIN")</f>
        <v>US4642888105</v>
      </c>
      <c r="DC36" s="16" cm="1">
        <f t="array" ref="DC36">_xll.ASAssetStatistic($A36,"Return during " &amp;YEAR(EOMONTH('PBA Summary'!$G$2,-60)),,,,"M",DATE(YEAR(EOMONTH('PBA Summary'!$G$2,-60)),1,31),DATE(YEAR(EOMONTH('PBA Summary'!$G$2,-60)),12,31))</f>
        <v>9.6903037322593866E-2</v>
      </c>
      <c r="DD36" s="16" cm="1">
        <f t="array" ref="DD36">_xll.ASAssetStatistic($A36,"Return during " &amp;YEAR(EOMONTH('PBA Summary'!$G$2,-48)),,,,"M",DATE(YEAR(EOMONTH('PBA Summary'!$G$2,-48)),1,31),DATE(YEAR(EOMONTH('PBA Summary'!$G$2,-48)),12,31))</f>
        <v>9.3042753994916128E-2</v>
      </c>
      <c r="DE36" s="16" cm="1">
        <f t="array" ref="DE36">_xll.ASAssetStatistic($A36,"Return during " &amp;YEAR(EOMONTH('PBA Summary'!$G$2,-36)),,,,"M",DATE(YEAR(EOMONTH('PBA Summary'!$G$2,-36)),1,31),DATE(YEAR(EOMONTH('PBA Summary'!$G$2,-36)),12,31))</f>
        <v>0.30812607641549961</v>
      </c>
      <c r="DF36" s="16" cm="1">
        <f t="array" ref="DF36">_xll.ASAssetStatistic($A36,"Return during " &amp;YEAR(EOMONTH('PBA Summary'!$G$2,-24)),,,,"M",DATE(YEAR(EOMONTH('PBA Summary'!$G$2,-24)),1,31),DATE(YEAR(EOMONTH('PBA Summary'!$G$2,-24)),12,31))</f>
        <v>0.15456119109171973</v>
      </c>
      <c r="DG36" s="16" cm="1">
        <f t="array" ref="DG36">_xll.ASAssetStatistic($A36,"Return during " &amp;YEAR(EOMONTH('PBA Summary'!$G$2,-12)),,,,"M",DATE(YEAR(EOMONTH('PBA Summary'!$G$2,-12)),1,31),DATE(YEAR(EOMONTH('PBA Summary'!$G$2,-12)),12,31))</f>
        <v>0.32749019806261792</v>
      </c>
      <c r="DH36" s="11" t="str" cm="1">
        <f t="array" ref="DH36">_xll.ASAssetInfo($A36,"Prime Broker")</f>
        <v/>
      </c>
      <c r="DI36" s="16" cm="1">
        <f t="array" ref="DI36">_xll.ASAssetStatistic($A36,"Return",,,,"m",'PBA Summary'!$F$2,'PBA Summary'!$G$2)</f>
        <v>0.29571186359428459</v>
      </c>
      <c r="DJ36" s="33" cm="1">
        <f t="array" ref="DJ36">IF('PBA Summary'!$D$2="","",_xll.ASAssetStatistic($A36,"Ann. Information Ratio vs Benchmark 1",'PBA Summary'!$D$2,,,"m",'PBA Summary'!$F$2,'PBA Summary'!$G$2))</f>
        <v>0.60320246423950974</v>
      </c>
      <c r="DK36" s="33" cm="1">
        <f t="array" ref="DK36">IF('PBA Summary'!$D$3="","",_xll.ASAssetStatistic($A36,"Ann. Information Ratio vs Benchmark 1",'PBA Summary'!$D$3,,,"m",'PBA Summary'!$F$2,'PBA Summary'!$G$2))</f>
        <v>0.60320246423950974</v>
      </c>
      <c r="DL36" s="33" cm="1">
        <f t="array" ref="DL36">IF('PBA Summary'!$D$2="","",_xll.ASAssetStatistic($A36,"Ann. Tracking Error vs Benchmark 1",'PBA Summary'!$D$2,,,"m",'PBA Summary'!$F$2,'PBA Summary'!$G$2))</f>
        <v>9.6112924530926569E-2</v>
      </c>
      <c r="DM36" s="33" cm="1">
        <f t="array" ref="DM36">IF('PBA Summary'!$D$3="","",_xll.ASAssetStatistic($A36,"Ann. Tracking Error vs Benchmark 1",'PBA Summary'!$D$3,,,"m",'PBA Summary'!$F$2,'PBA Summary'!$G$2))</f>
        <v>9.6112924530926569E-2</v>
      </c>
      <c r="DN36" s="33" cm="1">
        <f t="array" ref="DN36">IF('PBA Summary'!$D$2="","",_xll.ASAssetStatistic($A36,"R² vs Benchmark 1",'PBA Summary'!$D$2,,,"m",'PBA Summary'!$F$2,'PBA Summary'!$G$2))</f>
        <v>0.63660941564519591</v>
      </c>
      <c r="DO36" s="33" cm="1">
        <f t="array" ref="DO36">IF('PBA Summary'!$D$3="","",_xll.ASAssetStatistic($A36,"R² vs Benchmark 1",'PBA Summary'!$D$3,,,"m",'PBA Summary'!$F$2,'PBA Summary'!$G$2))</f>
        <v>0.63660941564519591</v>
      </c>
      <c r="DP36" s="11" t="str" cm="1">
        <f t="array" ref="DP36">_xll.ASAssetInfo($A36,"On-/Offshore")</f>
        <v>Unknown</v>
      </c>
      <c r="DQ36" s="16" cm="1">
        <f t="array" ref="DQ36">_xll.ASAssetStatistic($A36,"Quarter-to-date",,,,"m",'PBA Summary'!$F$2,'PBA Summary'!$G$2)</f>
        <v>1.059299179744233E-3</v>
      </c>
      <c r="DR36" s="16" cm="1">
        <f t="array" ref="DR36">_xll.ASAssetStatistic($A36,"Annualized Return Since inception",,,,"m",'PBA Summary'!$F$2,'PBA Summary'!$G$2)</f>
        <v>0.13564369360264994</v>
      </c>
      <c r="DS36" s="16" cm="1">
        <f t="array" ref="DS36">IF('PBA Summary'!$D$2="","",_xll.ASAssetStatistic($A36,"Ann. Bear Market Return vs Benchmark 1",'PBA Summary'!$D$2,,,"m",'PBA Summary'!$F$2,'PBA Summary'!$G$2))</f>
        <v>-0.2246808181975789</v>
      </c>
      <c r="DT36" s="16" cm="1">
        <f t="array" ref="DT36">IF('PBA Summary'!$D$2="","",_xll.ASAssetStatistic($A36,"Ann. Bull Market Return vs Benchmark 1",'PBA Summary'!$D$2,,,"m",'PBA Summary'!$F$2,'PBA Summary'!$G$2))</f>
        <v>0.45520900455790159</v>
      </c>
      <c r="DU36" s="16" cm="1">
        <f t="array" ref="DU36">IF('PBA Summary'!$D$3="","",_xll.ASAssetStatistic($A36,"Ann. Bear Market Return vs Benchmark 1",'PBA Summary'!$D$3,,,"m",'PBA Summary'!$F$2,'PBA Summary'!$G$2))</f>
        <v>-0.2246808181975789</v>
      </c>
      <c r="DV36" s="16" cm="1">
        <f t="array" ref="DV36">IF('PBA Summary'!$D$3="","",_xll.ASAssetStatistic($A36,"Ann. Bull Market Return vs Benchmark 1",'PBA Summary'!$D$3,,,"m",'PBA Summary'!$F$2,'PBA Summary'!$G$2))</f>
        <v>0.45520900455790159</v>
      </c>
      <c r="DW36" s="17" cm="1">
        <f t="array" ref="DW36">_xll.ASAssetStatistic($A36,"Average Positive Return",,,,"m",'PBA Summary'!$F$2,'PBA Summary'!$G$2)</f>
        <v>3.6822434522924725E-2</v>
      </c>
      <c r="DX36" s="17" cm="1">
        <f t="array" ref="DX36">_xll.ASAssetStatistic($A36,"Average Negative Return",,,,"m",'PBA Summary'!$F$2,'PBA Summary'!$G$2)</f>
        <v>-3.2747935146319351E-2</v>
      </c>
      <c r="DY36" s="16" cm="1">
        <f t="array" ref="DY36">IF('PBA Summary'!$D$2="","",_xll.ASAssetStatistic($A36,"Outperformance vs Benchmark 1",'PBA Summary'!$D$2,,,"m",'PBA Summary'!$F$2,'PBA Summary'!$G$2))</f>
        <v>7.5868218785565933E-2</v>
      </c>
      <c r="DZ36" s="16" cm="1">
        <f t="array" ref="DZ36">IF('PBA Summary'!$D$3="","",_xll.ASAssetStatistic($A36,"Outperformance vs Benchmark 1",'PBA Summary'!$D$3,,,"m",'PBA Summary'!$F$2,'PBA Summary'!$G$2))</f>
        <v>7.5868218785565933E-2</v>
      </c>
      <c r="EA36" s="16" cm="1">
        <f t="array" ref="EA36">IF('PBA Summary'!$D$2="","",_xll.ASAssetStatistic($A36,"Annual Outperformance vs Benchmark 1",'PBA Summary'!$D$2,,,"m",'PBA Summary'!$F$2,'PBA Summary'!$G$2))</f>
        <v>5.7975552922320928E-2</v>
      </c>
      <c r="EB36" s="16" cm="1">
        <f t="array" ref="EB36">IF('PBA Summary'!$D$3="","",_xll.ASAssetStatistic($A36,"Annual Outperformance vs Benchmark 1",'PBA Summary'!$D$3,,,"m",'PBA Summary'!$F$2,'PBA Summary'!$G$2))</f>
        <v>5.7975552922320928E-2</v>
      </c>
      <c r="EC36" s="32" cm="1">
        <f t="array" ref="EC36">_xll.ASAssetStatistic($A36,"Rachev Ratio 99%",,,,"m",'PBA Summary'!$F$2,'PBA Summary'!$G$2)</f>
        <v>-1.2131975528799492</v>
      </c>
      <c r="ED36" s="32" cm="1">
        <f t="array" ref="ED36">_xll.ASAssetStatistic($A36,"Rachev Ratio 97%",,,,"m",'PBA Summary'!$F$2,'PBA Summary'!$G$2)</f>
        <v>-1.2131975528799492</v>
      </c>
      <c r="EE36" s="32" cm="1">
        <f t="array" ref="EE36">_xll.ASAssetStatistic($A36,"Rachev Ratio 95%",,,,"m",'PBA Summary'!$F$2,'PBA Summary'!$G$2)</f>
        <v>-1.2131975528799492</v>
      </c>
      <c r="EF36" s="32" cm="1">
        <f t="array" ref="EF36">_xll.ASAssetStatistic($A36,"Rachev Ratio 90%",,,,"m",'PBA Summary'!$F$2,'PBA Summary'!$G$2)</f>
        <v>-1.6203593150101616</v>
      </c>
      <c r="EG36" s="34" cm="1">
        <f t="array" ref="EG36">IF('PBA Summary'!$D$2="","",_xll.ASAssetStatistic($A36,"Annual Up Capture vs Benchmark 1",'PBA Summary'!$D$2,,,"m",'PBA Summary'!$F$2,'PBA Summary'!$G$2))</f>
        <v>0.89925312224577014</v>
      </c>
      <c r="EH36" s="34" cm="1">
        <f t="array" ref="EH36">IF('PBA Summary'!$D$3="","",_xll.ASAssetStatistic($A36,"Annual Up Capture vs Benchmark 1",'PBA Summary'!$D$3,,,"m",'PBA Summary'!$F$2,'PBA Summary'!$G$2))</f>
        <v>0.89925312224577014</v>
      </c>
      <c r="EI36" s="34" cm="1">
        <f t="array" ref="EI36">IF('PBA Summary'!$D$2="","",_xll.ASAssetStatistic($A36,"Annual Down Capture vs Benchmark 1",'PBA Summary'!$D$2,,,"m",'PBA Summary'!$F$2,'PBA Summary'!$G$2))</f>
        <v>0.54597300989426212</v>
      </c>
      <c r="EJ36" s="34" cm="1">
        <f t="array" ref="EJ36">IF('PBA Summary'!$D$3="","",_xll.ASAssetStatistic($A36,"Annual Down Capture vs Benchmark 1",'PBA Summary'!$D$3,,,"m",'PBA Summary'!$F$2,'PBA Summary'!$G$2))</f>
        <v>0.54597300989426212</v>
      </c>
      <c r="EK36" s="16" cm="1">
        <f t="array" ref="EK36">IF('PBA Summary'!$D$2="","",_xll.ASAssetStatistic($A36,"Ann. Tracking Error vs Benchmark 1",'PBA Summary'!$D$2,,,"m",'PBA Summary'!$F$2,'PBA Summary'!$G$2))</f>
        <v>9.6112924530926569E-2</v>
      </c>
      <c r="EL36" s="16" cm="1">
        <f t="array" ref="EL36">IF('PBA Summary'!$D$3="","",_xll.ASAssetStatistic($A36,"Ann. Tracking Error vs Benchmark 1",'PBA Summary'!$D$3,,,"m",'PBA Summary'!$F$2,'PBA Summary'!$G$2))</f>
        <v>9.6112924530926569E-2</v>
      </c>
      <c r="EM36" s="16" cm="1">
        <f t="array" ref="EM36">IF('PBA Summary'!$D$2="","",_xll.ASAssetStatistic($A36,"Annual Jensen Alpha vs Benchmark 1 (Rf)",'PBA Summary'!$D$2,,,"m",'PBA Summary'!$F$2,'PBA Summary'!$G$2))</f>
        <v>9.6793758479358227E-2</v>
      </c>
      <c r="EN36" s="16" cm="1">
        <f t="array" ref="EN36">IF('PBA Summary'!$D$3="","",_xll.ASAssetStatistic($A36,"Annual Jensen Alpha vs Benchmark 1 (Rf)",'PBA Summary'!$D$3,,,"m",'PBA Summary'!$F$2,'PBA Summary'!$G$2))</f>
        <v>9.6793758479358227E-2</v>
      </c>
      <c r="EO36" s="33" cm="1">
        <f t="array" ref="EO36">IF('PBA Summary'!$D$2="","",_xll.ASAssetStatistic($A36,"Ann. Information Ratio vs Benchmark 1",'PBA Summary'!$D$2,,,"m",'PBA Summary'!$F$2,'PBA Summary'!$G$2))</f>
        <v>0.60320246423950974</v>
      </c>
      <c r="EP36" s="33" cm="1">
        <f t="array" ref="EP36">IF('PBA Summary'!$D$3="","",_xll.ASAssetStatistic($A36,"Ann. Information Ratio vs Benchmark 1",'PBA Summary'!$D$3,,,"m",'PBA Summary'!$F$2,'PBA Summary'!$G$2))</f>
        <v>0.60320246423950974</v>
      </c>
      <c r="EQ36" s="17" cm="1">
        <f t="array" ref="EQ36">IF('PBA Summary'!$D$2="","",_xll.ASAssetStatistic($A36,"Alpha Monthly vs Benchmark 1",'PBA Summary'!$D$2,,,"m",'PBA Summary'!$F$2,'PBA Summary'!$G$2))</f>
        <v>7.2643291394234016E-3</v>
      </c>
      <c r="ER36" s="17" cm="1">
        <f t="array" ref="ER36">IF('PBA Summary'!$D$3="","",_xll.ASAssetStatistic($A36,"Alpha Monthly vs Benchmark 1",'PBA Summary'!$D$3,,,"m",'PBA Summary'!$F$2,'PBA Summary'!$G$2))</f>
        <v>7.2643291394234016E-3</v>
      </c>
      <c r="ES36" s="11" t="str" cm="1">
        <f t="array" ref="ES36">_xll.ASAssetInfo($A36,"Company AUM (m)")</f>
        <v/>
      </c>
      <c r="ET36" s="16" cm="1">
        <f t="array" ref="ET36">_xll.ASAssetStatistic($A36,"Exponential Annualized Volatility",,,,"m",'PBA Summary'!$F$2,'PBA Summary'!$G$2)</f>
        <v>0.12375271532121768</v>
      </c>
      <c r="EU36" s="16" cm="1">
        <f t="array" ref="EU36">_xll.ASAssetStatistic($A36,"Exponential Annualized Volatility Last 1 year",,,,"m",'PBA Summary'!$F$2,'PBA Summary'!$G$2)</f>
        <v>0.1028959714754199</v>
      </c>
      <c r="EV36" s="16" t="str" cm="1">
        <f t="array" ref="EV36">_xll.ASAssetStatistic($A36,"Exponential Annualized Volatility Last 3 years",,,,"m",'PBA Summary'!$F$2,'PBA Summary'!$G$2)</f>
        <v/>
      </c>
      <c r="EW36" s="34" cm="1">
        <f t="array" ref="EW36">IF('PBA Summary'!$D$2="","",_xll.ASAssetStatistic($A36,"Exponential Correlation to Benchmark 1",'PBA Summary'!$D$2,,,"m",'PBA Summary'!$F$2,'PBA Summary'!$G$2))</f>
        <v>0.69834722242943803</v>
      </c>
      <c r="EX36" s="34" cm="1">
        <f t="array" ref="EX36">IF('PBA Summary'!$D$3="","",_xll.ASAssetStatistic($A36,"Exponential Correlation to Benchmark 1",'PBA Summary'!$D$3,,,"m",'PBA Summary'!$F$2,'PBA Summary'!$G$2))</f>
        <v>0.69834722242943803</v>
      </c>
      <c r="EY36" s="34" cm="1">
        <f t="array" ref="EY36">_xll.ASAssetStatistic($A36,"Exponential Annual Sharpe Ratio (Rf)",,,,"m",'PBA Summary'!$F$2,'PBA Summary'!$G$2)</f>
        <v>1.8245667073053096</v>
      </c>
      <c r="EZ36" s="34" cm="1">
        <f t="array" ref="EZ36">_xll.ASAssetStatistic($A36,"Exponential Normal Monthly VaR 99%",,,,"m",'PBA Summary'!$F$2,'PBA Summary'!$G$2)</f>
        <v>-6.5823975326399164E-2</v>
      </c>
      <c r="FA36" s="34" cm="1">
        <f t="array" ref="FA36">_xll.ASAssetStatistic($A36,"Exponential Normal Monthly VaR 97%",,,,"m",'PBA Summary'!$F$2,'PBA Summary'!$G$2)</f>
        <v>-4.9906846918318107E-2</v>
      </c>
      <c r="FB36" s="34" cm="1">
        <f t="array" ref="FB36">_xll.ASAssetStatistic($A36,"Exponential Normal Monthly VaR 95%",,,,"m",'PBA Summary'!$F$2,'PBA Summary'!$G$2)</f>
        <v>-4.1478048756417613E-2</v>
      </c>
      <c r="FC36" s="34" cm="1">
        <f t="array" ref="FC36">_xll.ASAssetStatistic($A36,"Exponential Normal Monthly VaR 90%",,,,"m",'PBA Summary'!$F$2,'PBA Summary'!$G$2)</f>
        <v>-2.8499325388596241E-2</v>
      </c>
      <c r="FD36" s="34" t="str" cm="1">
        <f t="array" ref="FD36">_xll.ASAssetStatistic($A36,"Exponential Normal weekly VaR 99%",,,,"m",'PBA Summary'!$F$2,'PBA Summary'!$G$2)</f>
        <v/>
      </c>
      <c r="FE36" s="34" t="str" cm="1">
        <f t="array" ref="FE36">_xll.ASAssetStatistic($A36,"Exponential Normal weekly VaR 97%",,,,"m",'PBA Summary'!$F$2,'PBA Summary'!$G$2)</f>
        <v/>
      </c>
      <c r="FF36" s="34" t="str" cm="1">
        <f t="array" ref="FF36">_xll.ASAssetStatistic($A36,"Exponential Normal weekly VaR 95%",,,,"m",'PBA Summary'!$F$2,'PBA Summary'!$G$2)</f>
        <v/>
      </c>
      <c r="FG36" s="34" t="str" cm="1">
        <f t="array" ref="FG36">_xll.ASAssetStatistic($A36,"Exponential Normal weekly VaR 90%",,,,"m",'PBA Summary'!$F$2,'PBA Summary'!$G$2)</f>
        <v/>
      </c>
      <c r="FH36" s="34" t="str" cm="1">
        <f t="array" ref="FH36">_xll.ASAssetStatistic($A36,"Exponential Normal daily VaR 99%",,,,"m",'PBA Summary'!$F$2,'PBA Summary'!$G$2)</f>
        <v/>
      </c>
      <c r="FI36" s="34" t="str" cm="1">
        <f t="array" ref="FI36">_xll.ASAssetStatistic($A36,"Exponential Normal daily VaR 97%",,,,"m",'PBA Summary'!$F$2,'PBA Summary'!$G$2)</f>
        <v/>
      </c>
      <c r="FJ36" s="34" t="str" cm="1">
        <f t="array" ref="FJ36">_xll.ASAssetStatistic($A36,"Exponential Normal daily VaR 95%",,,,"m",'PBA Summary'!$F$2,'PBA Summary'!$G$2)</f>
        <v/>
      </c>
      <c r="FK36" s="34" t="str" cm="1">
        <f t="array" ref="FK36">_xll.ASAssetStatistic($A36,"Exponential Normal daily VaR 90%",,,,"m",'PBA Summary'!$F$2,'PBA Summary'!$G$2)</f>
        <v/>
      </c>
      <c r="FL36" s="34" cm="1">
        <f t="array" ref="FL36">_xll.ASAssetStatistic($A36,"Bias Ratio",,,,"m",'PBA Summary'!$F$2,'PBA Summary'!$G$2)</f>
        <v>1.5</v>
      </c>
      <c r="FM36" s="11" t="str" cm="1">
        <f t="array" ref="FM36">_xll.ASAssetInfo($A36,"Manager's Biography")</f>
        <v/>
      </c>
      <c r="FN36" s="11" cm="1">
        <f t="array" ref="FN36">_xll.ASAssetInfo($A36,"Investment Min")</f>
        <v>0</v>
      </c>
      <c r="FO36" s="11" t="str" cm="1">
        <f t="array" ref="FO36">_xll.ASAssetInfo($A36,"Auditor")</f>
        <v>PricewaterhouseCoopers LLP</v>
      </c>
      <c r="FP36" s="11" t="str" cm="1">
        <f t="array" ref="FP36">_xll.ASAssetInfo($A36,"Custodian")</f>
        <v>State Street Bank &amp; Trust Co</v>
      </c>
      <c r="FQ36" s="11" t="str" cm="1">
        <f t="array" ref="FQ36">_xll.ASAssetInfo($A36,"Administrator")</f>
        <v>State Street Bank &amp; Trust Co</v>
      </c>
      <c r="FR36" s="14" t="str" cm="1">
        <f t="array" ref="FR36">_xll.ASAssetInfo($A36,"Proxy 1 Start Date")</f>
        <v/>
      </c>
      <c r="FS36" s="14" t="str" cm="1">
        <f t="array" ref="FS36">_xll.ASAssetInfo($A36,"Proxy 1 End Date")</f>
        <v/>
      </c>
      <c r="FT36" s="14" t="str" cm="1">
        <f t="array" ref="FT36">_xll.ASAssetInfo($A36,"Proxy 2 Start Date")</f>
        <v/>
      </c>
      <c r="FU36" s="14" t="str" cm="1">
        <f t="array" ref="FU36">_xll.ASAssetInfo($A36,"Proxy 2 End Date")</f>
        <v/>
      </c>
      <c r="FV36" s="14" t="str" cm="1">
        <f t="array" ref="FV36">_xll.ASAssetInfo($A36,"Proxy 3 Start Date")</f>
        <v/>
      </c>
      <c r="FW36" s="14" t="str" cm="1">
        <f t="array" ref="FW36">_xll.ASAssetInfo($A36,"Proxy 3 End Date")</f>
        <v/>
      </c>
      <c r="FX36" s="14" t="str" cm="1">
        <f t="array" ref="FX36">_xll.ASAssetInfo($A36,"Fund Domicile")</f>
        <v>US</v>
      </c>
      <c r="FY36" s="14" t="str" cm="1">
        <f t="array" ref="FY36">_xll.ASAssetInfo($A36,"Fund Contact")</f>
        <v/>
      </c>
      <c r="FZ36" s="14" t="str" cm="1">
        <f t="array" ref="FZ36">_xll.ASAssetInfo($A36,"Fund Contact Email")</f>
        <v/>
      </c>
      <c r="GA36" s="14" t="str" cm="1">
        <f t="array" ref="GA36">_xll.ASAssetInfo($A36,"Fund Contact Number")</f>
        <v/>
      </c>
      <c r="GB36" s="14" t="str" cm="1">
        <f t="array" ref="GB36">_xll.ASAssetInfo($A36,"City")</f>
        <v>San Francisco</v>
      </c>
      <c r="GC36" s="14" t="str" cm="1">
        <f t="array" ref="GC36">_xll.ASAssetInfo($A36,"Leverage")</f>
        <v>N</v>
      </c>
      <c r="GD36" s="14" t="str" cm="1">
        <f t="array" ref="GD36">_xll.ASAssetInfo($A36,"Lockup 1 Duration")</f>
        <v>0 Months</v>
      </c>
      <c r="GE36" s="14" t="str" cm="1">
        <f t="array" ref="GE36">_xll.ASAssetInfo($A36,"Lockup 2 Duration")</f>
        <v>0 Months</v>
      </c>
      <c r="GF36" s="14" t="str" cm="1">
        <f t="array" ref="GF36">_xll.ASAssetInfo($A36,"Lockup 3 Duration")</f>
        <v>0 Months</v>
      </c>
      <c r="GG36" s="31" t="str" cm="1">
        <f t="array" ref="GG36">_xll.ASAssetInfo($A36,"Fund Level Gate")</f>
        <v/>
      </c>
      <c r="GH36" s="31" t="str" cm="1">
        <f t="array" ref="GH36">_xll.ASAssetInfo($A36,"Fund Level Gate Frequency")</f>
        <v>Unknown</v>
      </c>
      <c r="GI36" s="35" cm="1">
        <f t="array" ref="GI36">_xll.ASAssetInfo($A36,"Payment 2 (%)")</f>
        <v>0</v>
      </c>
      <c r="GJ36" s="35" t="str" cm="1">
        <f t="array" ref="GJ36">_xll.ASAssetInfo($A36,"Payment 2 (days)")</f>
        <v/>
      </c>
      <c r="GK36" s="35" t="str" cm="1">
        <f t="array" ref="GK36">_xll.ASAssetInfo($A36,"Payment 2 (Paid After)")</f>
        <v>NAV Date</v>
      </c>
      <c r="GL36" s="35" cm="1">
        <f t="array" ref="GL36">_xll.ASAssetInfo($A36,"Payment 3 (%)")</f>
        <v>0</v>
      </c>
      <c r="GM36" s="36" t="str" cm="1">
        <f t="array" ref="GM36">_xll.ASAssetInfo($A36,"Payment 3 (Days)")</f>
        <v/>
      </c>
      <c r="GN36" s="35" t="str" cm="1">
        <f t="array" ref="GN36">_xll.ASAssetInfo($A36,"Payment 3 (Paid After)")</f>
        <v>NAV Date</v>
      </c>
      <c r="GO36" s="35" cm="1">
        <f t="array" ref="GO36">_xll.ASAssetInfo($A36,"Payment 4 (%)")</f>
        <v>0</v>
      </c>
      <c r="GP36" s="36" t="str" cm="1">
        <f t="array" ref="GP36">_xll.ASAssetInfo($A36,"Payment 4 (days)")</f>
        <v/>
      </c>
      <c r="GQ36" s="35" t="str" cm="1">
        <f t="array" ref="GQ36">_xll.ASAssetInfo($A36,"Payment 4 (Paid After)")</f>
        <v>NAV Date</v>
      </c>
      <c r="GR36" s="11" cm="1">
        <f t="array" ref="GR36">_xll.ASAssetInfo($A36,"Payment 1 (%)")</f>
        <v>1</v>
      </c>
      <c r="GS36" s="35" cm="1">
        <f t="array" ref="GS36">_xll.ASAssetInfo($A36,"Lockup 1 Fee")</f>
        <v>0</v>
      </c>
      <c r="GT36" s="35" cm="1">
        <f t="array" ref="GT36">_xll.ASAssetInfo($A36,"Lockup 2 Fee")</f>
        <v>0</v>
      </c>
      <c r="GU36" s="35" cm="1">
        <f t="array" ref="GU36">_xll.ASAssetInfo($A36,"Lockup 3 Fee")</f>
        <v>0</v>
      </c>
      <c r="GV36" s="35" t="str" cm="1">
        <f t="array" ref="GV36">_xll.ASAssetInfo($A36,"Lockup 1 type")</f>
        <v>None</v>
      </c>
      <c r="GW36" s="35" t="str" cm="1">
        <f t="array" ref="GW36">_xll.ASAssetInfo($A36,"Lockup 2 type")</f>
        <v>None</v>
      </c>
      <c r="GX36" s="35" t="str" cm="1">
        <f t="array" ref="GX36">_xll.ASAssetInfo($A36,"Lockup 3 type")</f>
        <v>None</v>
      </c>
      <c r="GY36" s="35" t="str" cm="1">
        <f t="array" ref="GY36">_xll.ASAssetInfo($A36,"Redemption 1 type")</f>
        <v>Calendar</v>
      </c>
      <c r="GZ36" s="35" t="str" cm="1">
        <f t="array" ref="GZ36">_xll.ASAssetInfo($A36,"Redemption 2 type")</f>
        <v>Calendar</v>
      </c>
      <c r="HA36" s="35" t="str" cm="1">
        <f t="array" ref="HA36">_xll.ASAssetInfo($A36,"Redemption 3 type")</f>
        <v>Calendar</v>
      </c>
      <c r="HB36" s="35" t="str" cm="1">
        <f t="array" ref="HB36">_xll.ASAssetInfo($A36,"Redemption 1 Fee")</f>
        <v/>
      </c>
      <c r="HC36" s="35" t="str" cm="1">
        <f t="array" ref="HC36">_xll.ASAssetInfo($A36,"Redemption 2 Fee")</f>
        <v/>
      </c>
      <c r="HD36" s="35" t="str" cm="1">
        <f t="array" ref="HD36">_xll.ASAssetInfo($A36,"Redemption 3 Fee")</f>
        <v/>
      </c>
      <c r="HE36" s="35" t="str" cm="1">
        <f t="array" ref="HE36">_xll.ASAssetInfo($A36,"Redemption 1 Frequency")</f>
        <v>Daily</v>
      </c>
      <c r="HF36" s="35" t="str" cm="1">
        <f t="array" ref="HF36">_xll.ASAssetInfo($A36,"Redemption 2 Frequency")</f>
        <v>Unknown</v>
      </c>
      <c r="HG36" s="35" t="str" cm="1">
        <f t="array" ref="HG36">_xll.ASAssetInfo($A36,"Redemption 3 Frequency")</f>
        <v>Unknown</v>
      </c>
      <c r="HH36" s="35" t="str" cm="1">
        <f t="array" ref="HH36">_xll.ASAssetInfo($A36,"Asset Calendar")</f>
        <v>[Default]</v>
      </c>
      <c r="HI36" s="16" cm="1">
        <f t="array" ref="HI36">_xll.ASAssetStatistic($A36,"Max Second Drawdown",,,,"m",'PBA Summary'!$F$2,'PBA Summary'!$G$2)</f>
        <v>-4.7077825781766891E-2</v>
      </c>
      <c r="HJ36" s="37" cm="1">
        <f t="array" ref="HJ36">_xll.ASAssetStatistic($A36,"Date Max Second Drawdown",,,,"m",'PBA Summary'!$F$2,'PBA Summary'!$G$2)</f>
        <v>43616</v>
      </c>
      <c r="HK36" s="37"/>
      <c r="HL36" s="37" t="str" cm="1">
        <f t="array" ref="HL36">_xll.ASAssetInfo($A36,HL$1)</f>
        <v/>
      </c>
      <c r="HM36" s="34" t="str" cm="1">
        <f t="array" ref="HM36">_xll.ASAssetInfo($A36,HM$1)</f>
        <v/>
      </c>
      <c r="HN36" s="37" t="str" cm="1">
        <f t="array" ref="HN36">_xll.ASAssetInfo($A36,HN$1)</f>
        <v/>
      </c>
      <c r="HO36" s="15" cm="1">
        <f t="array" ref="HO36">_xll.ASAssetInfo($A36,HO$1)</f>
        <v>0</v>
      </c>
      <c r="HP36" s="15" t="str" cm="1">
        <f t="array" ref="HP36">_xll.ASAssetInfo($A36,HP$1)</f>
        <v/>
      </c>
      <c r="HQ36" s="34" t="str" cm="1">
        <f t="array" ref="HQ36">_xll.ASAssetInfo($A36,HQ$1)</f>
        <v/>
      </c>
      <c r="HR36" s="37" t="str" cm="1">
        <f t="array" ref="HR36">_xll.ASAssetInfo($A36,HR$1)</f>
        <v/>
      </c>
      <c r="HS36" s="37" t="str" cm="1">
        <f t="array" ref="HS36">_xll.ASAssetInfo($A36,HS$1)</f>
        <v/>
      </c>
      <c r="HT36" s="37" t="str" cm="1">
        <f t="array" ref="HT36">_xll.ASAssetInfo($A36,HT$1)</f>
        <v/>
      </c>
      <c r="HU36" s="37" t="str" cm="1">
        <f t="array" ref="HU36">_xll.ASAssetInfo($A36,HU$1)</f>
        <v>Americas</v>
      </c>
      <c r="HV36" s="37" t="str" cm="1">
        <f t="array" ref="HV36">_xll.ASAssetInfo($A36,HV$1)</f>
        <v>Health Care</v>
      </c>
      <c r="HW36" s="37" t="str" cm="1">
        <f t="array" ref="HW36">_xll.ASAssetInfo($A36,HW$1)</f>
        <v/>
      </c>
    </row>
    <row r="37" spans="1:231" s="11" customFormat="1" x14ac:dyDescent="0.25">
      <c r="A37" t="s">
        <v>304</v>
      </c>
      <c r="B37" cm="1">
        <f t="array" ref="B37">_xll.ASPortfolioWeights('PBA Summary'!$C$2,"OR",$A37)</f>
        <v>9.9999935096001635E-2</v>
      </c>
      <c r="C37" cm="1">
        <f t="array" ref="C37">_xll.ASAssetStatistic($A37,"Annualized Return since inception",,,,"m",_xll.ASAssetInfo($A37,"Start Date"),_xll.ASAssetInfo($A37,"Last Return Date"))</f>
        <v>2.5877646043717339E-2</v>
      </c>
      <c r="D37" cm="1">
        <f t="array" ref="D37">_xll.ASAssetStatistic($A37,"Annualized Return",,,,"m",'PBA Summary'!$F$2,'PBA Summary'!$G$2)</f>
        <v>7.777407567970851E-2</v>
      </c>
      <c r="E37" s="19" cm="1">
        <f t="array" ref="E37">_xll.ASAssetStatistic($A37,"Equilibrium Annual Return",,,,"m",'PBA Summary'!$F$2,'PBA Summary'!$G$2)</f>
        <v>9.2330225955868039E-2</v>
      </c>
      <c r="F37" cm="1">
        <f t="array" ref="F37">_xll.ASAssetStatistic($A37,"Annualized Volatility (Inception)",,,,"m",_xll.ASAssetInfo($A37,"Start Date"),_xll.ASAssetInfo($A37,"Last Return Date"))</f>
        <v>2.2859000981832172E-2</v>
      </c>
      <c r="G37" cm="1">
        <f t="array" ref="G37">_xll.ASAssetStatistic($A37,"Annualized Volatility",,,,"m",'PBA Summary'!$F$2,'PBA Summary'!$G$2)</f>
        <v>1.865222933240895E-2</v>
      </c>
      <c r="H37" s="20" cm="1">
        <f t="array" ref="H37">_xll.ASAssetStatistic($A37,"Skewness",,,,"m",'PBA Summary'!$F$2,'PBA Summary'!$G$2)</f>
        <v>4.810711691364037E-2</v>
      </c>
      <c r="I37" s="20" cm="1">
        <f t="array" ref="I37">_xll.ASAssetStatistic($A37,"Excess kurtosis",,,,"m",'PBA Summary'!$F$2,'PBA Summary'!$G$2)</f>
        <v>-1.5881996649179586</v>
      </c>
      <c r="J37" s="19" cm="1">
        <f t="array" ref="J37">_xll.ASAssetStatistic($A37,"Return Last 1 month",,,,"m",'PBA Summary'!$F$2,'PBA Summary'!$G$2)</f>
        <v>7.5687649990772154E-3</v>
      </c>
      <c r="K37" s="19" cm="1">
        <f t="array" ref="K37">_xll.ASAssetStatistic($A37,"Return Last 3 months",,,,"m",'PBA Summary'!$F$2,'PBA Summary'!$G$2)</f>
        <v>1.0460057391465272E-2</v>
      </c>
      <c r="L37" s="19" cm="1">
        <f t="array" ref="L37">_xll.ASAssetStatistic($A37,"Return Last 1 year",,,,"m",'PBA Summary'!$F$2,'PBA Summary'!$G$2)</f>
        <v>6.1000738696006529E-2</v>
      </c>
      <c r="M37" s="19" cm="1">
        <f t="array" ref="M37">_xll.ASAssetStatistic($A37,"Year-to-date Return",,,,"m",'PBA Summary'!$F$2,'PBA Summary'!$G$2)</f>
        <v>7.5687649990772154E-3</v>
      </c>
      <c r="N37" s="19" cm="1">
        <f t="array" ref="N37">_xll.ASAssetStatistic($A37,"Annualized Return",,,,"m",EOMONTH('PBA Summary'!$G$2,-2),'PBA Summary'!$G$2)</f>
        <v>4.2501296197514415E-2</v>
      </c>
      <c r="O37" s="19" t="str" cm="1">
        <f t="array" ref="O37">_xll.ASAssetStatistic($A37,"Annualized Return Last 3 years",,,,"m",'PBA Summary'!$F$2,'PBA Summary'!$G$2)</f>
        <v/>
      </c>
      <c r="P37" s="19" t="str" cm="1">
        <f t="array" ref="P37">_xll.ASAssetStatistic($A37,"Annualized Return Last 5 years",,,,"m",'PBA Summary'!$F$2,'PBA Summary'!$G$2)</f>
        <v/>
      </c>
      <c r="Q37" s="19" cm="1">
        <f t="array" ref="Q37">_xll.ASAssetStatistic($A37,"Annualized Volatility Last 1 year",,,,"m",'PBA Summary'!$F$2,'PBA Summary'!$G$2)</f>
        <v>1.7919089100258613E-2</v>
      </c>
      <c r="R37" s="19" t="str" cm="1">
        <f t="array" ref="R37">_xll.ASAssetStatistic($A37,"Annualized Volatility Last 3 years",,,,"m",'PBA Summary'!$F$2,'PBA Summary'!$G$2)</f>
        <v/>
      </c>
      <c r="S37" s="19" t="str" cm="1">
        <f t="array" ref="S37">_xll.ASAssetStatistic($A37,"Annualized Volatility Last 5 years",,,,"m",'PBA Summary'!$F$2,'PBA Summary'!$G$2)</f>
        <v/>
      </c>
      <c r="T37" s="19" cm="1">
        <f t="array" ref="T37">_xll.ASAssetStatistic($A37,"Normal monthly VaR 99%",,,,"m",'PBA Summary'!$F$2,'PBA Summary'!$G$2)</f>
        <v>-6.2516168759488072E-3</v>
      </c>
      <c r="U37" s="19" cm="1">
        <f t="array" ref="U37">_xll.ASAssetStatistic($A37,"Modified monthly VaR 99%",,,,"m",'PBA Summary'!$F$2,'PBA Summary'!$G$2)</f>
        <v>-4.0572094825500676E-3</v>
      </c>
      <c r="V37" s="19" cm="1">
        <f t="array" ref="V37">_xll.ASAssetStatistic($A37,"Conditional monthly VaR 99%",,,,"m",'PBA Summary'!$F$2,'PBA Summary'!$G$2)</f>
        <v>-6.109414051653772E-4</v>
      </c>
      <c r="W37" s="19" cm="1">
        <f t="array" ref="W37">_xll.ASAssetStatistic($A37,"Normal monthly VaR 97%",,,,"m",'PBA Summary'!$F$2,'PBA Summary'!$G$2)</f>
        <v>-3.8525589756004458E-3</v>
      </c>
      <c r="X37" s="19" cm="1">
        <f t="array" ref="X37">_xll.ASAssetStatistic($A37,"Modified monthly VaR 97%",,,,"m",'PBA Summary'!$F$2,'PBA Summary'!$G$2)</f>
        <v>-3.381534424046523E-3</v>
      </c>
      <c r="Y37" s="19" cm="1">
        <f t="array" ref="Y37">_xll.ASAssetStatistic($A37,"Conditional monthly VaR 97%",,,,"m",'PBA Summary'!$F$2,'PBA Summary'!$G$2)</f>
        <v>-6.109414051653772E-4</v>
      </c>
      <c r="Z37" s="19" cm="1">
        <f t="array" ref="Z37">_xll.ASAssetStatistic($A37,"Normal monthly VaR 95%",,,,"m",'PBA Summary'!$F$2,'PBA Summary'!$G$2)</f>
        <v>-2.582155527043546E-3</v>
      </c>
      <c r="AA37" s="19" cm="1">
        <f t="array" ref="AA37">_xll.ASAssetStatistic($A37,"Modified monthly VaR 95%",,,,"m",'PBA Summary'!$F$2,'PBA Summary'!$G$2)</f>
        <v>-2.6808672386450837E-3</v>
      </c>
      <c r="AB37" s="19" cm="1">
        <f t="array" ref="AB37">_xll.ASAssetStatistic($A37,"Conditional monthly VaR 95%",,,,"m",'PBA Summary'!$F$2,'PBA Summary'!$G$2)</f>
        <v>-6.109414051653772E-4</v>
      </c>
      <c r="AC37" s="66" cm="1">
        <f t="array" ref="AC37">_xll.ASAssetStatistic($A37,"Correlation to Benchmark 1","MSCI ACWI Index",,,"m",'PBA Summary'!$F$2,'PBA Summary'!$G$2)</f>
        <v>-0.26606182932589273</v>
      </c>
      <c r="AD37" s="38" cm="1">
        <f t="array" ref="AD37">IF('PBA Summary'!$D$3="","",_xll.ASAssetStatistic($A37,"Correlation to Benchmark 1",'PBA Summary'!$D$3,,,"m",'PBA Summary'!$F$2,'PBA Summary'!$G$2))</f>
        <v>-0.2954873941527934</v>
      </c>
      <c r="AE37" s="21" cm="1">
        <f t="array" ref="AE37">IF('PBA Summary'!$D$2="","",_xll.ASAssetStatistic($A37,"Bull correlation to Benchmark 1",'PBA Summary'!$D$2,,,"m",'PBA Summary'!$F$2,'PBA Summary'!$G$2))</f>
        <v>0.36089267364042643</v>
      </c>
      <c r="AF37" s="21" cm="1">
        <f t="array" ref="AF37">IF('PBA Summary'!$D$2="","",_xll.ASAssetStatistic($A37,"Bear correlation to Benchmark 1",'PBA Summary'!$D$2,,,"m",'PBA Summary'!$F$2,'PBA Summary'!$G$2))</f>
        <v>-0.93177397689638664</v>
      </c>
      <c r="AG37" s="21" cm="1">
        <f t="array" ref="AG37">IF('PBA Summary'!$D$3="","",_xll.ASAssetStatistic($A37,"Bull correlation to Benchmark 1",'PBA Summary'!$D$3,,,"m",'PBA Summary'!$F$2,'PBA Summary'!$G$2))</f>
        <v>0.36089267364042643</v>
      </c>
      <c r="AH37" s="21" cm="1">
        <f t="array" ref="AH37">IF('PBA Summary'!$D$3="","",_xll.ASAssetStatistic($A37,"Bear correlation to Benchmark 1",'PBA Summary'!$D$3,,,"m",'PBA Summary'!$F$2,'PBA Summary'!$G$2))</f>
        <v>-0.93177397689638664</v>
      </c>
      <c r="AI37" s="24" cm="1">
        <f t="array" ref="AI37">IF('PBA Summary'!$D$2="","",_xll.ASAssetStatistic($A37,"Beta to Benchmark 1",'PBA Summary'!$D$2,,,"m",'PBA Summary'!$F$2,'PBA Summary'!$G$2))</f>
        <v>-3.5899916385411332E-2</v>
      </c>
      <c r="AJ37" s="24" t="str" cm="1">
        <f t="array" ref="AJ37">IF('PBA Summary'!$D$2="","",_xll.ASAssetStatistic($A37,"Beta to Benchmark 1 Last 3 years",'PBA Summary'!$D$2,,,"m",'PBA Summary'!$F$2,'PBA Summary'!$G$2))</f>
        <v/>
      </c>
      <c r="AK37" s="24" t="str" cm="1">
        <f t="array" ref="AK37">IF('PBA Summary'!$D$2="","",_xll.ASAssetStatistic($A37,"Beta to Benchmark 1 Last 5 years",'PBA Summary'!$D$2,,,"m",'PBA Summary'!$F$2,'PBA Summary'!$G$2))</f>
        <v/>
      </c>
      <c r="AL37" s="25" cm="1">
        <f t="array" ref="AL37">IF('PBA Summary'!$D$3="","",_xll.ASAssetStatistic($A37,"Beta to Benchmark 1",'PBA Summary'!$D$3,,,"m",'PBA Summary'!$F$2,'PBA Summary'!$G$2))</f>
        <v>-3.5899916385411332E-2</v>
      </c>
      <c r="AM37" s="25" t="str" cm="1">
        <f t="array" ref="AM37">IF('PBA Summary'!$D$3="","",_xll.ASAssetStatistic($A37,"Beta to Benchmark 1 Last 3 years",'PBA Summary'!$D$3,,,"m",'PBA Summary'!$F$2,'PBA Summary'!$G$2))</f>
        <v/>
      </c>
      <c r="AN37" s="25" t="str" cm="1">
        <f t="array" ref="AN37">IF('PBA Summary'!$D$3="","",_xll.ASAssetStatistic($A37,"Beta to Benchmark 1 Last 5 years",'PBA Summary'!$D$3,,,"m",'PBA Summary'!$F$2,'PBA Summary'!$G$2))</f>
        <v/>
      </c>
      <c r="AO37" s="25" cm="1">
        <f t="array" ref="AO37">IF('PBA Summary'!$D$2="","",_xll.ASAssetStatistic($A37,"Bull Beta to Benchmark 1",'PBA Summary'!$D$2,,,"m",'PBA Summary'!$F$2,'PBA Summary'!$G$2))</f>
        <v>9.3430367491091973E-2</v>
      </c>
      <c r="AP37" s="25" cm="1">
        <f t="array" ref="AP37">IF('PBA Summary'!$D$2="","",_xll.ASAssetStatistic($A37,"Bear Beta to Benchmark 1",'PBA Summary'!$D$2,,,"m",'PBA Summary'!$F$2,'PBA Summary'!$G$2))</f>
        <v>-5.1534323612062553E-2</v>
      </c>
      <c r="AQ37" s="25" cm="1">
        <f t="array" ref="AQ37">IF('PBA Summary'!$D$3="","",_xll.ASAssetStatistic($A37,"Bull Beta to Benchmark 1",'PBA Summary'!$D$3,,,"m",'PBA Summary'!$F$2,'PBA Summary'!$G$2))</f>
        <v>9.3430367491091973E-2</v>
      </c>
      <c r="AR37" s="25" cm="1">
        <f t="array" ref="AR37">IF('PBA Summary'!$D$3="","",_xll.ASAssetStatistic($A37,"Bear Beta to Benchmark 1",'PBA Summary'!$D$3,,,"m",'PBA Summary'!$F$2,'PBA Summary'!$G$2))</f>
        <v>-5.1534323612062553E-2</v>
      </c>
      <c r="AS37" s="25" cm="1">
        <f t="array" ref="AS37">_xll.ASAssetStatistic($A37,"Annual Sharpe Ratio (Rf)",,,'PBA Summary'!$H$2,"m",'PBA Summary'!$F$2,'PBA Summary'!$G$2)</f>
        <v>4.0356610643274138</v>
      </c>
      <c r="AT37" s="25" t="str" cm="1">
        <f t="array" ref="AT37">_xll.ASAssetStatistic($A37,"Annual Sharpe Ratio (Rf) Last 3 years",,,'PBA Summary'!$H$2,"m",'PBA Summary'!$F$2,'PBA Summary'!$G$2)</f>
        <v/>
      </c>
      <c r="AU37" s="25" t="str" cm="1">
        <f t="array" ref="AU37">_xll.ASAssetStatistic($A37,"Annual Sharpe Ratio (Rf) Last 5 years",,,'PBA Summary'!$H$2,"m",'PBA Summary'!$F$2,'PBA Summary'!$G$2)</f>
        <v/>
      </c>
      <c r="AV37" s="18" cm="1">
        <f t="array" ref="AV37">_xll.ASAssetStatistic($A37,"Ann. Downside Deviation (vs 0%)",,,'PBA Summary'!$H$2,"m",'PBA Summary'!$F$2,'PBA Summary'!$G$2)</f>
        <v>6.638438963921864E-4</v>
      </c>
      <c r="AW37" s="18" cm="1">
        <f t="array" ref="AW37">_xll.ASAssetStatistic($A37,"Ann. Downside Deviation (vs Rf)",,,'PBA Summary'!$H$2,"m",'PBA Summary'!$F$2,'PBA Summary'!$G$2)</f>
        <v>9.4252351114389003E-4</v>
      </c>
      <c r="AX37" s="39" cm="1">
        <f t="array" ref="AX37">_xll.ASAssetStatistic($A37,"Annual Treynor ratio",,,'PBA Summary'!$H$2,"m",'PBA Summary'!$F$2,'PBA Summary'!$G$2)</f>
        <v>8.6575514267217143E-2</v>
      </c>
      <c r="AY37" s="26" cm="1">
        <f t="array" ref="AY37">_xll.ASAssetStatistic($A37,"Annual Sortino Ratio (vs 0%)",,,'PBA Summary'!$H$2,"m",'PBA Summary'!$F$2,'PBA Summary'!$G$2)</f>
        <v>117.1571752069873</v>
      </c>
      <c r="AZ37" s="26" cm="1">
        <f t="array" ref="AZ37">_xll.ASAssetStatistic($A37,"Annual Sortino Ratio (vs Rf)",,,'PBA Summary'!$H$2,"m",'PBA Summary'!$F$2,'PBA Summary'!$G$2)</f>
        <v>79.864401035845162</v>
      </c>
      <c r="BA37" s="26" cm="1">
        <f t="array" ref="BA37">_xll.ASAssetStatistic($A37,"Sterling ratio",,,'PBA Summary'!$H$2,"m",'PBA Summary'!$F$2,'PBA Summary'!$G$2)</f>
        <v>0.77301806934206441</v>
      </c>
      <c r="BB37" s="26" cm="1">
        <f t="array" ref="BB37">_xll.ASAssetStatistic($A37,"Calmar ratio",,,'PBA Summary'!$H$2,"m",'PBA Summary'!$F$2,'PBA Summary'!$G$2)</f>
        <v>127.30202114661988</v>
      </c>
      <c r="BC37" s="26" cm="1">
        <f t="array" ref="BC37">_xll.ASAssetStatistic($A37,"Hurst index",,,'PBA Summary'!$H$2,"m",'PBA Summary'!$F$2,'PBA Summary'!$G$2)</f>
        <v>0.48717915137389445</v>
      </c>
      <c r="BD37" s="26" cm="1">
        <f t="array" ref="BD37">_xll.ASAssetStatistic($A37,"Omega (Threshold 1)",,,'PBA Summary'!$H$2,"m",'PBA Summary'!$F$2,'PBA Summary'!$G$2)</f>
        <v>92.164750346593038</v>
      </c>
      <c r="BE37" s="26" cm="1">
        <f t="array" ref="BE37">_xll.ASAssetStatistic($A37,"Omega (Threshold 2)",,,'PBA Summary'!$H$2,"m",'PBA Summary'!$F$2,'PBA Summary'!$G$2)</f>
        <v>1.7014350495387567</v>
      </c>
      <c r="BF37" s="26" cm="1">
        <f t="array" ref="BF37">_xll.ASAssetStatistic($A37,"Omega (Threshold 3)",,,'PBA Summary'!$H$2,"m",'PBA Summary'!$F$2,'PBA Summary'!$G$2)</f>
        <v>0.15344532011263129</v>
      </c>
      <c r="BG37" s="26" cm="1">
        <f t="array" ref="BG37">_xll.ASAssetStatistic($A37,"Omega (Threshold 4)",,,'PBA Summary'!$H$2,"m",'PBA Summary'!$F$2,'PBA Summary'!$G$2)</f>
        <v>0</v>
      </c>
      <c r="BH37" s="26" cm="1">
        <f t="array" ref="BH37">_xll.ASAssetStatistic($A37,"Omega (Threshold 5)",,,'PBA Summary'!$H$2,"m",'PBA Summary'!$F$2,'PBA Summary'!$G$2)</f>
        <v>0</v>
      </c>
      <c r="BI37" s="26" t="str" cm="1">
        <f t="array" ref="BI37">_xll.ASAssetStatistic($A37,"Autocorrelated (illiquid)",,,'PBA Summary'!$H$2,"m",'PBA Summary'!$F$2,'PBA Summary'!$G$2)</f>
        <v>No</v>
      </c>
      <c r="BJ37" s="27" cm="1">
        <f t="array" ref="BJ37">_xll.ASAssetStatistic($A37,"% months in Run Up",,,'PBA Summary'!$H$2,"m",'PBA Summary'!$F$2,'PBA Summary'!$G$2)</f>
        <v>0.8666666666666667</v>
      </c>
      <c r="BK37" s="27" cm="1">
        <f t="array" ref="BK37">_xll.ASAssetStatistic($A37,"% months in Drawdown",,,'PBA Summary'!$H$2,"m",'PBA Summary'!$F$2,'PBA Summary'!$G$2)</f>
        <v>0.13333333333333333</v>
      </c>
      <c r="BL37" s="18" cm="1">
        <f t="array" ref="BL37">IF('PBA Summary'!$D$2="","",_xll.ASAssetStatistic($A37,"Bull Beta to Benchmark 1",'PBA Summary'!$D$2,,,"m",'PBA Summary'!$F$2,'PBA Summary'!$G$2))</f>
        <v>9.3430367491091973E-2</v>
      </c>
      <c r="BM37" s="18" cm="1">
        <f t="array" ref="BM37">IF('PBA Summary'!$D$2="","",_xll.ASAssetStatistic($A37,"Average return during bear Benchmark 1",'PBA Summary'!$D$2,,,"m",'PBA Summary'!$F$2,'PBA Summary'!$G$2))</f>
        <v>1.0006284990535075E-2</v>
      </c>
      <c r="BN37" s="18" cm="1">
        <f t="array" ref="BN37">IF('PBA Summary'!$D$3="","",_xll.ASAssetStatistic($A37,"Average return during bull Benchmark 1",'PBA Summary'!$D$3,,,"m",'PBA Summary'!$F$2,'PBA Summary'!$G$2))</f>
        <v>4.9174212819601748E-3</v>
      </c>
      <c r="BO37" s="18" cm="1">
        <f t="array" ref="BO37">IF('PBA Summary'!$D$3="","",_xll.ASAssetStatistic($A37,"Average return during bear Benchmark 1",'PBA Summary'!$D$3,,,"m",'PBA Summary'!$F$2,'PBA Summary'!$G$2))</f>
        <v>1.0006284990535075E-2</v>
      </c>
      <c r="BP37" s="27" cm="1">
        <f t="array" ref="BP37">_xll.ASAssetStatistic($A37,"Maximum consecutive gain",,,'PBA Summary'!$H$2,"m",'PBA Summary'!$F$2,'PBA Summary'!$G$2)</f>
        <v>5.0299786728903673E-2</v>
      </c>
      <c r="BQ37" s="27" cm="1">
        <f t="array" ref="BQ37">_xll.ASAssetStatistic($A37,"Maximum consecutive loss",,,'PBA Summary'!$H$2,"m",'PBA Summary'!$F$2,'PBA Summary'!$G$2)</f>
        <v>-6.109414051653772E-4</v>
      </c>
      <c r="BR37" s="27" cm="1">
        <f t="array" ref="BR37">_xll.ASAssetStatistic($A37,"Max monthly gain",,,'PBA Summary'!$H$2,"m",'PBA Summary'!$F$2,'PBA Summary'!$G$2)</f>
        <v>1.4773920143073438E-2</v>
      </c>
      <c r="BS37" s="27" cm="1">
        <f t="array" ref="BS37">_xll.ASAssetStatistic($A37,"Max monthly loss",,,'PBA Summary'!$H$2,"m",'PBA Summary'!$F$2,'PBA Summary'!$G$2)</f>
        <v>-6.109414051653772E-4</v>
      </c>
      <c r="BT37" s="27" cm="1">
        <f t="array" ref="BT37">_xll.ASAssetStatistic($A37,"Max drawdown",,,'PBA Summary'!$H$2,"m",'PBA Summary'!$F$2,'PBA Summary'!$G$2)</f>
        <v>-6.109414051653772E-4</v>
      </c>
      <c r="BU37" s="28" cm="1">
        <f t="array" ref="BU37">_xll.ASAssetStatistic($A37,"Date Max drawdown",,,'PBA Summary'!$H$2,"m",'PBA Summary'!$F$2,'PBA Summary'!$G$2)</f>
        <v>43799</v>
      </c>
      <c r="BV37" s="28" cm="1">
        <f t="array" ref="BV37">_xll.ASAssetStatistic($A37,"Start Date Max Drawdown",,,'PBA Summary'!$H$2,"m",'PBA Summary'!$F$2,'PBA Summary'!$G$2)</f>
        <v>43799</v>
      </c>
      <c r="BW37" s="28" cm="1">
        <f t="array" ref="BW37">_xll.ASAssetStatistic($A37,"End Date Max Drawdown",,,'PBA Summary'!$H$2,"m",'PBA Summary'!$F$2,'PBA Summary'!$G$2)</f>
        <v>43799</v>
      </c>
      <c r="BX37" s="29" cm="1">
        <f t="array" ref="BX37">_xll.ASAssetStatistic($A37,"Max Time-under-water (months)",,,'PBA Summary'!$H$2,"m",'PBA Summary'!$F$2,'PBA Summary'!$G$2)</f>
        <v>1</v>
      </c>
      <c r="BY37" s="27" cm="1">
        <f t="array" ref="BY37">_xll.ASAssetStatistic($A37,"Max possible drawdown 99%",,,'PBA Summary'!$H$2,"m",'PBA Summary'!$F$2,'PBA Summary'!$G$2)</f>
        <v>-6.2516376516615433E-3</v>
      </c>
      <c r="BZ37" s="27" cm="1">
        <f t="array" ref="BZ37">_xll.ASAssetStatistic($A37,"Max possible drawdown 99.9%",,,'PBA Summary'!$H$2,"m",'PBA Summary'!$F$2,'PBA Summary'!$G$2)</f>
        <v>-1.1031301097350782E-2</v>
      </c>
      <c r="CA37" s="30" cm="1">
        <f t="array" ref="CA37">_xll.ASAssetStatistic($A37,"Max Possible Time-under-water 99% (months)",,,'PBA Summary'!$H$2,"m",'PBA Summary'!$F$2,'PBA Summary'!$G$2)</f>
        <v>3.9854559703226786</v>
      </c>
      <c r="CB37" s="30" cm="1">
        <f t="array" ref="CB37">_xll.ASAssetStatistic($A37,"Max Possible Time-under-water 99.9% (months)",,,'PBA Summary'!$H$2,"m",'PBA Summary'!$F$2,'PBA Summary'!$G$2)</f>
        <v>7.0325196802119425</v>
      </c>
      <c r="CC37" s="17" cm="1">
        <f t="array" ref="CC37">_xll.ASPortfolioReturnAttribution('PBA Summary'!$C$2,"OR",A37,"Last 1m",'PBA Summary'!$F$2,'PBA Summary'!$G$2)</f>
        <v>7.5687591172852032E-4</v>
      </c>
      <c r="CD37" s="11" t="str" cm="1">
        <f t="array" ref="CD37">_xll.ASAssetInfo($A37,"Strategy")</f>
        <v>Funds - Structured Credit</v>
      </c>
      <c r="CE37" s="14" cm="1">
        <f t="array" ref="CE37">_xll.ASAssetInfo($A37,"Start Date")</f>
        <v>42516</v>
      </c>
      <c r="CF37" s="14" t="str" cm="1">
        <f t="array" ref="CF37">_xll.ASAssetRatings($A37,"Quantitative",0,0,0,0,0,'PBA Summary'!$F$2,'PBA Summary'!$G$2)</f>
        <v/>
      </c>
      <c r="CG37" s="14" t="str" cm="1">
        <f t="array" ref="CG37">_xll.ASAssetRatings($A37,"Qualitative",0,0,0,0,0,'PBA Summary'!$F$2,'PBA Summary'!$G$2)</f>
        <v/>
      </c>
      <c r="CH37" s="14" t="str" cm="1">
        <f t="array" ref="CH37">_xll.ASAssetRatings($A37,"Final",0,0,0,0,0,'PBA Summary'!$F$2,'PBA Summary'!$G$2)</f>
        <v/>
      </c>
      <c r="CI37" s="14" cm="1">
        <f t="array" ref="CI37">_xll.ASAssetInfo($A37,"Last Return Date")</f>
        <v>44134</v>
      </c>
      <c r="CJ37" s="14" t="str" cm="1">
        <f t="array" ref="CJ37">_xll.ASAssetInfo($A37,"Company Name")</f>
        <v>iShares ETFs/Ireland</v>
      </c>
      <c r="CK37" s="14" t="str" cm="1">
        <f t="array" ref="CK37">_xll.ASAssetInfo($A37,"Manager Name")</f>
        <v/>
      </c>
      <c r="CL37" s="14" t="str" cm="1">
        <f t="array" ref="CL37">_xll.ASAssetInfo($A37,"Address")</f>
        <v>BlackRock Inc. JP Morgan House. International Financial Services Ctr. Dublin 1. Ireland</v>
      </c>
      <c r="CM37" s="14" t="str" cm="1">
        <f t="array" ref="CM37">_xll.ASAssetInfo($A37,"Phone Number")</f>
        <v>+44-20-7668-8007 Tel</v>
      </c>
      <c r="CN37" s="14" t="str" cm="1">
        <f t="array" ref="CN37">_xll.ASAssetInfo($A37,"Email")</f>
        <v/>
      </c>
      <c r="CO37" s="14" t="str" cm="1">
        <f t="array" ref="CO37">_xll.ASAssetInfo($A37,"Asset Type")</f>
        <v>Fixed Income</v>
      </c>
      <c r="CP37" s="14" t="str" cm="1">
        <f t="array" ref="CP37">_xll.ASAssetInfo($A37,"Proprietary ID")</f>
        <v/>
      </c>
      <c r="CQ37" s="14" t="str" cm="1">
        <f t="array" ref="CQ37">_xll.ASAssetInfo($A37,"Country")</f>
        <v>[Not Classified]</v>
      </c>
      <c r="CR37" s="14" t="str" cm="1">
        <f t="array" ref="CR37">_xll.ASAssetInfo($A37,"Currency")</f>
        <v>USD</v>
      </c>
      <c r="CS37" s="14" t="str" cm="1">
        <f t="array" ref="CS37">_xll.ASAssetInfo($A37,"Sub-Strategy")</f>
        <v>IG</v>
      </c>
      <c r="CT37" s="31" cm="1">
        <f t="array" ref="CT37">_xll.ASAssetInfo($A37,"Fund AUM (m)")</f>
        <v>2544.183</v>
      </c>
      <c r="CU37" s="31" t="str" cm="1">
        <f t="array" ref="CU37">_xll.ASAssetInfo($A37,"Status")</f>
        <v>Unknown</v>
      </c>
      <c r="CV37" s="31" t="str" cm="1">
        <f t="array" ref="CV37">_xll.ASAssetInfo($A37,"Redemption 1 Frequency")</f>
        <v>Daily</v>
      </c>
      <c r="CW37" s="31" t="str" cm="1">
        <f t="array" ref="CW37">_xll.ASAssetInfo($A37,"Redemption 2 Frequency")</f>
        <v>Unknown</v>
      </c>
      <c r="CX37" s="31" t="str" cm="1">
        <f t="array" ref="CX37">_xll.ASAssetInfo($A37,"Redemption 3 Frequency")</f>
        <v>Unknown</v>
      </c>
      <c r="CY37" s="31" t="str" cm="1">
        <f t="array" ref="CY37">_xll.ASAssetInfo($A37,"Notice Period")</f>
        <v/>
      </c>
      <c r="CZ37" s="15" t="str" cm="1">
        <f t="array" ref="CZ37">_xll.ASAssetInfo($A37,"Performance Fee")</f>
        <v/>
      </c>
      <c r="DA37" s="15" cm="1">
        <f t="array" ref="DA37">_xll.ASAssetInfo($A37,"Management Fee")</f>
        <v>2.8000000000000004E-3</v>
      </c>
      <c r="DB37" s="15" t="str" cm="1">
        <f t="array" ref="DB37">_xll.ASAssetInfo($A37,"ISIN")</f>
        <v>IE00BZ6V7883</v>
      </c>
      <c r="DC37" s="16" t="str" cm="1">
        <f t="array" ref="DC37">_xll.ASAssetStatistic($A37,"Return during " &amp;YEAR(EOMONTH('PBA Summary'!$G$2,-60)),,,,"M",DATE(YEAR(EOMONTH('PBA Summary'!$G$2,-60)),1,31),DATE(YEAR(EOMONTH('PBA Summary'!$G$2,-60)),12,31))</f>
        <v/>
      </c>
      <c r="DD37" s="16" cm="1">
        <f t="array" ref="DD37">_xll.ASAssetStatistic($A37,"Return during " &amp;YEAR(EOMONTH('PBA Summary'!$G$2,-48)),,,,"M",DATE(YEAR(EOMONTH('PBA Summary'!$G$2,-48)),1,31),DATE(YEAR(EOMONTH('PBA Summary'!$G$2,-48)),12,31))</f>
        <v>-1.2099914142524093E-2</v>
      </c>
      <c r="DE37" s="16" cm="1">
        <f t="array" ref="DE37">_xll.ASAssetStatistic($A37,"Return during " &amp;YEAR(EOMONTH('PBA Summary'!$G$2,-36)),,,,"M",DATE(YEAR(EOMONTH('PBA Summary'!$G$2,-36)),1,31),DATE(YEAR(EOMONTH('PBA Summary'!$G$2,-36)),12,31))</f>
        <v>2.7366250985305651E-2</v>
      </c>
      <c r="DF37" s="16" cm="1">
        <f t="array" ref="DF37">_xll.ASAssetStatistic($A37,"Return during " &amp;YEAR(EOMONTH('PBA Summary'!$G$2,-24)),,,,"M",DATE(YEAR(EOMONTH('PBA Summary'!$G$2,-24)),1,31),DATE(YEAR(EOMONTH('PBA Summary'!$G$2,-24)),12,31))</f>
        <v>-1.5738427337697036E-4</v>
      </c>
      <c r="DG37" s="16" cm="1">
        <f t="array" ref="DG37">_xll.ASAssetStatistic($A37,"Return during " &amp;YEAR(EOMONTH('PBA Summary'!$G$2,-12)),,,,"M",DATE(YEAR(EOMONTH('PBA Summary'!$G$2,-12)),1,31),DATE(YEAR(EOMONTH('PBA Summary'!$G$2,-12)),12,31))</f>
        <v>6.5856010074178517E-2</v>
      </c>
      <c r="DH37" s="11" t="str" cm="1">
        <f t="array" ref="DH37">_xll.ASAssetInfo($A37,"Prime Broker")</f>
        <v/>
      </c>
      <c r="DI37" s="16" cm="1">
        <f t="array" ref="DI37">_xll.ASAssetStatistic($A37,"Return",,,,"m",'PBA Summary'!$F$2,'PBA Summary'!$G$2)</f>
        <v>9.8144943865437151E-2</v>
      </c>
      <c r="DJ37" s="33" cm="1">
        <f t="array" ref="DJ37">IF('PBA Summary'!$D$2="","",_xll.ASAssetStatistic($A37,"Ann. Information Ratio vs Benchmark 1",'PBA Summary'!$D$2,,,"m",'PBA Summary'!$F$2,'PBA Summary'!$G$2))</f>
        <v>-0.59075084818357126</v>
      </c>
      <c r="DK37" s="33" cm="1">
        <f t="array" ref="DK37">IF('PBA Summary'!$D$3="","",_xll.ASAssetStatistic($A37,"Ann. Information Ratio vs Benchmark 1",'PBA Summary'!$D$3,,,"m",'PBA Summary'!$F$2,'PBA Summary'!$G$2))</f>
        <v>-0.59075084818357126</v>
      </c>
      <c r="DL37" s="33" cm="1">
        <f t="array" ref="DL37">IF('PBA Summary'!$D$2="","",_xll.ASAssetStatistic($A37,"Ann. Tracking Error vs Benchmark 1",'PBA Summary'!$D$2,,,"m",'PBA Summary'!$F$2,'PBA Summary'!$G$2))</f>
        <v>0.16003067763278389</v>
      </c>
      <c r="DM37" s="33" cm="1">
        <f t="array" ref="DM37">IF('PBA Summary'!$D$3="","",_xll.ASAssetStatistic($A37,"Ann. Tracking Error vs Benchmark 1",'PBA Summary'!$D$3,,,"m",'PBA Summary'!$F$2,'PBA Summary'!$G$2))</f>
        <v>0.16003067763278389</v>
      </c>
      <c r="DN37" s="33" cm="1">
        <f t="array" ref="DN37">IF('PBA Summary'!$D$2="","",_xll.ASAssetStatistic($A37,"R² vs Benchmark 1",'PBA Summary'!$D$2,,,"m",'PBA Summary'!$F$2,'PBA Summary'!$G$2))</f>
        <v>8.7312800103208285E-2</v>
      </c>
      <c r="DO37" s="33" cm="1">
        <f t="array" ref="DO37">IF('PBA Summary'!$D$3="","",_xll.ASAssetStatistic($A37,"R² vs Benchmark 1",'PBA Summary'!$D$3,,,"m",'PBA Summary'!$F$2,'PBA Summary'!$G$2))</f>
        <v>8.7312800103208285E-2</v>
      </c>
      <c r="DP37" s="11" t="str" cm="1">
        <f t="array" ref="DP37">_xll.ASAssetInfo($A37,"On-/Offshore")</f>
        <v>Unknown</v>
      </c>
      <c r="DQ37" s="16" cm="1">
        <f t="array" ref="DQ37">_xll.ASAssetStatistic($A37,"Quarter-to-date",,,,"m",'PBA Summary'!$F$2,'PBA Summary'!$G$2)</f>
        <v>7.5687649990772154E-3</v>
      </c>
      <c r="DR37" s="16" cm="1">
        <f t="array" ref="DR37">_xll.ASAssetStatistic($A37,"Annualized Return Since inception",,,,"m",'PBA Summary'!$F$2,'PBA Summary'!$G$2)</f>
        <v>2.5877646043717339E-2</v>
      </c>
      <c r="DS37" s="16" cm="1">
        <f t="array" ref="DS37">IF('PBA Summary'!$D$2="","",_xll.ASAssetStatistic($A37,"Ann. Bear Market Return vs Benchmark 1",'PBA Summary'!$D$2,,,"m",'PBA Summary'!$F$2,'PBA Summary'!$G$2))</f>
        <v>0.12688278063457226</v>
      </c>
      <c r="DT37" s="16" cm="1">
        <f t="array" ref="DT37">IF('PBA Summary'!$D$2="","",_xll.ASAssetStatistic($A37,"Ann. Bull Market Return vs Benchmark 1",'PBA Summary'!$D$2,,,"m",'PBA Summary'!$F$2,'PBA Summary'!$G$2))</f>
        <v>6.0451967664622908E-2</v>
      </c>
      <c r="DU37" s="16" cm="1">
        <f t="array" ref="DU37">IF('PBA Summary'!$D$3="","",_xll.ASAssetStatistic($A37,"Ann. Bear Market Return vs Benchmark 1",'PBA Summary'!$D$3,,,"m",'PBA Summary'!$F$2,'PBA Summary'!$G$2))</f>
        <v>0.12688278063457226</v>
      </c>
      <c r="DV37" s="16" cm="1">
        <f t="array" ref="DV37">IF('PBA Summary'!$D$3="","",_xll.ASAssetStatistic($A37,"Ann. Bull Market Return vs Benchmark 1",'PBA Summary'!$D$3,,,"m",'PBA Summary'!$F$2,'PBA Summary'!$G$2))</f>
        <v>6.0451967664622908E-2</v>
      </c>
      <c r="DW37" s="17" cm="1">
        <f t="array" ref="DW37">_xll.ASAssetStatistic($A37,"Average Positive Return",,,,"m",'PBA Summary'!$F$2,'PBA Summary'!$G$2)</f>
        <v>7.3191657892651097E-3</v>
      </c>
      <c r="DX37" s="17" cm="1">
        <f t="array" ref="DX37">_xll.ASAssetStatistic($A37,"Average Negative Return",,,,"m",'PBA Summary'!$F$2,'PBA Summary'!$G$2)</f>
        <v>-5.1619059837210157E-4</v>
      </c>
      <c r="DY37" s="16" cm="1">
        <f t="array" ref="DY37">IF('PBA Summary'!$D$2="","",_xll.ASAssetStatistic($A37,"Outperformance vs Benchmark 1",'PBA Summary'!$D$2,,,"m",'PBA Summary'!$F$2,'PBA Summary'!$G$2))</f>
        <v>-0.1216987009432815</v>
      </c>
      <c r="DZ37" s="16" cm="1">
        <f t="array" ref="DZ37">IF('PBA Summary'!$D$3="","",_xll.ASAssetStatistic($A37,"Outperformance vs Benchmark 1",'PBA Summary'!$D$3,,,"m",'PBA Summary'!$F$2,'PBA Summary'!$G$2))</f>
        <v>-0.1216987009432815</v>
      </c>
      <c r="EA37" s="16" cm="1">
        <f t="array" ref="EA37">IF('PBA Summary'!$D$2="","",_xll.ASAssetStatistic($A37,"Annual Outperformance vs Benchmark 1",'PBA Summary'!$D$2,,,"m",'PBA Summary'!$F$2,'PBA Summary'!$G$2))</f>
        <v>-9.4538258546958742E-2</v>
      </c>
      <c r="EB37" s="16" cm="1">
        <f t="array" ref="EB37">IF('PBA Summary'!$D$3="","",_xll.ASAssetStatistic($A37,"Annual Outperformance vs Benchmark 1",'PBA Summary'!$D$3,,,"m",'PBA Summary'!$F$2,'PBA Summary'!$G$2))</f>
        <v>-9.4538258546958742E-2</v>
      </c>
      <c r="EC37" s="32" cm="1">
        <f t="array" ref="EC37">_xll.ASAssetStatistic($A37,"Rachev Ratio 99%",,,,"m",'PBA Summary'!$F$2,'PBA Summary'!$G$2)</f>
        <v>-24.182221106906724</v>
      </c>
      <c r="ED37" s="32" cm="1">
        <f t="array" ref="ED37">_xll.ASAssetStatistic($A37,"Rachev Ratio 97%",,,,"m",'PBA Summary'!$F$2,'PBA Summary'!$G$2)</f>
        <v>-24.182221106906724</v>
      </c>
      <c r="EE37" s="32" cm="1">
        <f t="array" ref="EE37">_xll.ASAssetStatistic($A37,"Rachev Ratio 95%",,,,"m",'PBA Summary'!$F$2,'PBA Summary'!$G$2)</f>
        <v>-24.182221106906724</v>
      </c>
      <c r="EF37" s="32" cm="1">
        <f t="array" ref="EF37">_xll.ASAssetStatistic($A37,"Rachev Ratio 90%",,,,"m",'PBA Summary'!$F$2,'PBA Summary'!$G$2)</f>
        <v>-26.996268225384927</v>
      </c>
      <c r="EG37" s="34" cm="1">
        <f t="array" ref="EG37">IF('PBA Summary'!$D$2="","",_xll.ASAssetStatistic($A37,"Annual Up Capture vs Benchmark 1",'PBA Summary'!$D$2,,,"m",'PBA Summary'!$F$2,'PBA Summary'!$G$2))</f>
        <v>0.11942123315664289</v>
      </c>
      <c r="EH37" s="34" cm="1">
        <f t="array" ref="EH37">IF('PBA Summary'!$D$3="","",_xll.ASAssetStatistic($A37,"Annual Up Capture vs Benchmark 1",'PBA Summary'!$D$3,,,"m",'PBA Summary'!$F$2,'PBA Summary'!$G$2))</f>
        <v>0.11942123315664289</v>
      </c>
      <c r="EI37" s="34" cm="1">
        <f t="array" ref="EI37">IF('PBA Summary'!$D$2="","",_xll.ASAssetStatistic($A37,"Annual Down Capture vs Benchmark 1",'PBA Summary'!$D$2,,,"m",'PBA Summary'!$F$2,'PBA Summary'!$G$2))</f>
        <v>-0.3083243785675216</v>
      </c>
      <c r="EJ37" s="34" cm="1">
        <f t="array" ref="EJ37">IF('PBA Summary'!$D$3="","",_xll.ASAssetStatistic($A37,"Annual Down Capture vs Benchmark 1",'PBA Summary'!$D$3,,,"m",'PBA Summary'!$F$2,'PBA Summary'!$G$2))</f>
        <v>-0.3083243785675216</v>
      </c>
      <c r="EK37" s="16" cm="1">
        <f t="array" ref="EK37">IF('PBA Summary'!$D$2="","",_xll.ASAssetStatistic($A37,"Ann. Tracking Error vs Benchmark 1",'PBA Summary'!$D$2,,,"m",'PBA Summary'!$F$2,'PBA Summary'!$G$2))</f>
        <v>0.16003067763278389</v>
      </c>
      <c r="EL37" s="16" cm="1">
        <f t="array" ref="EL37">IF('PBA Summary'!$D$3="","",_xll.ASAssetStatistic($A37,"Ann. Tracking Error vs Benchmark 1",'PBA Summary'!$D$3,,,"m",'PBA Summary'!$F$2,'PBA Summary'!$G$2))</f>
        <v>0.16003067763278389</v>
      </c>
      <c r="EM37" s="16" cm="1">
        <f t="array" ref="EM37">IF('PBA Summary'!$D$2="","",_xll.ASAssetStatistic($A37,"Annual Jensen Alpha vs Benchmark 1 (Rf)",'PBA Summary'!$D$2,,,"m",'PBA Summary'!$F$2,'PBA Summary'!$G$2))</f>
        <v>8.1370324279657388E-2</v>
      </c>
      <c r="EN37" s="16" cm="1">
        <f t="array" ref="EN37">IF('PBA Summary'!$D$3="","",_xll.ASAssetStatistic($A37,"Annual Jensen Alpha vs Benchmark 1 (Rf)",'PBA Summary'!$D$3,,,"m",'PBA Summary'!$F$2,'PBA Summary'!$G$2))</f>
        <v>8.1370324279657388E-2</v>
      </c>
      <c r="EO37" s="33" cm="1">
        <f t="array" ref="EO37">IF('PBA Summary'!$D$2="","",_xll.ASAssetStatistic($A37,"Ann. Information Ratio vs Benchmark 1",'PBA Summary'!$D$2,,,"m",'PBA Summary'!$F$2,'PBA Summary'!$G$2))</f>
        <v>-0.59075084818357126</v>
      </c>
      <c r="EP37" s="33" cm="1">
        <f t="array" ref="EP37">IF('PBA Summary'!$D$3="","",_xll.ASAssetStatistic($A37,"Ann. Information Ratio vs Benchmark 1",'PBA Summary'!$D$3,,,"m",'PBA Summary'!$F$2,'PBA Summary'!$G$2))</f>
        <v>-0.59075084818357126</v>
      </c>
      <c r="EQ37" s="17" cm="1">
        <f t="array" ref="EQ37">IF('PBA Summary'!$D$2="","",_xll.ASAssetStatistic($A37,"Alpha Monthly vs Benchmark 1",'PBA Summary'!$D$2,,,"m",'PBA Summary'!$F$2,'PBA Summary'!$G$2))</f>
        <v>6.7866528323296833E-3</v>
      </c>
      <c r="ER37" s="17" cm="1">
        <f t="array" ref="ER37">IF('PBA Summary'!$D$3="","",_xll.ASAssetStatistic($A37,"Alpha Monthly vs Benchmark 1",'PBA Summary'!$D$3,,,"m",'PBA Summary'!$F$2,'PBA Summary'!$G$2))</f>
        <v>6.7866528323296833E-3</v>
      </c>
      <c r="ES37" s="11" t="str" cm="1">
        <f t="array" ref="ES37">_xll.ASAssetInfo($A37,"Company AUM (m)")</f>
        <v/>
      </c>
      <c r="ET37" s="16" cm="1">
        <f t="array" ref="ET37">_xll.ASAssetStatistic($A37,"Exponential Annualized Volatility",,,,"m",'PBA Summary'!$F$2,'PBA Summary'!$G$2)</f>
        <v>1.7070424484380214E-2</v>
      </c>
      <c r="EU37" s="16" cm="1">
        <f t="array" ref="EU37">_xll.ASAssetStatistic($A37,"Exponential Annualized Volatility Last 1 year",,,,"m",'PBA Summary'!$F$2,'PBA Summary'!$G$2)</f>
        <v>1.6174873611246098E-2</v>
      </c>
      <c r="EV37" s="16" t="str" cm="1">
        <f t="array" ref="EV37">_xll.ASAssetStatistic($A37,"Exponential Annualized Volatility Last 3 years",,,,"m",'PBA Summary'!$F$2,'PBA Summary'!$G$2)</f>
        <v/>
      </c>
      <c r="EW37" s="34" cm="1">
        <f t="array" ref="EW37">IF('PBA Summary'!$D$2="","",_xll.ASAssetStatistic($A37,"Exponential Correlation to Benchmark 1",'PBA Summary'!$D$2,,,"m",'PBA Summary'!$F$2,'PBA Summary'!$G$2))</f>
        <v>-0.30437418188524396</v>
      </c>
      <c r="EX37" s="34" cm="1">
        <f t="array" ref="EX37">IF('PBA Summary'!$D$3="","",_xll.ASAssetStatistic($A37,"Exponential Correlation to Benchmark 1",'PBA Summary'!$D$3,,,"m",'PBA Summary'!$F$2,'PBA Summary'!$G$2))</f>
        <v>-0.30437418188524396</v>
      </c>
      <c r="EY37" s="34" cm="1">
        <f t="array" ref="EY37">_xll.ASAssetStatistic($A37,"Exponential Annual Sharpe Ratio (Rf)",,,,"m",'PBA Summary'!$F$2,'PBA Summary'!$G$2)</f>
        <v>3.6985803429523454</v>
      </c>
      <c r="EZ37" s="34" cm="1">
        <f t="array" ref="EZ37">_xll.ASAssetStatistic($A37,"Exponential Normal Monthly VaR 99%",,,,"m",'PBA Summary'!$F$2,'PBA Summary'!$G$2)</f>
        <v>-6.1520593904785441E-3</v>
      </c>
      <c r="FA37" s="34" cm="1">
        <f t="array" ref="FA37">_xll.ASAssetStatistic($A37,"Exponential Normal Monthly VaR 97%",,,,"m",'PBA Summary'!$F$2,'PBA Summary'!$G$2)</f>
        <v>-3.9564539220000279E-3</v>
      </c>
      <c r="FB37" s="34" cm="1">
        <f t="array" ref="FB37">_xll.ASAssetStatistic($A37,"Exponential Normal Monthly VaR 95%",,,,"m",'PBA Summary'!$F$2,'PBA Summary'!$G$2)</f>
        <v>-2.7937872108629346E-3</v>
      </c>
      <c r="FC37" s="34" cm="1">
        <f t="array" ref="FC37">_xll.ASAssetStatistic($A37,"Exponential Normal Monthly VaR 90%",,,,"m",'PBA Summary'!$F$2,'PBA Summary'!$G$2)</f>
        <v>-1.0035047384421457E-3</v>
      </c>
      <c r="FD37" s="34" t="str" cm="1">
        <f t="array" ref="FD37">_xll.ASAssetStatistic($A37,"Exponential Normal weekly VaR 99%",,,,"m",'PBA Summary'!$F$2,'PBA Summary'!$G$2)</f>
        <v/>
      </c>
      <c r="FE37" s="34" t="str" cm="1">
        <f t="array" ref="FE37">_xll.ASAssetStatistic($A37,"Exponential Normal weekly VaR 97%",,,,"m",'PBA Summary'!$F$2,'PBA Summary'!$G$2)</f>
        <v/>
      </c>
      <c r="FF37" s="34" t="str" cm="1">
        <f t="array" ref="FF37">_xll.ASAssetStatistic($A37,"Exponential Normal weekly VaR 95%",,,,"m",'PBA Summary'!$F$2,'PBA Summary'!$G$2)</f>
        <v/>
      </c>
      <c r="FG37" s="34" t="str" cm="1">
        <f t="array" ref="FG37">_xll.ASAssetStatistic($A37,"Exponential Normal weekly VaR 90%",,,,"m",'PBA Summary'!$F$2,'PBA Summary'!$G$2)</f>
        <v/>
      </c>
      <c r="FH37" s="34" t="str" cm="1">
        <f t="array" ref="FH37">_xll.ASAssetStatistic($A37,"Exponential Normal daily VaR 99%",,,,"m",'PBA Summary'!$F$2,'PBA Summary'!$G$2)</f>
        <v/>
      </c>
      <c r="FI37" s="34" t="str" cm="1">
        <f t="array" ref="FI37">_xll.ASAssetStatistic($A37,"Exponential Normal daily VaR 97%",,,,"m",'PBA Summary'!$F$2,'PBA Summary'!$G$2)</f>
        <v/>
      </c>
      <c r="FJ37" s="34" t="str" cm="1">
        <f t="array" ref="FJ37">_xll.ASAssetStatistic($A37,"Exponential Normal daily VaR 95%",,,,"m",'PBA Summary'!$F$2,'PBA Summary'!$G$2)</f>
        <v/>
      </c>
      <c r="FK37" s="34" t="str" cm="1">
        <f t="array" ref="FK37">_xll.ASAssetStatistic($A37,"Exponential Normal daily VaR 90%",,,,"m",'PBA Summary'!$F$2,'PBA Summary'!$G$2)</f>
        <v/>
      </c>
      <c r="FL37" s="34" cm="1">
        <f t="array" ref="FL37">_xll.ASAssetStatistic($A37,"Bias Ratio",,,,"m",'PBA Summary'!$F$2,'PBA Summary'!$G$2)</f>
        <v>1.6666666666666667</v>
      </c>
      <c r="FM37" s="11" t="str" cm="1">
        <f t="array" ref="FM37">_xll.ASAssetInfo($A37,"Manager's Biography")</f>
        <v/>
      </c>
      <c r="FN37" s="11" cm="1">
        <f t="array" ref="FN37">_xll.ASAssetInfo($A37,"Investment Min")</f>
        <v>0</v>
      </c>
      <c r="FO37" s="11" t="str" cm="1">
        <f t="array" ref="FO37">_xll.ASAssetInfo($A37,"Auditor")</f>
        <v>Deloitte/Ireland</v>
      </c>
      <c r="FP37" s="11" t="str" cm="1">
        <f t="array" ref="FP37">_xll.ASAssetInfo($A37,"Custodian")</f>
        <v>State Street Custodial Services Ireland Ltd</v>
      </c>
      <c r="FQ37" s="11" t="str" cm="1">
        <f t="array" ref="FQ37">_xll.ASAssetInfo($A37,"Administrator")</f>
        <v>State Street Fund Services Ireland Ltd</v>
      </c>
      <c r="FR37" s="14" t="str" cm="1">
        <f t="array" ref="FR37">_xll.ASAssetInfo($A37,"Proxy 1 Start Date")</f>
        <v/>
      </c>
      <c r="FS37" s="14" t="str" cm="1">
        <f t="array" ref="FS37">_xll.ASAssetInfo($A37,"Proxy 1 End Date")</f>
        <v/>
      </c>
      <c r="FT37" s="14" t="str" cm="1">
        <f t="array" ref="FT37">_xll.ASAssetInfo($A37,"Proxy 2 Start Date")</f>
        <v/>
      </c>
      <c r="FU37" s="14" t="str" cm="1">
        <f t="array" ref="FU37">_xll.ASAssetInfo($A37,"Proxy 2 End Date")</f>
        <v/>
      </c>
      <c r="FV37" s="14" t="str" cm="1">
        <f t="array" ref="FV37">_xll.ASAssetInfo($A37,"Proxy 3 Start Date")</f>
        <v/>
      </c>
      <c r="FW37" s="14" t="str" cm="1">
        <f t="array" ref="FW37">_xll.ASAssetInfo($A37,"Proxy 3 End Date")</f>
        <v/>
      </c>
      <c r="FX37" s="14" t="str" cm="1">
        <f t="array" ref="FX37">_xll.ASAssetInfo($A37,"Fund Domicile")</f>
        <v>IE</v>
      </c>
      <c r="FY37" s="14" t="str" cm="1">
        <f t="array" ref="FY37">_xll.ASAssetInfo($A37,"Fund Contact")</f>
        <v/>
      </c>
      <c r="FZ37" s="14" t="str" cm="1">
        <f t="array" ref="FZ37">_xll.ASAssetInfo($A37,"Fund Contact Email")</f>
        <v/>
      </c>
      <c r="GA37" s="14" t="str" cm="1">
        <f t="array" ref="GA37">_xll.ASAssetInfo($A37,"Fund Contact Number")</f>
        <v/>
      </c>
      <c r="GB37" s="14" t="str" cm="1">
        <f t="array" ref="GB37">_xll.ASAssetInfo($A37,"City")</f>
        <v/>
      </c>
      <c r="GC37" s="14" t="str" cm="1">
        <f t="array" ref="GC37">_xll.ASAssetInfo($A37,"Leverage")</f>
        <v>N</v>
      </c>
      <c r="GD37" s="14" t="str" cm="1">
        <f t="array" ref="GD37">_xll.ASAssetInfo($A37,"Lockup 1 Duration")</f>
        <v>0 Months</v>
      </c>
      <c r="GE37" s="14" t="str" cm="1">
        <f t="array" ref="GE37">_xll.ASAssetInfo($A37,"Lockup 2 Duration")</f>
        <v>0 Months</v>
      </c>
      <c r="GF37" s="14" t="str" cm="1">
        <f t="array" ref="GF37">_xll.ASAssetInfo($A37,"Lockup 3 Duration")</f>
        <v>0 Months</v>
      </c>
      <c r="GG37" s="31" t="str" cm="1">
        <f t="array" ref="GG37">_xll.ASAssetInfo($A37,"Fund Level Gate")</f>
        <v/>
      </c>
      <c r="GH37" s="31" t="str" cm="1">
        <f t="array" ref="GH37">_xll.ASAssetInfo($A37,"Fund Level Gate Frequency")</f>
        <v>Unknown</v>
      </c>
      <c r="GI37" s="35" cm="1">
        <f t="array" ref="GI37">_xll.ASAssetInfo($A37,"Payment 2 (%)")</f>
        <v>0</v>
      </c>
      <c r="GJ37" s="35" t="str" cm="1">
        <f t="array" ref="GJ37">_xll.ASAssetInfo($A37,"Payment 2 (days)")</f>
        <v/>
      </c>
      <c r="GK37" s="35" t="str" cm="1">
        <f t="array" ref="GK37">_xll.ASAssetInfo($A37,"Payment 2 (Paid After)")</f>
        <v>NAV Date</v>
      </c>
      <c r="GL37" s="35" cm="1">
        <f t="array" ref="GL37">_xll.ASAssetInfo($A37,"Payment 3 (%)")</f>
        <v>0</v>
      </c>
      <c r="GM37" s="36" t="str" cm="1">
        <f t="array" ref="GM37">_xll.ASAssetInfo($A37,"Payment 3 (Days)")</f>
        <v/>
      </c>
      <c r="GN37" s="35" t="str" cm="1">
        <f t="array" ref="GN37">_xll.ASAssetInfo($A37,"Payment 3 (Paid After)")</f>
        <v>NAV Date</v>
      </c>
      <c r="GO37" s="35" cm="1">
        <f t="array" ref="GO37">_xll.ASAssetInfo($A37,"Payment 4 (%)")</f>
        <v>0</v>
      </c>
      <c r="GP37" s="36" t="str" cm="1">
        <f t="array" ref="GP37">_xll.ASAssetInfo($A37,"Payment 4 (days)")</f>
        <v/>
      </c>
      <c r="GQ37" s="35" t="str" cm="1">
        <f t="array" ref="GQ37">_xll.ASAssetInfo($A37,"Payment 4 (Paid After)")</f>
        <v>NAV Date</v>
      </c>
      <c r="GR37" s="11" cm="1">
        <f t="array" ref="GR37">_xll.ASAssetInfo($A37,"Payment 1 (%)")</f>
        <v>1</v>
      </c>
      <c r="GS37" s="35" cm="1">
        <f t="array" ref="GS37">_xll.ASAssetInfo($A37,"Lockup 1 Fee")</f>
        <v>0</v>
      </c>
      <c r="GT37" s="35" cm="1">
        <f t="array" ref="GT37">_xll.ASAssetInfo($A37,"Lockup 2 Fee")</f>
        <v>0</v>
      </c>
      <c r="GU37" s="35" cm="1">
        <f t="array" ref="GU37">_xll.ASAssetInfo($A37,"Lockup 3 Fee")</f>
        <v>0</v>
      </c>
      <c r="GV37" s="35" t="str" cm="1">
        <f t="array" ref="GV37">_xll.ASAssetInfo($A37,"Lockup 1 type")</f>
        <v>None</v>
      </c>
      <c r="GW37" s="35" t="str" cm="1">
        <f t="array" ref="GW37">_xll.ASAssetInfo($A37,"Lockup 2 type")</f>
        <v>None</v>
      </c>
      <c r="GX37" s="35" t="str" cm="1">
        <f t="array" ref="GX37">_xll.ASAssetInfo($A37,"Lockup 3 type")</f>
        <v>None</v>
      </c>
      <c r="GY37" s="35" t="str" cm="1">
        <f t="array" ref="GY37">_xll.ASAssetInfo($A37,"Redemption 1 type")</f>
        <v>Calendar</v>
      </c>
      <c r="GZ37" s="35" t="str" cm="1">
        <f t="array" ref="GZ37">_xll.ASAssetInfo($A37,"Redemption 2 type")</f>
        <v>Calendar</v>
      </c>
      <c r="HA37" s="35" t="str" cm="1">
        <f t="array" ref="HA37">_xll.ASAssetInfo($A37,"Redemption 3 type")</f>
        <v>Calendar</v>
      </c>
      <c r="HB37" s="35" t="str" cm="1">
        <f t="array" ref="HB37">_xll.ASAssetInfo($A37,"Redemption 1 Fee")</f>
        <v/>
      </c>
      <c r="HC37" s="35" t="str" cm="1">
        <f t="array" ref="HC37">_xll.ASAssetInfo($A37,"Redemption 2 Fee")</f>
        <v/>
      </c>
      <c r="HD37" s="35" t="str" cm="1">
        <f t="array" ref="HD37">_xll.ASAssetInfo($A37,"Redemption 3 Fee")</f>
        <v/>
      </c>
      <c r="HE37" s="35" t="str" cm="1">
        <f t="array" ref="HE37">_xll.ASAssetInfo($A37,"Redemption 1 Frequency")</f>
        <v>Daily</v>
      </c>
      <c r="HF37" s="35" t="str" cm="1">
        <f t="array" ref="HF37">_xll.ASAssetInfo($A37,"Redemption 2 Frequency")</f>
        <v>Unknown</v>
      </c>
      <c r="HG37" s="35" t="str" cm="1">
        <f t="array" ref="HG37">_xll.ASAssetInfo($A37,"Redemption 3 Frequency")</f>
        <v>Unknown</v>
      </c>
      <c r="HH37" s="35" t="str" cm="1">
        <f t="array" ref="HH37">_xll.ASAssetInfo($A37,"Asset Calendar")</f>
        <v>[Default]</v>
      </c>
      <c r="HI37" s="16" cm="1">
        <f t="array" ref="HI37">_xll.ASAssetStatistic($A37,"Max Second Drawdown",,,,"m",'PBA Summary'!$F$2,'PBA Summary'!$G$2)</f>
        <v>-4.2143979157882594E-4</v>
      </c>
      <c r="HJ37" s="37" cm="1">
        <f t="array" ref="HJ37">_xll.ASAssetStatistic($A37,"Date Max Second Drawdown",,,,"m",'PBA Summary'!$F$2,'PBA Summary'!$G$2)</f>
        <v>43585</v>
      </c>
      <c r="HK37" s="37"/>
      <c r="HL37" s="37" t="str" cm="1">
        <f t="array" ref="HL37">_xll.ASAssetInfo($A37,HL$1)</f>
        <v/>
      </c>
      <c r="HM37" s="34" t="str" cm="1">
        <f t="array" ref="HM37">_xll.ASAssetInfo($A37,HM$1)</f>
        <v/>
      </c>
      <c r="HN37" s="37" t="str" cm="1">
        <f t="array" ref="HN37">_xll.ASAssetInfo($A37,HN$1)</f>
        <v/>
      </c>
      <c r="HO37" s="15" cm="1">
        <f t="array" ref="HO37">_xll.ASAssetInfo($A37,HO$1)</f>
        <v>0</v>
      </c>
      <c r="HP37" s="15" cm="1">
        <f t="array" ref="HP37">_xll.ASAssetInfo($A37,HP$1)</f>
        <v>1.26E-2</v>
      </c>
      <c r="HQ37" s="34" t="str" cm="1">
        <f t="array" ref="HQ37">_xll.ASAssetInfo($A37,HQ$1)</f>
        <v/>
      </c>
      <c r="HR37" s="37" t="str" cm="1">
        <f t="array" ref="HR37">_xll.ASAssetInfo($A37,HR$1)</f>
        <v/>
      </c>
      <c r="HS37" s="37" t="str" cm="1">
        <f t="array" ref="HS37">_xll.ASAssetInfo($A37,HS$1)</f>
        <v/>
      </c>
      <c r="HT37" s="37" t="str" cm="1">
        <f t="array" ref="HT37">_xll.ASAssetInfo($A37,HT$1)</f>
        <v>AAA</v>
      </c>
      <c r="HU37" s="37" t="str" cm="1">
        <f t="array" ref="HU37">_xll.ASAssetInfo($A37,HU$1)</f>
        <v>Americas</v>
      </c>
      <c r="HV37" s="37" t="str" cm="1">
        <f t="array" ref="HV37">_xll.ASAssetInfo($A37,HV$1)</f>
        <v/>
      </c>
      <c r="HW37" s="37" t="str" cm="1">
        <f t="array" ref="HW37">_xll.ASAssetInfo($A37,HW$1)</f>
        <v/>
      </c>
    </row>
    <row r="38" spans="1:231" s="11" customFormat="1" x14ac:dyDescent="0.25">
      <c r="A38" t="s">
        <v>305</v>
      </c>
      <c r="B38" cm="1">
        <f t="array" ref="B38">_xll.ASPortfolioWeights('PBA Summary'!$C$2,"OR",$A38)</f>
        <v>0</v>
      </c>
      <c r="C38" cm="1">
        <f t="array" ref="C38">_xll.ASAssetStatistic($A38,"Annualized Return since inception",,,,"m",_xll.ASAssetInfo($A38,"Start Date"),_xll.ASAssetInfo($A38,"Last Return Date"))</f>
        <v>5.0014439194595361E-2</v>
      </c>
      <c r="D38" cm="1">
        <f t="array" ref="D38">_xll.ASAssetStatistic($A38,"Annualized Return",,,,"m",'PBA Summary'!$F$2,'PBA Summary'!$G$2)</f>
        <v>0.16855204366621246</v>
      </c>
      <c r="E38" s="19" cm="1">
        <f t="array" ref="E38">_xll.ASAssetStatistic($A38,"Equilibrium Annual Return",,,,"m",'PBA Summary'!$F$2,'PBA Summary'!$G$2)</f>
        <v>-0.32677958030988152</v>
      </c>
      <c r="F38" cm="1">
        <f t="array" ref="F38">_xll.ASAssetStatistic($A38,"Annualized Volatility (Inception)",,,,"m",_xll.ASAssetInfo($A38,"Start Date"),_xll.ASAssetInfo($A38,"Last Return Date"))</f>
        <v>8.0718397196485214E-2</v>
      </c>
      <c r="G38" cm="1">
        <f t="array" ref="G38">_xll.ASAssetStatistic($A38,"Annualized Volatility",,,,"m",'PBA Summary'!$F$2,'PBA Summary'!$G$2)</f>
        <v>5.131457727059608E-2</v>
      </c>
      <c r="H38" s="20" cm="1">
        <f t="array" ref="H38">_xll.ASAssetStatistic($A38,"Skewness",,,,"m",'PBA Summary'!$F$2,'PBA Summary'!$G$2)</f>
        <v>0.33126789504768994</v>
      </c>
      <c r="I38" s="20" cm="1">
        <f t="array" ref="I38">_xll.ASAssetStatistic($A38,"Excess kurtosis",,,,"m",'PBA Summary'!$F$2,'PBA Summary'!$G$2)</f>
        <v>-1.0914532049113119</v>
      </c>
      <c r="J38" s="19" cm="1">
        <f t="array" ref="J38">_xll.ASAssetStatistic($A38,"Return Last 1 month",,,,"m",'PBA Summary'!$F$2,'PBA Summary'!$G$2)</f>
        <v>2.0083081309962392E-2</v>
      </c>
      <c r="K38" s="19" cm="1">
        <f t="array" ref="K38">_xll.ASAssetStatistic($A38,"Return Last 3 months",,,,"m",'PBA Summary'!$F$2,'PBA Summary'!$G$2)</f>
        <v>3.4578648143066326E-2</v>
      </c>
      <c r="L38" s="19" cm="1">
        <f t="array" ref="L38">_xll.ASAssetStatistic($A38,"Return Last 1 year",,,,"m",'PBA Summary'!$F$2,'PBA Summary'!$G$2)</f>
        <v>0.16178286314084356</v>
      </c>
      <c r="M38" s="19" cm="1">
        <f t="array" ref="M38">_xll.ASAssetStatistic($A38,"Year-to-date Return",,,,"m",'PBA Summary'!$F$2,'PBA Summary'!$G$2)</f>
        <v>2.0083081309962392E-2</v>
      </c>
      <c r="N38" s="19" cm="1">
        <f t="array" ref="N38">_xll.ASAssetStatistic($A38,"Annualized Return",,,,"m",EOMONTH('PBA Summary'!$G$2,-2),'PBA Summary'!$G$2)</f>
        <v>0.14565550006847516</v>
      </c>
      <c r="O38" s="19" t="str" cm="1">
        <f t="array" ref="O38">_xll.ASAssetStatistic($A38,"Annualized Return Last 3 years",,,,"m",'PBA Summary'!$F$2,'PBA Summary'!$G$2)</f>
        <v/>
      </c>
      <c r="P38" s="19" t="str" cm="1">
        <f t="array" ref="P38">_xll.ASAssetStatistic($A38,"Annualized Return Last 5 years",,,,"m",'PBA Summary'!$F$2,'PBA Summary'!$G$2)</f>
        <v/>
      </c>
      <c r="Q38" s="19" cm="1">
        <f t="array" ref="Q38">_xll.ASAssetStatistic($A38,"Annualized Volatility Last 1 year",,,,"m",'PBA Summary'!$F$2,'PBA Summary'!$G$2)</f>
        <v>4.9199108752383591E-2</v>
      </c>
      <c r="R38" s="19" t="str" cm="1">
        <f t="array" ref="R38">_xll.ASAssetStatistic($A38,"Annualized Volatility Last 3 years",,,,"m",'PBA Summary'!$F$2,'PBA Summary'!$G$2)</f>
        <v/>
      </c>
      <c r="S38" s="19" t="str" cm="1">
        <f t="array" ref="S38">_xll.ASAssetStatistic($A38,"Annualized Volatility Last 5 years",,,,"m",'PBA Summary'!$F$2,'PBA Summary'!$G$2)</f>
        <v/>
      </c>
      <c r="T38" s="19" cm="1">
        <f t="array" ref="T38">_xll.ASAssetStatistic($A38,"Normal monthly VaR 99%",,,,"m",'PBA Summary'!$F$2,'PBA Summary'!$G$2)</f>
        <v>-2.1294890522684726E-2</v>
      </c>
      <c r="U38" s="19" cm="1">
        <f t="array" ref="U38">_xll.ASAssetStatistic($A38,"Modified monthly VaR 99%",,,,"m",'PBA Summary'!$F$2,'PBA Summary'!$G$2)</f>
        <v>-1.3294946008189236E-2</v>
      </c>
      <c r="V38" s="19" cm="1">
        <f t="array" ref="V38">_xll.ASAssetStatistic($A38,"Conditional monthly VaR 99%",,,,"m",'PBA Summary'!$F$2,'PBA Summary'!$G$2)</f>
        <v>-8.699311120336839E-3</v>
      </c>
      <c r="W38" s="19" cm="1">
        <f t="array" ref="W38">_xll.ASAssetStatistic($A38,"Normal monthly VaR 97%",,,,"m",'PBA Summary'!$F$2,'PBA Summary'!$G$2)</f>
        <v>-1.4694787135034564E-2</v>
      </c>
      <c r="X38" s="19" cm="1">
        <f t="array" ref="X38">_xll.ASAssetStatistic($A38,"Modified monthly VaR 97%",,,,"m",'PBA Summary'!$F$2,'PBA Summary'!$G$2)</f>
        <v>-1.1762481021194243E-2</v>
      </c>
      <c r="Y38" s="19" cm="1">
        <f t="array" ref="Y38">_xll.ASAssetStatistic($A38,"Conditional monthly VaR 97%",,,,"m",'PBA Summary'!$F$2,'PBA Summary'!$G$2)</f>
        <v>-8.699311120336839E-3</v>
      </c>
      <c r="Z38" s="19" cm="1">
        <f t="array" ref="Z38">_xll.ASAssetStatistic($A38,"Normal monthly VaR 95%",,,,"m",'PBA Summary'!$F$2,'PBA Summary'!$G$2)</f>
        <v>-1.1199750978014223E-2</v>
      </c>
      <c r="AA38" s="19" cm="1">
        <f t="array" ref="AA38">_xll.ASAssetStatistic($A38,"Modified monthly VaR 95%",,,,"m",'PBA Summary'!$F$2,'PBA Summary'!$G$2)</f>
        <v>-1.010060626020097E-2</v>
      </c>
      <c r="AB38" s="19" cm="1">
        <f t="array" ref="AB38">_xll.ASAssetStatistic($A38,"Conditional monthly VaR 95%",,,,"m",'PBA Summary'!$F$2,'PBA Summary'!$G$2)</f>
        <v>-8.699311120336839E-3</v>
      </c>
      <c r="AC38" s="66" cm="1">
        <f t="array" ref="AC38">_xll.ASAssetStatistic($A38,"Correlation to Benchmark 1","MSCI ACWI Index",,,"m",'PBA Summary'!$F$2,'PBA Summary'!$G$2)</f>
        <v>6.2398608528806222E-2</v>
      </c>
      <c r="AD38" s="38" cm="1">
        <f t="array" ref="AD38">IF('PBA Summary'!$D$3="","",_xll.ASAssetStatistic($A38,"Correlation to Benchmark 1",'PBA Summary'!$D$3,,,"m",'PBA Summary'!$F$2,'PBA Summary'!$G$2))</f>
        <v>7.0772391612029861E-2</v>
      </c>
      <c r="AE38" s="21" cm="1">
        <f t="array" ref="AE38">IF('PBA Summary'!$D$2="","",_xll.ASAssetStatistic($A38,"Bull correlation to Benchmark 1",'PBA Summary'!$D$2,,,"m",'PBA Summary'!$F$2,'PBA Summary'!$G$2))</f>
        <v>0.72498490307064023</v>
      </c>
      <c r="AF38" s="21" cm="1">
        <f t="array" ref="AF38">IF('PBA Summary'!$D$2="","",_xll.ASAssetStatistic($A38,"Bear correlation to Benchmark 1",'PBA Summary'!$D$2,,,"m",'PBA Summary'!$F$2,'PBA Summary'!$G$2))</f>
        <v>0.59210889547688561</v>
      </c>
      <c r="AG38" s="21" cm="1">
        <f t="array" ref="AG38">IF('PBA Summary'!$D$3="","",_xll.ASAssetStatistic($A38,"Bull correlation to Benchmark 1",'PBA Summary'!$D$3,,,"m",'PBA Summary'!$F$2,'PBA Summary'!$G$2))</f>
        <v>0.72498490307064023</v>
      </c>
      <c r="AH38" s="21" cm="1">
        <f t="array" ref="AH38">IF('PBA Summary'!$D$3="","",_xll.ASAssetStatistic($A38,"Bear correlation to Benchmark 1",'PBA Summary'!$D$3,,,"m",'PBA Summary'!$F$2,'PBA Summary'!$G$2))</f>
        <v>0.59210889547688561</v>
      </c>
      <c r="AI38" s="24" cm="1">
        <f t="array" ref="AI38">IF('PBA Summary'!$D$2="","",_xll.ASAssetStatistic($A38,"Beta to Benchmark 1",'PBA Summary'!$D$2,,,"m",'PBA Summary'!$F$2,'PBA Summary'!$G$2))</f>
        <v>2.365529453877744E-2</v>
      </c>
      <c r="AJ38" s="24" t="str" cm="1">
        <f t="array" ref="AJ38">IF('PBA Summary'!$D$2="","",_xll.ASAssetStatistic($A38,"Beta to Benchmark 1 Last 3 years",'PBA Summary'!$D$2,,,"m",'PBA Summary'!$F$2,'PBA Summary'!$G$2))</f>
        <v/>
      </c>
      <c r="AK38" s="24" t="str" cm="1">
        <f t="array" ref="AK38">IF('PBA Summary'!$D$2="","",_xll.ASAssetStatistic($A38,"Beta to Benchmark 1 Last 5 years",'PBA Summary'!$D$2,,,"m",'PBA Summary'!$F$2,'PBA Summary'!$G$2))</f>
        <v/>
      </c>
      <c r="AL38" s="25" cm="1">
        <f t="array" ref="AL38">IF('PBA Summary'!$D$3="","",_xll.ASAssetStatistic($A38,"Beta to Benchmark 1",'PBA Summary'!$D$3,,,"m",'PBA Summary'!$F$2,'PBA Summary'!$G$2))</f>
        <v>2.365529453877744E-2</v>
      </c>
      <c r="AM38" s="25" t="str" cm="1">
        <f t="array" ref="AM38">IF('PBA Summary'!$D$3="","",_xll.ASAssetStatistic($A38,"Beta to Benchmark 1 Last 3 years",'PBA Summary'!$D$3,,,"m",'PBA Summary'!$F$2,'PBA Summary'!$G$2))</f>
        <v/>
      </c>
      <c r="AN38" s="25" t="str" cm="1">
        <f t="array" ref="AN38">IF('PBA Summary'!$D$3="","",_xll.ASAssetStatistic($A38,"Beta to Benchmark 1 Last 5 years",'PBA Summary'!$D$3,,,"m",'PBA Summary'!$F$2,'PBA Summary'!$G$2))</f>
        <v/>
      </c>
      <c r="AO38" s="25" cm="1">
        <f t="array" ref="AO38">IF('PBA Summary'!$D$2="","",_xll.ASAssetStatistic($A38,"Bull Beta to Benchmark 1",'PBA Summary'!$D$2,,,"m",'PBA Summary'!$F$2,'PBA Summary'!$G$2))</f>
        <v>0.52169746858111565</v>
      </c>
      <c r="AP38" s="25" cm="1">
        <f t="array" ref="AP38">IF('PBA Summary'!$D$2="","",_xll.ASAssetStatistic($A38,"Bear Beta to Benchmark 1",'PBA Summary'!$D$2,,,"m",'PBA Summary'!$F$2,'PBA Summary'!$G$2))</f>
        <v>0.13879181071167332</v>
      </c>
      <c r="AQ38" s="25" cm="1">
        <f t="array" ref="AQ38">IF('PBA Summary'!$D$3="","",_xll.ASAssetStatistic($A38,"Bull Beta to Benchmark 1",'PBA Summary'!$D$3,,,"m",'PBA Summary'!$F$2,'PBA Summary'!$G$2))</f>
        <v>0.52169746858111565</v>
      </c>
      <c r="AR38" s="25" cm="1">
        <f t="array" ref="AR38">IF('PBA Summary'!$D$3="","",_xll.ASAssetStatistic($A38,"Bear Beta to Benchmark 1",'PBA Summary'!$D$3,,,"m",'PBA Summary'!$F$2,'PBA Summary'!$G$2))</f>
        <v>0.13879181071167332</v>
      </c>
      <c r="AS38" s="25" cm="1">
        <f t="array" ref="AS38">_xll.ASAssetStatistic($A38,"Annual Sharpe Ratio (Rf)",,,'PBA Summary'!$H$2,"m",'PBA Summary'!$F$2,'PBA Summary'!$G$2)</f>
        <v>3.2359624203971067</v>
      </c>
      <c r="AT38" s="25" t="str" cm="1">
        <f t="array" ref="AT38">_xll.ASAssetStatistic($A38,"Annual Sharpe Ratio (Rf) Last 3 years",,,'PBA Summary'!$H$2,"m",'PBA Summary'!$F$2,'PBA Summary'!$G$2)</f>
        <v/>
      </c>
      <c r="AU38" s="25" t="str" cm="1">
        <f t="array" ref="AU38">_xll.ASAssetStatistic($A38,"Annual Sharpe Ratio (Rf) Last 5 years",,,'PBA Summary'!$H$2,"m",'PBA Summary'!$F$2,'PBA Summary'!$G$2)</f>
        <v/>
      </c>
      <c r="AV38" s="18" cm="1">
        <f t="array" ref="AV38">_xll.ASAssetStatistic($A38,"Ann. Downside Deviation (vs 0%)",,,'PBA Summary'!$H$2,"m",'PBA Summary'!$F$2,'PBA Summary'!$G$2)</f>
        <v>9.5002396471021294E-3</v>
      </c>
      <c r="AW38" s="18" cm="1">
        <f t="array" ref="AW38">_xll.ASAssetStatistic($A38,"Ann. Downside Deviation (vs Rf)",,,'PBA Summary'!$H$2,"m",'PBA Summary'!$F$2,'PBA Summary'!$G$2)</f>
        <v>9.7828129103939079E-3</v>
      </c>
      <c r="AX38" s="39" cm="1">
        <f t="array" ref="AX38">_xll.ASAssetStatistic($A38,"Annual Treynor ratio",,,'PBA Summary'!$H$2,"m",'PBA Summary'!$F$2,'PBA Summary'!$G$2)</f>
        <v>0.45373505901795658</v>
      </c>
      <c r="AY38" s="26" cm="1">
        <f t="array" ref="AY38">_xll.ASAssetStatistic($A38,"Annual Sortino Ratio (vs 0%)",,,'PBA Summary'!$H$2,"m",'PBA Summary'!$F$2,'PBA Summary'!$G$2)</f>
        <v>17.741872829242379</v>
      </c>
      <c r="AZ38" s="26" cm="1">
        <f t="array" ref="AZ38">_xll.ASAssetStatistic($A38,"Annual Sortino Ratio (vs Rf)",,,'PBA Summary'!$H$2,"m",'PBA Summary'!$F$2,'PBA Summary'!$G$2)</f>
        <v>16.973854574054847</v>
      </c>
      <c r="BA38" s="26" cm="1">
        <f t="array" ref="BA38">_xll.ASAssetStatistic($A38,"Sterling ratio",,,'PBA Summary'!$H$2,"m",'PBA Summary'!$F$2,'PBA Summary'!$G$2)</f>
        <v>1.5506266040602146</v>
      </c>
      <c r="BB38" s="26" cm="1">
        <f t="array" ref="BB38">_xll.ASAssetStatistic($A38,"Calmar ratio",,,'PBA Summary'!$H$2,"m",'PBA Summary'!$F$2,'PBA Summary'!$G$2)</f>
        <v>19.37533229179256</v>
      </c>
      <c r="BC38" s="26" cm="1">
        <f t="array" ref="BC38">_xll.ASAssetStatistic($A38,"Hurst index",,,'PBA Summary'!$H$2,"m",'PBA Summary'!$F$2,'PBA Summary'!$G$2)</f>
        <v>0.47157903210774238</v>
      </c>
      <c r="BD38" s="26" cm="1">
        <f t="array" ref="BD38">_xll.ASAssetStatistic($A38,"Omega (Threshold 1)",,,'PBA Summary'!$H$2,"m",'PBA Summary'!$F$2,'PBA Summary'!$G$2)</f>
        <v>13.302089971810149</v>
      </c>
      <c r="BE38" s="26" cm="1">
        <f t="array" ref="BE38">_xll.ASAssetStatistic($A38,"Omega (Threshold 2)",,,'PBA Summary'!$H$2,"m",'PBA Summary'!$F$2,'PBA Summary'!$G$2)</f>
        <v>4.7758589346326588</v>
      </c>
      <c r="BF38" s="26" cm="1">
        <f t="array" ref="BF38">_xll.ASAssetStatistic($A38,"Omega (Threshold 3)",,,'PBA Summary'!$H$2,"m",'PBA Summary'!$F$2,'PBA Summary'!$G$2)</f>
        <v>1.7141540306822063</v>
      </c>
      <c r="BG38" s="26" cm="1">
        <f t="array" ref="BG38">_xll.ASAssetStatistic($A38,"Omega (Threshold 4)",,,'PBA Summary'!$H$2,"m",'PBA Summary'!$F$2,'PBA Summary'!$G$2)</f>
        <v>0.74579148331717537</v>
      </c>
      <c r="BH38" s="26" cm="1">
        <f t="array" ref="BH38">_xll.ASAssetStatistic($A38,"Omega (Threshold 5)",,,'PBA Summary'!$H$2,"m",'PBA Summary'!$F$2,'PBA Summary'!$G$2)</f>
        <v>0.34605701501871539</v>
      </c>
      <c r="BI38" s="26" t="str" cm="1">
        <f t="array" ref="BI38">_xll.ASAssetStatistic($A38,"Autocorrelated (illiquid)",,,'PBA Summary'!$H$2,"m",'PBA Summary'!$F$2,'PBA Summary'!$G$2)</f>
        <v>No</v>
      </c>
      <c r="BJ38" s="27" cm="1">
        <f t="array" ref="BJ38">_xll.ASAssetStatistic($A38,"% months in Run Up",,,'PBA Summary'!$H$2,"m",'PBA Summary'!$F$2,'PBA Summary'!$G$2)</f>
        <v>0.8</v>
      </c>
      <c r="BK38" s="27" cm="1">
        <f t="array" ref="BK38">_xll.ASAssetStatistic($A38,"% months in Drawdown",,,'PBA Summary'!$H$2,"m",'PBA Summary'!$F$2,'PBA Summary'!$G$2)</f>
        <v>0.2</v>
      </c>
      <c r="BL38" s="18" cm="1">
        <f t="array" ref="BL38">IF('PBA Summary'!$D$2="","",_xll.ASAssetStatistic($A38,"Bull Beta to Benchmark 1",'PBA Summary'!$D$2,,,"m",'PBA Summary'!$F$2,'PBA Summary'!$G$2))</f>
        <v>0.52169746858111565</v>
      </c>
      <c r="BM38" s="18" cm="1">
        <f t="array" ref="BM38">IF('PBA Summary'!$D$2="","",_xll.ASAssetStatistic($A38,"Average return during bear Benchmark 1",'PBA Summary'!$D$2,,,"m",'PBA Summary'!$F$2,'PBA Summary'!$G$2))</f>
        <v>2.1288254773125403E-2</v>
      </c>
      <c r="BN38" s="18" cm="1">
        <f t="array" ref="BN38">IF('PBA Summary'!$D$3="","",_xll.ASAssetStatistic($A38,"Average return during bull Benchmark 1",'PBA Summary'!$D$3,,,"m",'PBA Summary'!$F$2,'PBA Summary'!$G$2))</f>
        <v>1.0212268276307258E-2</v>
      </c>
      <c r="BO38" s="18" cm="1">
        <f t="array" ref="BO38">IF('PBA Summary'!$D$3="","",_xll.ASAssetStatistic($A38,"Average return during bear Benchmark 1",'PBA Summary'!$D$3,,,"m",'PBA Summary'!$F$2,'PBA Summary'!$G$2))</f>
        <v>2.1288254773125403E-2</v>
      </c>
      <c r="BP38" s="27" cm="1">
        <f t="array" ref="BP38">_xll.ASAssetStatistic($A38,"Maximum consecutive gain",,,'PBA Summary'!$H$2,"m",'PBA Summary'!$F$2,'PBA Summary'!$G$2)</f>
        <v>0.12737862494081575</v>
      </c>
      <c r="BQ38" s="27" cm="1">
        <f t="array" ref="BQ38">_xll.ASAssetStatistic($A38,"Maximum consecutive loss",,,'PBA Summary'!$H$2,"m",'PBA Summary'!$F$2,'PBA Summary'!$G$2)</f>
        <v>-8.699311120336839E-3</v>
      </c>
      <c r="BR38" s="27" cm="1">
        <f t="array" ref="BR38">_xll.ASAssetStatistic($A38,"Max monthly gain",,,'PBA Summary'!$H$2,"m",'PBA Summary'!$F$2,'PBA Summary'!$G$2)</f>
        <v>3.5334409898294838E-2</v>
      </c>
      <c r="BS38" s="27" cm="1">
        <f t="array" ref="BS38">_xll.ASAssetStatistic($A38,"Max monthly loss",,,'PBA Summary'!$H$2,"m",'PBA Summary'!$F$2,'PBA Summary'!$G$2)</f>
        <v>-8.699311120336839E-3</v>
      </c>
      <c r="BT38" s="27" cm="1">
        <f t="array" ref="BT38">_xll.ASAssetStatistic($A38,"Max drawdown",,,'PBA Summary'!$H$2,"m",'PBA Summary'!$F$2,'PBA Summary'!$G$2)</f>
        <v>-8.699311120336839E-3</v>
      </c>
      <c r="BU38" s="28" cm="1">
        <f t="array" ref="BU38">_xll.ASAssetStatistic($A38,"Date Max drawdown",,,'PBA Summary'!$H$2,"m",'PBA Summary'!$F$2,'PBA Summary'!$G$2)</f>
        <v>43738</v>
      </c>
      <c r="BV38" s="28" cm="1">
        <f t="array" ref="BV38">_xll.ASAssetStatistic($A38,"Start Date Max Drawdown",,,'PBA Summary'!$H$2,"m",'PBA Summary'!$F$2,'PBA Summary'!$G$2)</f>
        <v>43738</v>
      </c>
      <c r="BW38" s="28" cm="1">
        <f t="array" ref="BW38">_xll.ASAssetStatistic($A38,"End Date Max Drawdown",,,'PBA Summary'!$H$2,"m",'PBA Summary'!$F$2,'PBA Summary'!$G$2)</f>
        <v>43769</v>
      </c>
      <c r="BX38" s="29" cm="1">
        <f t="array" ref="BX38">_xll.ASAssetStatistic($A38,"Max Time-under-water (months)",,,'PBA Summary'!$H$2,"m",'PBA Summary'!$F$2,'PBA Summary'!$G$2)</f>
        <v>2</v>
      </c>
      <c r="BY38" s="27" cm="1">
        <f t="array" ref="BY38">_xll.ASAssetStatistic($A38,"Max possible drawdown 99%",,,'PBA Summary'!$H$2,"m",'PBA Summary'!$F$2,'PBA Summary'!$G$2)</f>
        <v>-2.2549670646394397E-2</v>
      </c>
      <c r="BZ38" s="27" cm="1">
        <f t="array" ref="BZ38">_xll.ASAssetStatistic($A38,"Max possible drawdown 99.9%",,,'PBA Summary'!$H$2,"m",'PBA Summary'!$F$2,'PBA Summary'!$G$2)</f>
        <v>-3.9789927120993086E-2</v>
      </c>
      <c r="CA38" s="30" cm="1">
        <f t="array" ref="CA38">_xll.ASAssetStatistic($A38,"Max Possible Time-under-water 99% (months)",,,'PBA Summary'!$H$2,"m",'PBA Summary'!$F$2,'PBA Summary'!$G$2)</f>
        <v>6.8509501509390693</v>
      </c>
      <c r="CB38" s="30" cm="1">
        <f t="array" ref="CB38">_xll.ASAssetStatistic($A38,"Max Possible Time-under-water 99.9% (months)",,,'PBA Summary'!$H$2,"m",'PBA Summary'!$F$2,'PBA Summary'!$G$2)</f>
        <v>12.088815463875063</v>
      </c>
      <c r="CC38" s="17" cm="1">
        <f t="array" ref="CC38">_xll.ASPortfolioReturnAttribution('PBA Summary'!$C$2,"OR",A38,"Last 1m",'PBA Summary'!$F$2,'PBA Summary'!$G$2)</f>
        <v>0</v>
      </c>
      <c r="CD38" s="11" t="str" cm="1">
        <f t="array" ref="CD38">_xll.ASAssetInfo($A38,"Strategy")</f>
        <v>Funds - Credit Long Only</v>
      </c>
      <c r="CE38" s="14" cm="1">
        <f t="array" ref="CE38">_xll.ASAssetInfo($A38,"Start Date")</f>
        <v>37761</v>
      </c>
      <c r="CF38" s="14" t="str" cm="1">
        <f t="array" ref="CF38">_xll.ASAssetRatings($A38,"Quantitative",0,0,0,0,0,'PBA Summary'!$F$2,'PBA Summary'!$G$2)</f>
        <v/>
      </c>
      <c r="CG38" s="14" t="str" cm="1">
        <f t="array" ref="CG38">_xll.ASAssetRatings($A38,"Qualitative",0,0,0,0,0,'PBA Summary'!$F$2,'PBA Summary'!$G$2)</f>
        <v/>
      </c>
      <c r="CH38" s="14" t="str" cm="1">
        <f t="array" ref="CH38">_xll.ASAssetRatings($A38,"Final",0,0,0,0,0,'PBA Summary'!$F$2,'PBA Summary'!$G$2)</f>
        <v/>
      </c>
      <c r="CI38" s="14" cm="1">
        <f t="array" ref="CI38">_xll.ASAssetInfo($A38,"Last Return Date")</f>
        <v>44134</v>
      </c>
      <c r="CJ38" s="14" t="str" cm="1">
        <f t="array" ref="CJ38">_xll.ASAssetInfo($A38,"Company Name")</f>
        <v>iShares ETFs/Ireland</v>
      </c>
      <c r="CK38" s="14" t="str" cm="1">
        <f t="array" ref="CK38">_xll.ASAssetInfo($A38,"Manager Name")</f>
        <v>Allen Kwong</v>
      </c>
      <c r="CL38" s="14" t="str" cm="1">
        <f t="array" ref="CL38">_xll.ASAssetInfo($A38,"Address")</f>
        <v>BlackRock Inc. JP Morgan House. International Financial Services Ctr. Dublin 1. Ireland</v>
      </c>
      <c r="CM38" s="14" t="str" cm="1">
        <f t="array" ref="CM38">_xll.ASAssetInfo($A38,"Phone Number")</f>
        <v>+44-20-7668-8007 Tel</v>
      </c>
      <c r="CN38" s="14" t="str" cm="1">
        <f t="array" ref="CN38">_xll.ASAssetInfo($A38,"Email")</f>
        <v/>
      </c>
      <c r="CO38" s="14" t="str" cm="1">
        <f t="array" ref="CO38">_xll.ASAssetInfo($A38,"Asset Type")</f>
        <v>Fixed Income</v>
      </c>
      <c r="CP38" s="14" t="str" cm="1">
        <f t="array" ref="CP38">_xll.ASAssetInfo($A38,"Proprietary ID")</f>
        <v/>
      </c>
      <c r="CQ38" s="14" t="str" cm="1">
        <f t="array" ref="CQ38">_xll.ASAssetInfo($A38,"Country")</f>
        <v>Ireland</v>
      </c>
      <c r="CR38" s="14" t="str" cm="1">
        <f t="array" ref="CR38">_xll.ASAssetInfo($A38,"Currency")</f>
        <v>USD</v>
      </c>
      <c r="CS38" s="14" t="str" cm="1">
        <f t="array" ref="CS38">_xll.ASAssetInfo($A38,"Sub-Strategy")</f>
        <v>IG</v>
      </c>
      <c r="CT38" s="31" cm="1">
        <f t="array" ref="CT38">_xll.ASAssetInfo($A38,"Fund AUM (m)")</f>
        <v>10274.4534</v>
      </c>
      <c r="CU38" s="31" t="str" cm="1">
        <f t="array" ref="CU38">_xll.ASAssetInfo($A38,"Status")</f>
        <v>Unknown</v>
      </c>
      <c r="CV38" s="31" t="str" cm="1">
        <f t="array" ref="CV38">_xll.ASAssetInfo($A38,"Redemption 1 Frequency")</f>
        <v>Daily</v>
      </c>
      <c r="CW38" s="31" t="str" cm="1">
        <f t="array" ref="CW38">_xll.ASAssetInfo($A38,"Redemption 2 Frequency")</f>
        <v>Unknown</v>
      </c>
      <c r="CX38" s="31" t="str" cm="1">
        <f t="array" ref="CX38">_xll.ASAssetInfo($A38,"Redemption 3 Frequency")</f>
        <v>Unknown</v>
      </c>
      <c r="CY38" s="31" t="str" cm="1">
        <f t="array" ref="CY38">_xll.ASAssetInfo($A38,"Notice Period")</f>
        <v/>
      </c>
      <c r="CZ38" s="15" t="str" cm="1">
        <f t="array" ref="CZ38">_xll.ASAssetInfo($A38,"Performance Fee")</f>
        <v/>
      </c>
      <c r="DA38" s="15" cm="1">
        <f t="array" ref="DA38">_xll.ASAssetInfo($A38,"Management Fee")</f>
        <v>2E-3</v>
      </c>
      <c r="DB38" s="15" t="str" cm="1">
        <f t="array" ref="DB38">_xll.ASAssetInfo($A38,"ISIN")</f>
        <v>IE0032895942</v>
      </c>
      <c r="DC38" s="16" cm="1">
        <f t="array" ref="DC38">_xll.ASAssetStatistic($A38,"Return during " &amp;YEAR(EOMONTH('PBA Summary'!$G$2,-60)),,,,"M",DATE(YEAR(EOMONTH('PBA Summary'!$G$2,-60)),1,31),DATE(YEAR(EOMONTH('PBA Summary'!$G$2,-60)),12,31))</f>
        <v>-8.9946850742674833E-3</v>
      </c>
      <c r="DD38" s="16" cm="1">
        <f t="array" ref="DD38">_xll.ASAssetStatistic($A38,"Return during " &amp;YEAR(EOMONTH('PBA Summary'!$G$2,-48)),,,,"M",DATE(YEAR(EOMONTH('PBA Summary'!$G$2,-48)),1,31),DATE(YEAR(EOMONTH('PBA Summary'!$G$2,-48)),12,31))</f>
        <v>6.7023937669794531E-2</v>
      </c>
      <c r="DE38" s="16" cm="1">
        <f t="array" ref="DE38">_xll.ASAssetStatistic($A38,"Return during " &amp;YEAR(EOMONTH('PBA Summary'!$G$2,-36)),,,,"M",DATE(YEAR(EOMONTH('PBA Summary'!$G$2,-36)),1,31),DATE(YEAR(EOMONTH('PBA Summary'!$G$2,-36)),12,31))</f>
        <v>6.8051557004830565E-2</v>
      </c>
      <c r="DF38" s="16" cm="1">
        <f t="array" ref="DF38">_xll.ASAssetStatistic($A38,"Return during " &amp;YEAR(EOMONTH('PBA Summary'!$G$2,-24)),,,,"M",DATE(YEAR(EOMONTH('PBA Summary'!$G$2,-24)),1,31),DATE(YEAR(EOMONTH('PBA Summary'!$G$2,-24)),12,31))</f>
        <v>-3.9449165368682038E-2</v>
      </c>
      <c r="DG38" s="16" cm="1">
        <f t="array" ref="DG38">_xll.ASAssetStatistic($A38,"Return during " &amp;YEAR(EOMONTH('PBA Summary'!$G$2,-12)),,,,"M",DATE(YEAR(EOMONTH('PBA Summary'!$G$2,-12)),1,31),DATE(YEAR(EOMONTH('PBA Summary'!$G$2,-12)),12,31))</f>
        <v>0.17872372704928496</v>
      </c>
      <c r="DH38" s="11" t="str" cm="1">
        <f t="array" ref="DH38">_xll.ASAssetInfo($A38,"Prime Broker")</f>
        <v/>
      </c>
      <c r="DI38" s="16" cm="1">
        <f t="array" ref="DI38">_xll.ASAssetStatistic($A38,"Return",,,,"m",'PBA Summary'!$F$2,'PBA Summary'!$G$2)</f>
        <v>0.21495466834221499</v>
      </c>
      <c r="DJ38" s="33" cm="1">
        <f t="array" ref="DJ38">IF('PBA Summary'!$D$2="","",_xll.ASAssetStatistic($A38,"Ann. Information Ratio vs Benchmark 1",'PBA Summary'!$D$2,,,"m",'PBA Summary'!$F$2,'PBA Summary'!$G$2))</f>
        <v>-2.3740556033850582E-2</v>
      </c>
      <c r="DK38" s="33" cm="1">
        <f t="array" ref="DK38">IF('PBA Summary'!$D$3="","",_xll.ASAssetStatistic($A38,"Ann. Information Ratio vs Benchmark 1",'PBA Summary'!$D$3,,,"m",'PBA Summary'!$F$2,'PBA Summary'!$G$2))</f>
        <v>-2.3740556033850582E-2</v>
      </c>
      <c r="DL38" s="33" cm="1">
        <f t="array" ref="DL38">IF('PBA Summary'!$D$2="","",_xll.ASAssetStatistic($A38,"Ann. Tracking Error vs Benchmark 1",'PBA Summary'!$D$2,,,"m",'PBA Summary'!$F$2,'PBA Summary'!$G$2))</f>
        <v>0.15839100630554589</v>
      </c>
      <c r="DM38" s="33" cm="1">
        <f t="array" ref="DM38">IF('PBA Summary'!$D$3="","",_xll.ASAssetStatistic($A38,"Ann. Tracking Error vs Benchmark 1",'PBA Summary'!$D$3,,,"m",'PBA Summary'!$F$2,'PBA Summary'!$G$2))</f>
        <v>0.15839100630554589</v>
      </c>
      <c r="DN38" s="33" cm="1">
        <f t="array" ref="DN38">IF('PBA Summary'!$D$2="","",_xll.ASAssetStatistic($A38,"R² vs Benchmark 1",'PBA Summary'!$D$2,,,"m",'PBA Summary'!$F$2,'PBA Summary'!$G$2))</f>
        <v>5.0087314144865143E-3</v>
      </c>
      <c r="DO38" s="33" cm="1">
        <f t="array" ref="DO38">IF('PBA Summary'!$D$3="","",_xll.ASAssetStatistic($A38,"R² vs Benchmark 1",'PBA Summary'!$D$3,,,"m",'PBA Summary'!$F$2,'PBA Summary'!$G$2))</f>
        <v>5.0087314144865143E-3</v>
      </c>
      <c r="DP38" s="11" t="str" cm="1">
        <f t="array" ref="DP38">_xll.ASAssetInfo($A38,"On-/Offshore")</f>
        <v>Unknown</v>
      </c>
      <c r="DQ38" s="16" cm="1">
        <f t="array" ref="DQ38">_xll.ASAssetStatistic($A38,"Quarter-to-date",,,,"m",'PBA Summary'!$F$2,'PBA Summary'!$G$2)</f>
        <v>2.0083081309962392E-2</v>
      </c>
      <c r="DR38" s="16" cm="1">
        <f t="array" ref="DR38">_xll.ASAssetStatistic($A38,"Annualized Return Since inception",,,,"m",'PBA Summary'!$F$2,'PBA Summary'!$G$2)</f>
        <v>5.0014439194595361E-2</v>
      </c>
      <c r="DS38" s="16" cm="1">
        <f t="array" ref="DS38">IF('PBA Summary'!$D$2="","",_xll.ASAssetStatistic($A38,"Ann. Bear Market Return vs Benchmark 1",'PBA Summary'!$D$2,,,"m",'PBA Summary'!$F$2,'PBA Summary'!$G$2))</f>
        <v>0.28706977972039183</v>
      </c>
      <c r="DT38" s="16" cm="1">
        <f t="array" ref="DT38">IF('PBA Summary'!$D$2="","",_xll.ASAssetStatistic($A38,"Ann. Bull Market Return vs Benchmark 1",'PBA Summary'!$D$2,,,"m",'PBA Summary'!$F$2,'PBA Summary'!$G$2))</f>
        <v>0.12821546089258917</v>
      </c>
      <c r="DU38" s="16" cm="1">
        <f t="array" ref="DU38">IF('PBA Summary'!$D$3="","",_xll.ASAssetStatistic($A38,"Ann. Bear Market Return vs Benchmark 1",'PBA Summary'!$D$3,,,"m",'PBA Summary'!$F$2,'PBA Summary'!$G$2))</f>
        <v>0.28706977972039183</v>
      </c>
      <c r="DV38" s="16" cm="1">
        <f t="array" ref="DV38">IF('PBA Summary'!$D$3="","",_xll.ASAssetStatistic($A38,"Ann. Bull Market Return vs Benchmark 1",'PBA Summary'!$D$3,,,"m",'PBA Summary'!$F$2,'PBA Summary'!$G$2))</f>
        <v>0.12821546089258917</v>
      </c>
      <c r="DW38" s="17" cm="1">
        <f t="array" ref="DW38">_xll.ASAssetStatistic($A38,"Average Positive Return",,,,"m",'PBA Summary'!$F$2,'PBA Summary'!$G$2)</f>
        <v>1.7795097913336517E-2</v>
      </c>
      <c r="DX38" s="17" cm="1">
        <f t="array" ref="DX38">_xll.ASAssetStatistic($A38,"Average Negative Return",,,,"m",'PBA Summary'!$F$2,'PBA Summary'!$G$2)</f>
        <v>-5.351068276052251E-3</v>
      </c>
      <c r="DY38" s="16" cm="1">
        <f t="array" ref="DY38">IF('PBA Summary'!$D$2="","",_xll.ASAssetStatistic($A38,"Outperformance vs Benchmark 1",'PBA Summary'!$D$2,,,"m",'PBA Summary'!$F$2,'PBA Summary'!$G$2))</f>
        <v>-4.8889764665036584E-3</v>
      </c>
      <c r="DZ38" s="16" cm="1">
        <f t="array" ref="DZ38">IF('PBA Summary'!$D$3="","",_xll.ASAssetStatistic($A38,"Outperformance vs Benchmark 1",'PBA Summary'!$D$3,,,"m",'PBA Summary'!$F$2,'PBA Summary'!$G$2))</f>
        <v>-4.8889764665036584E-3</v>
      </c>
      <c r="EA38" s="16" cm="1">
        <f t="array" ref="EA38">IF('PBA Summary'!$D$2="","",_xll.ASAssetStatistic($A38,"Annual Outperformance vs Benchmark 1",'PBA Summary'!$D$2,,,"m",'PBA Summary'!$F$2,'PBA Summary'!$G$2))</f>
        <v>-3.7602905604547932E-3</v>
      </c>
      <c r="EB38" s="16" cm="1">
        <f t="array" ref="EB38">IF('PBA Summary'!$D$3="","",_xll.ASAssetStatistic($A38,"Annual Outperformance vs Benchmark 1",'PBA Summary'!$D$3,,,"m",'PBA Summary'!$F$2,'PBA Summary'!$G$2))</f>
        <v>-3.7602905604547932E-3</v>
      </c>
      <c r="EC38" s="32" cm="1">
        <f t="array" ref="EC38">_xll.ASAssetStatistic($A38,"Rachev Ratio 99%",,,,"m",'PBA Summary'!$F$2,'PBA Summary'!$G$2)</f>
        <v>-4.0617480406801088</v>
      </c>
      <c r="ED38" s="32" cm="1">
        <f t="array" ref="ED38">_xll.ASAssetStatistic($A38,"Rachev Ratio 97%",,,,"m",'PBA Summary'!$F$2,'PBA Summary'!$G$2)</f>
        <v>-4.0617480406801088</v>
      </c>
      <c r="EE38" s="32" cm="1">
        <f t="array" ref="EE38">_xll.ASAssetStatistic($A38,"Rachev Ratio 95%",,,,"m",'PBA Summary'!$F$2,'PBA Summary'!$G$2)</f>
        <v>-4.0617480406801088</v>
      </c>
      <c r="EF38" s="32" cm="1">
        <f t="array" ref="EF38">_xll.ASAssetStatistic($A38,"Rachev Ratio 90%",,,,"m",'PBA Summary'!$F$2,'PBA Summary'!$G$2)</f>
        <v>-4.8067878504621167</v>
      </c>
      <c r="EG38" s="34" cm="1">
        <f t="array" ref="EG38">IF('PBA Summary'!$D$2="","",_xll.ASAssetStatistic($A38,"Annual Up Capture vs Benchmark 1",'PBA Summary'!$D$2,,,"m",'PBA Summary'!$F$2,'PBA Summary'!$G$2))</f>
        <v>0.25328618804414615</v>
      </c>
      <c r="EH38" s="34" cm="1">
        <f t="array" ref="EH38">IF('PBA Summary'!$D$3="","",_xll.ASAssetStatistic($A38,"Annual Up Capture vs Benchmark 1",'PBA Summary'!$D$3,,,"m",'PBA Summary'!$F$2,'PBA Summary'!$G$2))</f>
        <v>0.25328618804414615</v>
      </c>
      <c r="EI38" s="34" cm="1">
        <f t="array" ref="EI38">IF('PBA Summary'!$D$2="","",_xll.ASAssetStatistic($A38,"Annual Down Capture vs Benchmark 1",'PBA Summary'!$D$2,,,"m",'PBA Summary'!$F$2,'PBA Summary'!$G$2))</f>
        <v>-0.69757780366367761</v>
      </c>
      <c r="EJ38" s="34" cm="1">
        <f t="array" ref="EJ38">IF('PBA Summary'!$D$3="","",_xll.ASAssetStatistic($A38,"Annual Down Capture vs Benchmark 1",'PBA Summary'!$D$3,,,"m",'PBA Summary'!$F$2,'PBA Summary'!$G$2))</f>
        <v>-0.69757780366367761</v>
      </c>
      <c r="EK38" s="16" cm="1">
        <f t="array" ref="EK38">IF('PBA Summary'!$D$2="","",_xll.ASAssetStatistic($A38,"Ann. Tracking Error vs Benchmark 1",'PBA Summary'!$D$2,,,"m",'PBA Summary'!$F$2,'PBA Summary'!$G$2))</f>
        <v>0.15839100630554589</v>
      </c>
      <c r="EL38" s="16" cm="1">
        <f t="array" ref="EL38">IF('PBA Summary'!$D$3="","",_xll.ASAssetStatistic($A38,"Ann. Tracking Error vs Benchmark 1",'PBA Summary'!$D$3,,,"m",'PBA Summary'!$F$2,'PBA Summary'!$G$2))</f>
        <v>0.15839100630554589</v>
      </c>
      <c r="EM38" s="16" cm="1">
        <f t="array" ref="EM38">IF('PBA Summary'!$D$2="","",_xll.ASAssetStatistic($A38,"Annual Jensen Alpha vs Benchmark 1 (Rf)",'PBA Summary'!$D$2,,,"m",'PBA Summary'!$F$2,'PBA Summary'!$G$2))</f>
        <v>0.16203508288376334</v>
      </c>
      <c r="EN38" s="16" cm="1">
        <f t="array" ref="EN38">IF('PBA Summary'!$D$3="","",_xll.ASAssetStatistic($A38,"Annual Jensen Alpha vs Benchmark 1 (Rf)",'PBA Summary'!$D$3,,,"m",'PBA Summary'!$F$2,'PBA Summary'!$G$2))</f>
        <v>0.16203508288376334</v>
      </c>
      <c r="EO38" s="33" cm="1">
        <f t="array" ref="EO38">IF('PBA Summary'!$D$2="","",_xll.ASAssetStatistic($A38,"Ann. Information Ratio vs Benchmark 1",'PBA Summary'!$D$2,,,"m",'PBA Summary'!$F$2,'PBA Summary'!$G$2))</f>
        <v>-2.3740556033850582E-2</v>
      </c>
      <c r="EP38" s="33" cm="1">
        <f t="array" ref="EP38">IF('PBA Summary'!$D$3="","",_xll.ASAssetStatistic($A38,"Ann. Information Ratio vs Benchmark 1",'PBA Summary'!$D$3,,,"m",'PBA Summary'!$F$2,'PBA Summary'!$G$2))</f>
        <v>-2.3740556033850582E-2</v>
      </c>
      <c r="EQ38" s="17" cm="1">
        <f t="array" ref="EQ38">IF('PBA Summary'!$D$2="","",_xll.ASAssetStatistic($A38,"Alpha Monthly vs Benchmark 1",'PBA Summary'!$D$2,,,"m",'PBA Summary'!$F$2,'PBA Summary'!$G$2))</f>
        <v>1.2828363306838654E-2</v>
      </c>
      <c r="ER38" s="17" cm="1">
        <f t="array" ref="ER38">IF('PBA Summary'!$D$3="","",_xll.ASAssetStatistic($A38,"Alpha Monthly vs Benchmark 1",'PBA Summary'!$D$3,,,"m",'PBA Summary'!$F$2,'PBA Summary'!$G$2))</f>
        <v>1.2828363306838654E-2</v>
      </c>
      <c r="ES38" s="11" t="str" cm="1">
        <f t="array" ref="ES38">_xll.ASAssetInfo($A38,"Company AUM (m)")</f>
        <v/>
      </c>
      <c r="ET38" s="16" cm="1">
        <f t="array" ref="ET38">_xll.ASAssetStatistic($A38,"Exponential Annualized Volatility",,,,"m",'PBA Summary'!$F$2,'PBA Summary'!$G$2)</f>
        <v>4.8255008606044772E-2</v>
      </c>
      <c r="EU38" s="16" cm="1">
        <f t="array" ref="EU38">_xll.ASAssetStatistic($A38,"Exponential Annualized Volatility Last 1 year",,,,"m",'PBA Summary'!$F$2,'PBA Summary'!$G$2)</f>
        <v>4.6937751278356983E-2</v>
      </c>
      <c r="EV38" s="16" t="str" cm="1">
        <f t="array" ref="EV38">_xll.ASAssetStatistic($A38,"Exponential Annualized Volatility Last 3 years",,,,"m",'PBA Summary'!$F$2,'PBA Summary'!$G$2)</f>
        <v/>
      </c>
      <c r="EW38" s="34" cm="1">
        <f t="array" ref="EW38">IF('PBA Summary'!$D$2="","",_xll.ASAssetStatistic($A38,"Exponential Correlation to Benchmark 1",'PBA Summary'!$D$2,,,"m",'PBA Summary'!$F$2,'PBA Summary'!$G$2))</f>
        <v>-1.2234984980893046E-2</v>
      </c>
      <c r="EX38" s="34" cm="1">
        <f t="array" ref="EX38">IF('PBA Summary'!$D$3="","",_xll.ASAssetStatistic($A38,"Exponential Correlation to Benchmark 1",'PBA Summary'!$D$3,,,"m",'PBA Summary'!$F$2,'PBA Summary'!$G$2))</f>
        <v>-1.2234984980893046E-2</v>
      </c>
      <c r="EY38" s="34" cm="1">
        <f t="array" ref="EY38">_xll.ASAssetStatistic($A38,"Exponential Annual Sharpe Ratio (Rf)",,,,"m",'PBA Summary'!$F$2,'PBA Summary'!$G$2)</f>
        <v>3.3300815501860024</v>
      </c>
      <c r="EZ38" s="34" cm="1">
        <f t="array" ref="EZ38">_xll.ASAssetStatistic($A38,"Exponential Normal Monthly VaR 99%",,,,"m",'PBA Summary'!$F$2,'PBA Summary'!$G$2)</f>
        <v>-1.9728984400134663E-2</v>
      </c>
      <c r="FA38" s="34" cm="1">
        <f t="array" ref="FA38">_xll.ASAssetStatistic($A38,"Exponential Normal Monthly VaR 97%",,,,"m",'PBA Summary'!$F$2,'PBA Summary'!$G$2)</f>
        <v>-1.3522404073215716E-2</v>
      </c>
      <c r="FB38" s="34" cm="1">
        <f t="array" ref="FB38">_xll.ASAssetStatistic($A38,"Exponential Normal Monthly VaR 95%",,,,"m",'PBA Summary'!$F$2,'PBA Summary'!$G$2)</f>
        <v>-1.0235755155772627E-2</v>
      </c>
      <c r="FC38" s="34" cm="1">
        <f t="array" ref="FC38">_xll.ASAssetStatistic($A38,"Exponential Normal Monthly VaR 90%",,,,"m",'PBA Summary'!$F$2,'PBA Summary'!$G$2)</f>
        <v>-5.1749497731668863E-3</v>
      </c>
      <c r="FD38" s="34" t="str" cm="1">
        <f t="array" ref="FD38">_xll.ASAssetStatistic($A38,"Exponential Normal weekly VaR 99%",,,,"m",'PBA Summary'!$F$2,'PBA Summary'!$G$2)</f>
        <v/>
      </c>
      <c r="FE38" s="34" t="str" cm="1">
        <f t="array" ref="FE38">_xll.ASAssetStatistic($A38,"Exponential Normal weekly VaR 97%",,,,"m",'PBA Summary'!$F$2,'PBA Summary'!$G$2)</f>
        <v/>
      </c>
      <c r="FF38" s="34" t="str" cm="1">
        <f t="array" ref="FF38">_xll.ASAssetStatistic($A38,"Exponential Normal weekly VaR 95%",,,,"m",'PBA Summary'!$F$2,'PBA Summary'!$G$2)</f>
        <v/>
      </c>
      <c r="FG38" s="34" t="str" cm="1">
        <f t="array" ref="FG38">_xll.ASAssetStatistic($A38,"Exponential Normal weekly VaR 90%",,,,"m",'PBA Summary'!$F$2,'PBA Summary'!$G$2)</f>
        <v/>
      </c>
      <c r="FH38" s="34" t="str" cm="1">
        <f t="array" ref="FH38">_xll.ASAssetStatistic($A38,"Exponential Normal daily VaR 99%",,,,"m",'PBA Summary'!$F$2,'PBA Summary'!$G$2)</f>
        <v/>
      </c>
      <c r="FI38" s="34" t="str" cm="1">
        <f t="array" ref="FI38">_xll.ASAssetStatistic($A38,"Exponential Normal daily VaR 97%",,,,"m",'PBA Summary'!$F$2,'PBA Summary'!$G$2)</f>
        <v/>
      </c>
      <c r="FJ38" s="34" t="str" cm="1">
        <f t="array" ref="FJ38">_xll.ASAssetStatistic($A38,"Exponential Normal daily VaR 95%",,,,"m",'PBA Summary'!$F$2,'PBA Summary'!$G$2)</f>
        <v/>
      </c>
      <c r="FK38" s="34" t="str" cm="1">
        <f t="array" ref="FK38">_xll.ASAssetStatistic($A38,"Exponential Normal daily VaR 90%",,,,"m",'PBA Summary'!$F$2,'PBA Summary'!$G$2)</f>
        <v/>
      </c>
      <c r="FL38" s="34" cm="1">
        <f t="array" ref="FL38">_xll.ASAssetStatistic($A38,"Bias Ratio",,,,"m",'PBA Summary'!$F$2,'PBA Summary'!$G$2)</f>
        <v>1.5</v>
      </c>
      <c r="FM38" s="11" t="str" cm="1">
        <f t="array" ref="FM38">_xll.ASAssetInfo($A38,"Manager's Biography")</f>
        <v/>
      </c>
      <c r="FN38" s="11" cm="1">
        <f t="array" ref="FN38">_xll.ASAssetInfo($A38,"Investment Min")</f>
        <v>0</v>
      </c>
      <c r="FO38" s="11" t="str" cm="1">
        <f t="array" ref="FO38">_xll.ASAssetInfo($A38,"Auditor")</f>
        <v>PricewaterhouseCoopers/Ireland</v>
      </c>
      <c r="FP38" s="11" t="str" cm="1">
        <f t="array" ref="FP38">_xll.ASAssetInfo($A38,"Custodian")</f>
        <v>State Street Custodial Services Ireland Ltd</v>
      </c>
      <c r="FQ38" s="11" t="str" cm="1">
        <f t="array" ref="FQ38">_xll.ASAssetInfo($A38,"Administrator")</f>
        <v>State Street Fund Services Ireland Ltd</v>
      </c>
      <c r="FR38" s="14" t="str" cm="1">
        <f t="array" ref="FR38">_xll.ASAssetInfo($A38,"Proxy 1 Start Date")</f>
        <v/>
      </c>
      <c r="FS38" s="14" t="str" cm="1">
        <f t="array" ref="FS38">_xll.ASAssetInfo($A38,"Proxy 1 End Date")</f>
        <v/>
      </c>
      <c r="FT38" s="14" t="str" cm="1">
        <f t="array" ref="FT38">_xll.ASAssetInfo($A38,"Proxy 2 Start Date")</f>
        <v/>
      </c>
      <c r="FU38" s="14" t="str" cm="1">
        <f t="array" ref="FU38">_xll.ASAssetInfo($A38,"Proxy 2 End Date")</f>
        <v/>
      </c>
      <c r="FV38" s="14" t="str" cm="1">
        <f t="array" ref="FV38">_xll.ASAssetInfo($A38,"Proxy 3 Start Date")</f>
        <v/>
      </c>
      <c r="FW38" s="14" t="str" cm="1">
        <f t="array" ref="FW38">_xll.ASAssetInfo($A38,"Proxy 3 End Date")</f>
        <v/>
      </c>
      <c r="FX38" s="14" t="str" cm="1">
        <f t="array" ref="FX38">_xll.ASAssetInfo($A38,"Fund Domicile")</f>
        <v>IE</v>
      </c>
      <c r="FY38" s="14" t="str" cm="1">
        <f t="array" ref="FY38">_xll.ASAssetInfo($A38,"Fund Contact")</f>
        <v/>
      </c>
      <c r="FZ38" s="14" t="str" cm="1">
        <f t="array" ref="FZ38">_xll.ASAssetInfo($A38,"Fund Contact Email")</f>
        <v/>
      </c>
      <c r="GA38" s="14" t="str" cm="1">
        <f t="array" ref="GA38">_xll.ASAssetInfo($A38,"Fund Contact Number")</f>
        <v/>
      </c>
      <c r="GB38" s="14" t="str" cm="1">
        <f t="array" ref="GB38">_xll.ASAssetInfo($A38,"City")</f>
        <v>Dublin</v>
      </c>
      <c r="GC38" s="14" t="str" cm="1">
        <f t="array" ref="GC38">_xll.ASAssetInfo($A38,"Leverage")</f>
        <v>N</v>
      </c>
      <c r="GD38" s="14" t="str" cm="1">
        <f t="array" ref="GD38">_xll.ASAssetInfo($A38,"Lockup 1 Duration")</f>
        <v>0 Months</v>
      </c>
      <c r="GE38" s="14" t="str" cm="1">
        <f t="array" ref="GE38">_xll.ASAssetInfo($A38,"Lockup 2 Duration")</f>
        <v>0 Months</v>
      </c>
      <c r="GF38" s="14" t="str" cm="1">
        <f t="array" ref="GF38">_xll.ASAssetInfo($A38,"Lockup 3 Duration")</f>
        <v>0 Months</v>
      </c>
      <c r="GG38" s="31" t="str" cm="1">
        <f t="array" ref="GG38">_xll.ASAssetInfo($A38,"Fund Level Gate")</f>
        <v/>
      </c>
      <c r="GH38" s="31" t="str" cm="1">
        <f t="array" ref="GH38">_xll.ASAssetInfo($A38,"Fund Level Gate Frequency")</f>
        <v>Unknown</v>
      </c>
      <c r="GI38" s="35" cm="1">
        <f t="array" ref="GI38">_xll.ASAssetInfo($A38,"Payment 2 (%)")</f>
        <v>0</v>
      </c>
      <c r="GJ38" s="35" t="str" cm="1">
        <f t="array" ref="GJ38">_xll.ASAssetInfo($A38,"Payment 2 (days)")</f>
        <v/>
      </c>
      <c r="GK38" s="35" t="str" cm="1">
        <f t="array" ref="GK38">_xll.ASAssetInfo($A38,"Payment 2 (Paid After)")</f>
        <v>NAV Date</v>
      </c>
      <c r="GL38" s="35" cm="1">
        <f t="array" ref="GL38">_xll.ASAssetInfo($A38,"Payment 3 (%)")</f>
        <v>0</v>
      </c>
      <c r="GM38" s="36" t="str" cm="1">
        <f t="array" ref="GM38">_xll.ASAssetInfo($A38,"Payment 3 (Days)")</f>
        <v/>
      </c>
      <c r="GN38" s="35" t="str" cm="1">
        <f t="array" ref="GN38">_xll.ASAssetInfo($A38,"Payment 3 (Paid After)")</f>
        <v>NAV Date</v>
      </c>
      <c r="GO38" s="35" cm="1">
        <f t="array" ref="GO38">_xll.ASAssetInfo($A38,"Payment 4 (%)")</f>
        <v>0</v>
      </c>
      <c r="GP38" s="36" t="str" cm="1">
        <f t="array" ref="GP38">_xll.ASAssetInfo($A38,"Payment 4 (days)")</f>
        <v/>
      </c>
      <c r="GQ38" s="35" t="str" cm="1">
        <f t="array" ref="GQ38">_xll.ASAssetInfo($A38,"Payment 4 (Paid After)")</f>
        <v>NAV Date</v>
      </c>
      <c r="GR38" s="11" cm="1">
        <f t="array" ref="GR38">_xll.ASAssetInfo($A38,"Payment 1 (%)")</f>
        <v>1</v>
      </c>
      <c r="GS38" s="35" cm="1">
        <f t="array" ref="GS38">_xll.ASAssetInfo($A38,"Lockup 1 Fee")</f>
        <v>0</v>
      </c>
      <c r="GT38" s="35" cm="1">
        <f t="array" ref="GT38">_xll.ASAssetInfo($A38,"Lockup 2 Fee")</f>
        <v>0</v>
      </c>
      <c r="GU38" s="35" cm="1">
        <f t="array" ref="GU38">_xll.ASAssetInfo($A38,"Lockup 3 Fee")</f>
        <v>0</v>
      </c>
      <c r="GV38" s="35" t="str" cm="1">
        <f t="array" ref="GV38">_xll.ASAssetInfo($A38,"Lockup 1 type")</f>
        <v>None</v>
      </c>
      <c r="GW38" s="35" t="str" cm="1">
        <f t="array" ref="GW38">_xll.ASAssetInfo($A38,"Lockup 2 type")</f>
        <v>None</v>
      </c>
      <c r="GX38" s="35" t="str" cm="1">
        <f t="array" ref="GX38">_xll.ASAssetInfo($A38,"Lockup 3 type")</f>
        <v>None</v>
      </c>
      <c r="GY38" s="35" t="str" cm="1">
        <f t="array" ref="GY38">_xll.ASAssetInfo($A38,"Redemption 1 type")</f>
        <v>Calendar</v>
      </c>
      <c r="GZ38" s="35" t="str" cm="1">
        <f t="array" ref="GZ38">_xll.ASAssetInfo($A38,"Redemption 2 type")</f>
        <v>Calendar</v>
      </c>
      <c r="HA38" s="35" t="str" cm="1">
        <f t="array" ref="HA38">_xll.ASAssetInfo($A38,"Redemption 3 type")</f>
        <v>Calendar</v>
      </c>
      <c r="HB38" s="35" t="str" cm="1">
        <f t="array" ref="HB38">_xll.ASAssetInfo($A38,"Redemption 1 Fee")</f>
        <v/>
      </c>
      <c r="HC38" s="35" t="str" cm="1">
        <f t="array" ref="HC38">_xll.ASAssetInfo($A38,"Redemption 2 Fee")</f>
        <v/>
      </c>
      <c r="HD38" s="35" t="str" cm="1">
        <f t="array" ref="HD38">_xll.ASAssetInfo($A38,"Redemption 3 Fee")</f>
        <v/>
      </c>
      <c r="HE38" s="35" t="str" cm="1">
        <f t="array" ref="HE38">_xll.ASAssetInfo($A38,"Redemption 1 Frequency")</f>
        <v>Daily</v>
      </c>
      <c r="HF38" s="35" t="str" cm="1">
        <f t="array" ref="HF38">_xll.ASAssetInfo($A38,"Redemption 2 Frequency")</f>
        <v>Unknown</v>
      </c>
      <c r="HG38" s="35" t="str" cm="1">
        <f t="array" ref="HG38">_xll.ASAssetInfo($A38,"Redemption 3 Frequency")</f>
        <v>Unknown</v>
      </c>
      <c r="HH38" s="35" t="str" cm="1">
        <f t="array" ref="HH38">_xll.ASAssetInfo($A38,"Asset Calendar")</f>
        <v>[Default]</v>
      </c>
      <c r="HI38" s="16" cm="1">
        <f t="array" ref="HI38">_xll.ASAssetStatistic($A38,"Max Second Drawdown",,,,"m",'PBA Summary'!$F$2,'PBA Summary'!$G$2)</f>
        <v>-5.9242008881805752E-3</v>
      </c>
      <c r="HJ38" s="37" cm="1">
        <f t="array" ref="HJ38">_xll.ASAssetStatistic($A38,"Date Max Second Drawdown",,,,"m",'PBA Summary'!$F$2,'PBA Summary'!$G$2)</f>
        <v>43434</v>
      </c>
      <c r="HK38" s="37"/>
      <c r="HL38" s="37" t="str" cm="1">
        <f t="array" ref="HL38">_xll.ASAssetInfo($A38,HL$1)</f>
        <v/>
      </c>
      <c r="HM38" s="34" t="str" cm="1">
        <f t="array" ref="HM38">_xll.ASAssetInfo($A38,HM$1)</f>
        <v/>
      </c>
      <c r="HN38" s="37" t="str" cm="1">
        <f t="array" ref="HN38">_xll.ASAssetInfo($A38,HN$1)</f>
        <v/>
      </c>
      <c r="HO38" s="15" cm="1">
        <f t="array" ref="HO38">_xll.ASAssetInfo($A38,HO$1)</f>
        <v>0</v>
      </c>
      <c r="HP38" s="15" cm="1">
        <f t="array" ref="HP38">_xll.ASAssetInfo($A38,HP$1)</f>
        <v>2.1700000000000001E-2</v>
      </c>
      <c r="HQ38" s="34" t="str" cm="1">
        <f t="array" ref="HQ38">_xll.ASAssetInfo($A38,HQ$1)</f>
        <v/>
      </c>
      <c r="HR38" s="37" t="str" cm="1">
        <f t="array" ref="HR38">_xll.ASAssetInfo($A38,HR$1)</f>
        <v/>
      </c>
      <c r="HS38" s="37" t="str" cm="1">
        <f t="array" ref="HS38">_xll.ASAssetInfo($A38,HS$1)</f>
        <v/>
      </c>
      <c r="HT38" s="37" t="str" cm="1">
        <f t="array" ref="HT38">_xll.ASAssetInfo($A38,HT$1)</f>
        <v>BBB+</v>
      </c>
      <c r="HU38" s="37" t="str" cm="1">
        <f t="array" ref="HU38">_xll.ASAssetInfo($A38,HU$1)</f>
        <v>U.S.</v>
      </c>
      <c r="HV38" s="37" t="str" cm="1">
        <f t="array" ref="HV38">_xll.ASAssetInfo($A38,HV$1)</f>
        <v/>
      </c>
      <c r="HW38" s="37" t="str" cm="1">
        <f t="array" ref="HW38">_xll.ASAssetInfo($A38,HW$1)</f>
        <v/>
      </c>
    </row>
    <row r="39" spans="1:231" s="11" customFormat="1" x14ac:dyDescent="0.25">
      <c r="A39" t="s">
        <v>306</v>
      </c>
      <c r="B39" cm="1">
        <f t="array" ref="B39">_xll.ASPortfolioWeights('PBA Summary'!$C$2,"OR",$A39)</f>
        <v>3.0274046583169678E-2</v>
      </c>
      <c r="C39" cm="1">
        <f t="array" ref="C39">_xll.ASAssetStatistic($A39,"Annualized Return since inception",,,,"m",_xll.ASAssetInfo($A39,"Start Date"),_xll.ASAssetInfo($A39,"Last Return Date"))</f>
        <v>2.4418765210512339E-2</v>
      </c>
      <c r="D39" cm="1">
        <f t="array" ref="D39">_xll.ASAssetStatistic($A39,"Annualized Return",,,,"m",'PBA Summary'!$F$2,'PBA Summary'!$G$2)</f>
        <v>5.9951706357258328E-2</v>
      </c>
      <c r="E39" s="19" cm="1">
        <f t="array" ref="E39">_xll.ASAssetStatistic($A39,"Equilibrium Annual Return",,,,"m",'PBA Summary'!$F$2,'PBA Summary'!$G$2)</f>
        <v>-0.87655938175213877</v>
      </c>
      <c r="F39" cm="1">
        <f t="array" ref="F39">_xll.ASAssetStatistic($A39,"Annualized Volatility (Inception)",,,,"m",_xll.ASAssetInfo($A39,"Start Date"),_xll.ASAssetInfo($A39,"Last Return Date"))</f>
        <v>1.7283883412912388E-2</v>
      </c>
      <c r="G39" cm="1">
        <f t="array" ref="G39">_xll.ASAssetStatistic($A39,"Annualized Volatility",,,,"m",'PBA Summary'!$F$2,'PBA Summary'!$G$2)</f>
        <v>1.247524776790164E-2</v>
      </c>
      <c r="H39" s="20" cm="1">
        <f t="array" ref="H39">_xll.ASAssetStatistic($A39,"Skewness",,,,"m",'PBA Summary'!$F$2,'PBA Summary'!$G$2)</f>
        <v>0.44820139465473119</v>
      </c>
      <c r="I39" s="20" cm="1">
        <f t="array" ref="I39">_xll.ASAssetStatistic($A39,"Excess kurtosis",,,,"m",'PBA Summary'!$F$2,'PBA Summary'!$G$2)</f>
        <v>-0.87872863821624714</v>
      </c>
      <c r="J39" s="19" cm="1">
        <f t="array" ref="J39">_xll.ASAssetStatistic($A39,"Return Last 1 month",,,,"m",'PBA Summary'!$F$2,'PBA Summary'!$G$2)</f>
        <v>5.9484174159203373E-3</v>
      </c>
      <c r="K39" s="19" cm="1">
        <f t="array" ref="K39">_xll.ASAssetStatistic($A39,"Return Last 3 months",,,,"m",'PBA Summary'!$F$2,'PBA Summary'!$G$2)</f>
        <v>1.1482034235777094E-2</v>
      </c>
      <c r="L39" s="19" cm="1">
        <f t="array" ref="L39">_xll.ASAssetStatistic($A39,"Return Last 1 year",,,,"m",'PBA Summary'!$F$2,'PBA Summary'!$G$2)</f>
        <v>5.6221305272097233E-2</v>
      </c>
      <c r="M39" s="19" cm="1">
        <f t="array" ref="M39">_xll.ASAssetStatistic($A39,"Year-to-date Return",,,,"m",'PBA Summary'!$F$2,'PBA Summary'!$G$2)</f>
        <v>5.9484174159203373E-3</v>
      </c>
      <c r="N39" s="19" cm="1">
        <f t="array" ref="N39">_xll.ASAssetStatistic($A39,"Annualized Return",,,,"m",EOMONTH('PBA Summary'!$G$2,-2),'PBA Summary'!$G$2)</f>
        <v>4.672523201813239E-2</v>
      </c>
      <c r="O39" s="19" t="str" cm="1">
        <f t="array" ref="O39">_xll.ASAssetStatistic($A39,"Annualized Return Last 3 years",,,,"m",'PBA Summary'!$F$2,'PBA Summary'!$G$2)</f>
        <v/>
      </c>
      <c r="P39" s="19" t="str" cm="1">
        <f t="array" ref="P39">_xll.ASAssetStatistic($A39,"Annualized Return Last 5 years",,,,"m",'PBA Summary'!$F$2,'PBA Summary'!$G$2)</f>
        <v/>
      </c>
      <c r="Q39" s="19" cm="1">
        <f t="array" ref="Q39">_xll.ASAssetStatistic($A39,"Annualized Volatility Last 1 year",,,,"m",'PBA Summary'!$F$2,'PBA Summary'!$G$2)</f>
        <v>1.1141427518484182E-2</v>
      </c>
      <c r="R39" s="19" t="str" cm="1">
        <f t="array" ref="R39">_xll.ASAssetStatistic($A39,"Annualized Volatility Last 3 years",,,,"m",'PBA Summary'!$F$2,'PBA Summary'!$G$2)</f>
        <v/>
      </c>
      <c r="S39" s="19" t="str" cm="1">
        <f t="array" ref="S39">_xll.ASAssetStatistic($A39,"Annualized Volatility Last 5 years",,,,"m",'PBA Summary'!$F$2,'PBA Summary'!$G$2)</f>
        <v/>
      </c>
      <c r="T39" s="19" cm="1">
        <f t="array" ref="T39">_xll.ASAssetStatistic($A39,"Normal monthly VaR 99%",,,,"m",'PBA Summary'!$F$2,'PBA Summary'!$G$2)</f>
        <v>-3.5081094244373712E-3</v>
      </c>
      <c r="U39" s="19" cm="1">
        <f t="array" ref="U39">_xll.ASAssetStatistic($A39,"Modified monthly VaR 99%",,,,"m",'PBA Summary'!$F$2,'PBA Summary'!$G$2)</f>
        <v>-1.3091380647305053E-3</v>
      </c>
      <c r="V39" s="19" cm="1">
        <f t="array" ref="V39">_xll.ASAssetStatistic($A39,"Conditional monthly VaR 99%",,,,"m",'PBA Summary'!$F$2,'PBA Summary'!$G$2)</f>
        <v>-1.1428129373713958E-5</v>
      </c>
      <c r="W39" s="19" cm="1">
        <f t="array" ref="W39">_xll.ASAssetStatistic($A39,"Normal monthly VaR 97%",,,,"m",'PBA Summary'!$F$2,'PBA Summary'!$G$2)</f>
        <v>-1.9035375964261631E-3</v>
      </c>
      <c r="X39" s="19" cm="1">
        <f t="array" ref="X39">_xll.ASAssetStatistic($A39,"Modified monthly VaR 97%",,,,"m",'PBA Summary'!$F$2,'PBA Summary'!$G$2)</f>
        <v>-1.0092504101411005E-3</v>
      </c>
      <c r="Y39" s="19" cm="1">
        <f t="array" ref="Y39">_xll.ASAssetStatistic($A39,"Conditional monthly VaR 97%",,,,"m",'PBA Summary'!$F$2,'PBA Summary'!$G$2)</f>
        <v>-1.1428129373713958E-5</v>
      </c>
      <c r="Z39" s="19" cm="1">
        <f t="array" ref="Z39">_xll.ASAssetStatistic($A39,"Normal monthly VaR 95%",,,,"m",'PBA Summary'!$F$2,'PBA Summary'!$G$2)</f>
        <v>-1.0538483982343704E-3</v>
      </c>
      <c r="AA39" s="19" cm="1">
        <f t="array" ref="AA39">_xll.ASAssetStatistic($A39,"Modified monthly VaR 95%",,,,"m",'PBA Summary'!$F$2,'PBA Summary'!$G$2)</f>
        <v>-6.4530232467372058E-4</v>
      </c>
      <c r="AB39" s="19" cm="1">
        <f t="array" ref="AB39">_xll.ASAssetStatistic($A39,"Conditional monthly VaR 95%",,,,"m",'PBA Summary'!$F$2,'PBA Summary'!$G$2)</f>
        <v>-1.1428129373713958E-5</v>
      </c>
      <c r="AC39" s="66" cm="1">
        <f t="array" ref="AC39">_xll.ASAssetStatistic($A39,"Correlation to Benchmark 1","MSCI ACWI Index",,,"m",'PBA Summary'!$F$2,'PBA Summary'!$G$2)</f>
        <v>0.18126054359587593</v>
      </c>
      <c r="AD39" s="38" cm="1">
        <f t="array" ref="AD39">IF('PBA Summary'!$D$3="","",_xll.ASAssetStatistic($A39,"Correlation to Benchmark 1",'PBA Summary'!$D$3,,,"m",'PBA Summary'!$F$2,'PBA Summary'!$G$2))</f>
        <v>0.1546115653693812</v>
      </c>
      <c r="AE39" s="21" cm="1">
        <f t="array" ref="AE39">IF('PBA Summary'!$D$2="","",_xll.ASAssetStatistic($A39,"Bull correlation to Benchmark 1",'PBA Summary'!$D$2,,,"m",'PBA Summary'!$F$2,'PBA Summary'!$G$2))</f>
        <v>0.71614067160438488</v>
      </c>
      <c r="AF39" s="21" cm="1">
        <f t="array" ref="AF39">IF('PBA Summary'!$D$2="","",_xll.ASAssetStatistic($A39,"Bear correlation to Benchmark 1",'PBA Summary'!$D$2,,,"m",'PBA Summary'!$F$2,'PBA Summary'!$G$2))</f>
        <v>0.2534578598611843</v>
      </c>
      <c r="AG39" s="21" cm="1">
        <f t="array" ref="AG39">IF('PBA Summary'!$D$3="","",_xll.ASAssetStatistic($A39,"Bull correlation to Benchmark 1",'PBA Summary'!$D$3,,,"m",'PBA Summary'!$F$2,'PBA Summary'!$G$2))</f>
        <v>0.71614067160438488</v>
      </c>
      <c r="AH39" s="21" cm="1">
        <f t="array" ref="AH39">IF('PBA Summary'!$D$3="","",_xll.ASAssetStatistic($A39,"Bear correlation to Benchmark 1",'PBA Summary'!$D$3,,,"m",'PBA Summary'!$F$2,'PBA Summary'!$G$2))</f>
        <v>0.2534578598611843</v>
      </c>
      <c r="AI39" s="24" cm="1">
        <f t="array" ref="AI39">IF('PBA Summary'!$D$2="","",_xll.ASAssetStatistic($A39,"Beta to Benchmark 1",'PBA Summary'!$D$2,,,"m",'PBA Summary'!$F$2,'PBA Summary'!$G$2))</f>
        <v>1.2563622812489078E-2</v>
      </c>
      <c r="AJ39" s="24" t="str" cm="1">
        <f t="array" ref="AJ39">IF('PBA Summary'!$D$2="","",_xll.ASAssetStatistic($A39,"Beta to Benchmark 1 Last 3 years",'PBA Summary'!$D$2,,,"m",'PBA Summary'!$F$2,'PBA Summary'!$G$2))</f>
        <v/>
      </c>
      <c r="AK39" s="24" t="str" cm="1">
        <f t="array" ref="AK39">IF('PBA Summary'!$D$2="","",_xll.ASAssetStatistic($A39,"Beta to Benchmark 1 Last 5 years",'PBA Summary'!$D$2,,,"m",'PBA Summary'!$F$2,'PBA Summary'!$G$2))</f>
        <v/>
      </c>
      <c r="AL39" s="25" cm="1">
        <f t="array" ref="AL39">IF('PBA Summary'!$D$3="","",_xll.ASAssetStatistic($A39,"Beta to Benchmark 1",'PBA Summary'!$D$3,,,"m",'PBA Summary'!$F$2,'PBA Summary'!$G$2))</f>
        <v>1.2563622812489078E-2</v>
      </c>
      <c r="AM39" s="25" t="str" cm="1">
        <f t="array" ref="AM39">IF('PBA Summary'!$D$3="","",_xll.ASAssetStatistic($A39,"Beta to Benchmark 1 Last 3 years",'PBA Summary'!$D$3,,,"m",'PBA Summary'!$F$2,'PBA Summary'!$G$2))</f>
        <v/>
      </c>
      <c r="AN39" s="25" t="str" cm="1">
        <f t="array" ref="AN39">IF('PBA Summary'!$D$3="","",_xll.ASAssetStatistic($A39,"Beta to Benchmark 1 Last 5 years",'PBA Summary'!$D$3,,,"m",'PBA Summary'!$F$2,'PBA Summary'!$G$2))</f>
        <v/>
      </c>
      <c r="AO39" s="25" cm="1">
        <f t="array" ref="AO39">IF('PBA Summary'!$D$2="","",_xll.ASAssetStatistic($A39,"Bull Beta to Benchmark 1",'PBA Summary'!$D$2,,,"m",'PBA Summary'!$F$2,'PBA Summary'!$G$2))</f>
        <v>0.13368932492099045</v>
      </c>
      <c r="AP39" s="25" cm="1">
        <f t="array" ref="AP39">IF('PBA Summary'!$D$2="","",_xll.ASAssetStatistic($A39,"Bear Beta to Benchmark 1",'PBA Summary'!$D$2,,,"m",'PBA Summary'!$F$2,'PBA Summary'!$G$2))</f>
        <v>1.1966833582095167E-2</v>
      </c>
      <c r="AQ39" s="25" cm="1">
        <f t="array" ref="AQ39">IF('PBA Summary'!$D$3="","",_xll.ASAssetStatistic($A39,"Bull Beta to Benchmark 1",'PBA Summary'!$D$3,,,"m",'PBA Summary'!$F$2,'PBA Summary'!$G$2))</f>
        <v>0.13368932492099045</v>
      </c>
      <c r="AR39" s="25" cm="1">
        <f t="array" ref="AR39">IF('PBA Summary'!$D$3="","",_xll.ASAssetStatistic($A39,"Bear Beta to Benchmark 1",'PBA Summary'!$D$3,,,"m",'PBA Summary'!$F$2,'PBA Summary'!$G$2))</f>
        <v>1.1966833582095167E-2</v>
      </c>
      <c r="AS39" s="25" cm="1">
        <f t="array" ref="AS39">_xll.ASAssetStatistic($A39,"Annual Sharpe Ratio (Rf)",,,'PBA Summary'!$H$2,"m",'PBA Summary'!$F$2,'PBA Summary'!$G$2)</f>
        <v>4.6052557372912046</v>
      </c>
      <c r="AT39" s="25" t="str" cm="1">
        <f t="array" ref="AT39">_xll.ASAssetStatistic($A39,"Annual Sharpe Ratio (Rf) Last 3 years",,,'PBA Summary'!$H$2,"m",'PBA Summary'!$F$2,'PBA Summary'!$G$2)</f>
        <v/>
      </c>
      <c r="AU39" s="25" t="str" cm="1">
        <f t="array" ref="AU39">_xll.ASAssetStatistic($A39,"Annual Sharpe Ratio (Rf) Last 5 years",,,'PBA Summary'!$H$2,"m",'PBA Summary'!$F$2,'PBA Summary'!$G$2)</f>
        <v/>
      </c>
      <c r="AV39" s="18" cm="1">
        <f t="array" ref="AV39">_xll.ASAssetStatistic($A39,"Ann. Downside Deviation (vs 0%)",,,'PBA Summary'!$H$2,"m",'PBA Summary'!$F$2,'PBA Summary'!$G$2)</f>
        <v>1.0221629654114603E-5</v>
      </c>
      <c r="AW39" s="18" cm="1">
        <f t="array" ref="AW39">_xll.ASAssetStatistic($A39,"Ann. Downside Deviation (vs Rf)",,,'PBA Summary'!$H$2,"m",'PBA Summary'!$F$2,'PBA Summary'!$G$2)</f>
        <v>2.1860976653883282E-4</v>
      </c>
      <c r="AX39" s="39" cm="1">
        <f t="array" ref="AX39">_xll.ASAssetStatistic($A39,"Annual Treynor ratio",,,'PBA Summary'!$H$2,"m",'PBA Summary'!$F$2,'PBA Summary'!$G$2)</f>
        <v>6.2784970762835929E-2</v>
      </c>
      <c r="AY39" s="26" cm="1">
        <f t="array" ref="AY39">_xll.ASAssetStatistic($A39,"Annual Sortino Ratio (vs 0%)",,,'PBA Summary'!$H$2,"m",'PBA Summary'!$F$2,'PBA Summary'!$G$2)</f>
        <v>5865.180835731554</v>
      </c>
      <c r="AZ39" s="26" cm="1">
        <f t="array" ref="AZ39">_xll.ASAssetStatistic($A39,"Annual Sortino Ratio (vs Rf)",,,'PBA Summary'!$H$2,"m",'PBA Summary'!$F$2,'PBA Summary'!$G$2)</f>
        <v>262.80484750004467</v>
      </c>
      <c r="BA39" s="26" cm="1">
        <f t="array" ref="BA39">_xll.ASAssetStatistic($A39,"Sterling ratio",,,'PBA Summary'!$H$2,"m",'PBA Summary'!$F$2,'PBA Summary'!$G$2)</f>
        <v>0.59944855781586648</v>
      </c>
      <c r="BB39" s="26" cm="1">
        <f t="array" ref="BB39">_xll.ASAssetStatistic($A39,"Calmar ratio",,,'PBA Summary'!$H$2,"m",'PBA Summary'!$F$2,'PBA Summary'!$G$2)</f>
        <v>5245.9772195589494</v>
      </c>
      <c r="BC39" s="26" cm="1">
        <f t="array" ref="BC39">_xll.ASAssetStatistic($A39,"Hurst index",,,'PBA Summary'!$H$2,"m",'PBA Summary'!$F$2,'PBA Summary'!$G$2)</f>
        <v>0.51583800199811936</v>
      </c>
      <c r="BD39" s="26" cm="1">
        <f t="array" ref="BD39">_xll.ASAssetStatistic($A39,"Omega (Threshold 1)",,,'PBA Summary'!$H$2,"m",'PBA Summary'!$F$2,'PBA Summary'!$G$2)</f>
        <v>6392.7978061621734</v>
      </c>
      <c r="BE39" s="26" cm="1">
        <f t="array" ref="BE39">_xll.ASAssetStatistic($A39,"Omega (Threshold 2)",,,'PBA Summary'!$H$2,"m",'PBA Summary'!$F$2,'PBA Summary'!$G$2)</f>
        <v>0.91746318828137063</v>
      </c>
      <c r="BF39" s="26" cm="1">
        <f t="array" ref="BF39">_xll.ASAssetStatistic($A39,"Omega (Threshold 3)",,,'PBA Summary'!$H$2,"m",'PBA Summary'!$F$2,'PBA Summary'!$G$2)</f>
        <v>2.1242350872478732E-2</v>
      </c>
      <c r="BG39" s="26" cm="1">
        <f t="array" ref="BG39">_xll.ASAssetStatistic($A39,"Omega (Threshold 4)",,,'PBA Summary'!$H$2,"m",'PBA Summary'!$F$2,'PBA Summary'!$G$2)</f>
        <v>0</v>
      </c>
      <c r="BH39" s="26" cm="1">
        <f t="array" ref="BH39">_xll.ASAssetStatistic($A39,"Omega (Threshold 5)",,,'PBA Summary'!$H$2,"m",'PBA Summary'!$F$2,'PBA Summary'!$G$2)</f>
        <v>0</v>
      </c>
      <c r="BI39" s="26" t="str" cm="1">
        <f t="array" ref="BI39">_xll.ASAssetStatistic($A39,"Autocorrelated (illiquid)",,,'PBA Summary'!$H$2,"m",'PBA Summary'!$F$2,'PBA Summary'!$G$2)</f>
        <v>Yes</v>
      </c>
      <c r="BJ39" s="27" cm="1">
        <f t="array" ref="BJ39">_xll.ASAssetStatistic($A39,"% months in Run Up",,,'PBA Summary'!$H$2,"m",'PBA Summary'!$F$2,'PBA Summary'!$G$2)</f>
        <v>0.93333333333333335</v>
      </c>
      <c r="BK39" s="27" cm="1">
        <f t="array" ref="BK39">_xll.ASAssetStatistic($A39,"% months in Drawdown",,,'PBA Summary'!$H$2,"m",'PBA Summary'!$F$2,'PBA Summary'!$G$2)</f>
        <v>6.6666666666666666E-2</v>
      </c>
      <c r="BL39" s="18" cm="1">
        <f t="array" ref="BL39">IF('PBA Summary'!$D$2="","",_xll.ASAssetStatistic($A39,"Bull Beta to Benchmark 1",'PBA Summary'!$D$2,,,"m",'PBA Summary'!$F$2,'PBA Summary'!$G$2))</f>
        <v>0.13368932492099045</v>
      </c>
      <c r="BM39" s="18" cm="1">
        <f t="array" ref="BM39">IF('PBA Summary'!$D$2="","",_xll.ASAssetStatistic($A39,"Average return during bear Benchmark 1",'PBA Summary'!$D$2,,,"m",'PBA Summary'!$F$2,'PBA Summary'!$G$2))</f>
        <v>5.9773294806672594E-3</v>
      </c>
      <c r="BN39" s="18" cm="1">
        <f t="array" ref="BN39">IF('PBA Summary'!$D$3="","",_xll.ASAssetStatistic($A39,"Average return during bull Benchmark 1",'PBA Summary'!$D$3,,,"m",'PBA Summary'!$F$2,'PBA Summary'!$G$2))</f>
        <v>4.4669976669793939E-3</v>
      </c>
      <c r="BO39" s="18" cm="1">
        <f t="array" ref="BO39">IF('PBA Summary'!$D$3="","",_xll.ASAssetStatistic($A39,"Average return during bear Benchmark 1",'PBA Summary'!$D$3,,,"m",'PBA Summary'!$F$2,'PBA Summary'!$G$2))</f>
        <v>5.9773294806672594E-3</v>
      </c>
      <c r="BP39" s="27" cm="1">
        <f t="array" ref="BP39">_xll.ASAssetStatistic($A39,"Maximum consecutive gain",,,'PBA Summary'!$H$2,"m",'PBA Summary'!$F$2,'PBA Summary'!$G$2)</f>
        <v>5.9982929111084493E-2</v>
      </c>
      <c r="BQ39" s="27" cm="1">
        <f t="array" ref="BQ39">_xll.ASAssetStatistic($A39,"Maximum consecutive loss",,,'PBA Summary'!$H$2,"m",'PBA Summary'!$F$2,'PBA Summary'!$G$2)</f>
        <v>-1.1428129373713958E-5</v>
      </c>
      <c r="BR39" s="27" cm="1">
        <f t="array" ref="BR39">_xll.ASAssetStatistic($A39,"Max monthly gain",,,'PBA Summary'!$H$2,"m",'PBA Summary'!$F$2,'PBA Summary'!$G$2)</f>
        <v>1.1191319370865704E-2</v>
      </c>
      <c r="BS39" s="27" cm="1">
        <f t="array" ref="BS39">_xll.ASAssetStatistic($A39,"Max monthly loss",,,'PBA Summary'!$H$2,"m",'PBA Summary'!$F$2,'PBA Summary'!$G$2)</f>
        <v>-1.1428129373713958E-5</v>
      </c>
      <c r="BT39" s="27" cm="1">
        <f t="array" ref="BT39">_xll.ASAssetStatistic($A39,"Max drawdown",,,'PBA Summary'!$H$2,"m",'PBA Summary'!$F$2,'PBA Summary'!$G$2)</f>
        <v>-1.142812937382498E-5</v>
      </c>
      <c r="BU39" s="28" cm="1">
        <f t="array" ref="BU39">_xll.ASAssetStatistic($A39,"Date Max drawdown",,,'PBA Summary'!$H$2,"m",'PBA Summary'!$F$2,'PBA Summary'!$G$2)</f>
        <v>43738</v>
      </c>
      <c r="BV39" s="28" cm="1">
        <f t="array" ref="BV39">_xll.ASAssetStatistic($A39,"Start Date Max Drawdown",,,'PBA Summary'!$H$2,"m",'PBA Summary'!$F$2,'PBA Summary'!$G$2)</f>
        <v>43738</v>
      </c>
      <c r="BW39" s="28" cm="1">
        <f t="array" ref="BW39">_xll.ASAssetStatistic($A39,"End Date Max Drawdown",,,'PBA Summary'!$H$2,"m",'PBA Summary'!$F$2,'PBA Summary'!$G$2)</f>
        <v>43738</v>
      </c>
      <c r="BX39" s="29" cm="1">
        <f t="array" ref="BX39">_xll.ASAssetStatistic($A39,"Max Time-under-water (months)",,,'PBA Summary'!$H$2,"m",'PBA Summary'!$F$2,'PBA Summary'!$G$2)</f>
        <v>1</v>
      </c>
      <c r="BY39" s="27" cm="1">
        <f t="array" ref="BY39">_xll.ASAssetStatistic($A39,"Max possible drawdown 99%",,,'PBA Summary'!$H$2,"m",'PBA Summary'!$F$2,'PBA Summary'!$G$2)</f>
        <v>-3.6032925270956203E-3</v>
      </c>
      <c r="BZ39" s="27" cm="1">
        <f t="array" ref="BZ39">_xll.ASAssetStatistic($A39,"Max possible drawdown 99.9%",,,'PBA Summary'!$H$2,"m",'PBA Summary'!$F$2,'PBA Summary'!$G$2)</f>
        <v>-6.3581747732390382E-3</v>
      </c>
      <c r="CA39" s="30" cm="1">
        <f t="array" ref="CA39">_xll.ASAssetStatistic($A39,"Max Possible Time-under-water 99% (months)",,,'PBA Summary'!$H$2,"m",'PBA Summary'!$F$2,'PBA Summary'!$G$2)</f>
        <v>2.9597334092996395</v>
      </c>
      <c r="CB39" s="30" cm="1">
        <f t="array" ref="CB39">_xll.ASAssetStatistic($A39,"Max Possible Time-under-water 99.9% (months)",,,'PBA Summary'!$H$2,"m",'PBA Summary'!$F$2,'PBA Summary'!$G$2)</f>
        <v>5.222585220881335</v>
      </c>
      <c r="CC39" s="17" cm="1">
        <f t="array" ref="CC39">_xll.ASPortfolioReturnAttribution('PBA Summary'!$C$2,"OR",A39,"Last 1m",'PBA Summary'!$F$2,'PBA Summary'!$G$2)</f>
        <v>1.8008264288181506E-4</v>
      </c>
      <c r="CD39" s="11" t="str" cm="1">
        <f t="array" ref="CD39">_xll.ASAssetInfo($A39,"Strategy")</f>
        <v>Funds - Credit Long Only</v>
      </c>
      <c r="CE39" s="14" cm="1">
        <f t="array" ref="CE39">_xll.ASAssetInfo($A39,"Start Date")</f>
        <v>41565</v>
      </c>
      <c r="CF39" s="14" t="str" cm="1">
        <f t="array" ref="CF39">_xll.ASAssetRatings($A39,"Quantitative",0,0,0,0,0,'PBA Summary'!$F$2,'PBA Summary'!$G$2)</f>
        <v/>
      </c>
      <c r="CG39" s="14" t="str" cm="1">
        <f t="array" ref="CG39">_xll.ASAssetRatings($A39,"Qualitative",0,0,0,0,0,'PBA Summary'!$F$2,'PBA Summary'!$G$2)</f>
        <v/>
      </c>
      <c r="CH39" s="14" t="str" cm="1">
        <f t="array" ref="CH39">_xll.ASAssetRatings($A39,"Final",0,0,0,0,0,'PBA Summary'!$F$2,'PBA Summary'!$G$2)</f>
        <v/>
      </c>
      <c r="CI39" s="14" cm="1">
        <f t="array" ref="CI39">_xll.ASAssetInfo($A39,"Last Return Date")</f>
        <v>44134</v>
      </c>
      <c r="CJ39" s="14" t="str" cm="1">
        <f t="array" ref="CJ39">_xll.ASAssetInfo($A39,"Company Name")</f>
        <v>iShares ETFs/Ireland</v>
      </c>
      <c r="CK39" s="14" t="str" cm="1">
        <f t="array" ref="CK39">_xll.ASAssetInfo($A39,"Manager Name")</f>
        <v>Cole Bushman</v>
      </c>
      <c r="CL39" s="14" t="str" cm="1">
        <f t="array" ref="CL39">_xll.ASAssetInfo($A39,"Address")</f>
        <v>BlackRock Inc. JP Morgan House. International Financial Services Ctr. Dublin 1. Ireland</v>
      </c>
      <c r="CM39" s="14" t="str" cm="1">
        <f t="array" ref="CM39">_xll.ASAssetInfo($A39,"Phone Number")</f>
        <v>+44-20-7668-8007 Tel</v>
      </c>
      <c r="CN39" s="14" t="str" cm="1">
        <f t="array" ref="CN39">_xll.ASAssetInfo($A39,"Email")</f>
        <v/>
      </c>
      <c r="CO39" s="14" t="str" cm="1">
        <f t="array" ref="CO39">_xll.ASAssetInfo($A39,"Asset Type")</f>
        <v>Fixed Income</v>
      </c>
      <c r="CP39" s="14" t="str" cm="1">
        <f t="array" ref="CP39">_xll.ASAssetInfo($A39,"Proprietary ID")</f>
        <v/>
      </c>
      <c r="CQ39" s="14" t="str" cm="1">
        <f t="array" ref="CQ39">_xll.ASAssetInfo($A39,"Country")</f>
        <v>Ireland</v>
      </c>
      <c r="CR39" s="14" t="str" cm="1">
        <f t="array" ref="CR39">_xll.ASAssetInfo($A39,"Currency")</f>
        <v>USD</v>
      </c>
      <c r="CS39" s="14" t="str" cm="1">
        <f t="array" ref="CS39">_xll.ASAssetInfo($A39,"Sub-Strategy")</f>
        <v>IG</v>
      </c>
      <c r="CT39" s="31" cm="1">
        <f t="array" ref="CT39">_xll.ASAssetInfo($A39,"Fund AUM (m)")</f>
        <v>5877.0693000000001</v>
      </c>
      <c r="CU39" s="31" t="str" cm="1">
        <f t="array" ref="CU39">_xll.ASAssetInfo($A39,"Status")</f>
        <v>Unknown</v>
      </c>
      <c r="CV39" s="31" t="str" cm="1">
        <f t="array" ref="CV39">_xll.ASAssetInfo($A39,"Redemption 1 Frequency")</f>
        <v>Daily</v>
      </c>
      <c r="CW39" s="31" t="str" cm="1">
        <f t="array" ref="CW39">_xll.ASAssetInfo($A39,"Redemption 2 Frequency")</f>
        <v>Unknown</v>
      </c>
      <c r="CX39" s="31" t="str" cm="1">
        <f t="array" ref="CX39">_xll.ASAssetInfo($A39,"Redemption 3 Frequency")</f>
        <v>Unknown</v>
      </c>
      <c r="CY39" s="31" t="str" cm="1">
        <f t="array" ref="CY39">_xll.ASAssetInfo($A39,"Notice Period")</f>
        <v/>
      </c>
      <c r="CZ39" s="15" t="str" cm="1">
        <f t="array" ref="CZ39">_xll.ASAssetInfo($A39,"Performance Fee")</f>
        <v/>
      </c>
      <c r="DA39" s="15" cm="1">
        <f t="array" ref="DA39">_xll.ASAssetInfo($A39,"Management Fee")</f>
        <v>2E-3</v>
      </c>
      <c r="DB39" s="15" t="str" cm="1">
        <f t="array" ref="DB39">_xll.ASAssetInfo($A39,"ISIN")</f>
        <v>IE00BCRY5Y77</v>
      </c>
      <c r="DC39" s="16" cm="1">
        <f t="array" ref="DC39">_xll.ASAssetStatistic($A39,"Return during " &amp;YEAR(EOMONTH('PBA Summary'!$G$2,-60)),,,,"M",DATE(YEAR(EOMONTH('PBA Summary'!$G$2,-60)),1,31),DATE(YEAR(EOMONTH('PBA Summary'!$G$2,-60)),12,31))</f>
        <v>7.6101066454996591E-3</v>
      </c>
      <c r="DD39" s="16" cm="1">
        <f t="array" ref="DD39">_xll.ASAssetStatistic($A39,"Return during " &amp;YEAR(EOMONTH('PBA Summary'!$G$2,-48)),,,,"M",DATE(YEAR(EOMONTH('PBA Summary'!$G$2,-48)),1,31),DATE(YEAR(EOMONTH('PBA Summary'!$G$2,-48)),12,31))</f>
        <v>2.1900290867803873E-2</v>
      </c>
      <c r="DE39" s="16" cm="1">
        <f t="array" ref="DE39">_xll.ASAssetStatistic($A39,"Return during " &amp;YEAR(EOMONTH('PBA Summary'!$G$2,-36)),,,,"M",DATE(YEAR(EOMONTH('PBA Summary'!$G$2,-36)),1,31),DATE(YEAR(EOMONTH('PBA Summary'!$G$2,-36)),12,31))</f>
        <v>2.1250846898801523E-2</v>
      </c>
      <c r="DF39" s="16" cm="1">
        <f t="array" ref="DF39">_xll.ASAssetStatistic($A39,"Return during " &amp;YEAR(EOMONTH('PBA Summary'!$G$2,-24)),,,,"M",DATE(YEAR(EOMONTH('PBA Summary'!$G$2,-24)),1,31),DATE(YEAR(EOMONTH('PBA Summary'!$G$2,-24)),12,31))</f>
        <v>8.342679697456612E-3</v>
      </c>
      <c r="DG39" s="16" cm="1">
        <f t="array" ref="DG39">_xll.ASAssetStatistic($A39,"Return during " &amp;YEAR(EOMONTH('PBA Summary'!$G$2,-12)),,,,"M",DATE(YEAR(EOMONTH('PBA Summary'!$G$2,-12)),1,31),DATE(YEAR(EOMONTH('PBA Summary'!$G$2,-12)),12,31))</f>
        <v>6.172622446118603E-2</v>
      </c>
      <c r="DH39" s="11" t="str" cm="1">
        <f t="array" ref="DH39">_xll.ASAssetInfo($A39,"Prime Broker")</f>
        <v/>
      </c>
      <c r="DI39" s="16" cm="1">
        <f t="array" ref="DI39">_xll.ASAssetStatistic($A39,"Return",,,,"m",'PBA Summary'!$F$2,'PBA Summary'!$G$2)</f>
        <v>7.5493024417335519E-2</v>
      </c>
      <c r="DJ39" s="33" cm="1">
        <f t="array" ref="DJ39">IF('PBA Summary'!$D$2="","",_xll.ASAssetStatistic($A39,"Ann. Information Ratio vs Benchmark 1",'PBA Summary'!$D$2,,,"m",'PBA Summary'!$F$2,'PBA Summary'!$G$2))</f>
        <v>-0.73875100852228259</v>
      </c>
      <c r="DK39" s="33" cm="1">
        <f t="array" ref="DK39">IF('PBA Summary'!$D$3="","",_xll.ASAssetStatistic($A39,"Ann. Information Ratio vs Benchmark 1",'PBA Summary'!$D$3,,,"m",'PBA Summary'!$F$2,'PBA Summary'!$G$2))</f>
        <v>-0.73875100852228259</v>
      </c>
      <c r="DL39" s="33" cm="1">
        <f t="array" ref="DL39">IF('PBA Summary'!$D$2="","",_xll.ASAssetStatistic($A39,"Ann. Tracking Error vs Benchmark 1",'PBA Summary'!$D$2,,,"m",'PBA Summary'!$F$2,'PBA Summary'!$G$2))</f>
        <v>0.15209539692428026</v>
      </c>
      <c r="DM39" s="33" cm="1">
        <f t="array" ref="DM39">IF('PBA Summary'!$D$3="","",_xll.ASAssetStatistic($A39,"Ann. Tracking Error vs Benchmark 1",'PBA Summary'!$D$3,,,"m",'PBA Summary'!$F$2,'PBA Summary'!$G$2))</f>
        <v>0.15209539692428026</v>
      </c>
      <c r="DN39" s="33" cm="1">
        <f t="array" ref="DN39">IF('PBA Summary'!$D$2="","",_xll.ASAssetStatistic($A39,"R² vs Benchmark 1",'PBA Summary'!$D$2,,,"m",'PBA Summary'!$F$2,'PBA Summary'!$G$2))</f>
        <v>2.3904736145970436E-2</v>
      </c>
      <c r="DO39" s="33" cm="1">
        <f t="array" ref="DO39">IF('PBA Summary'!$D$3="","",_xll.ASAssetStatistic($A39,"R² vs Benchmark 1",'PBA Summary'!$D$3,,,"m",'PBA Summary'!$F$2,'PBA Summary'!$G$2))</f>
        <v>2.3904736145970436E-2</v>
      </c>
      <c r="DP39" s="11" t="str" cm="1">
        <f t="array" ref="DP39">_xll.ASAssetInfo($A39,"On-/Offshore")</f>
        <v>Unknown</v>
      </c>
      <c r="DQ39" s="16" cm="1">
        <f t="array" ref="DQ39">_xll.ASAssetStatistic($A39,"Quarter-to-date",,,,"m",'PBA Summary'!$F$2,'PBA Summary'!$G$2)</f>
        <v>5.9484174159203373E-3</v>
      </c>
      <c r="DR39" s="16" cm="1">
        <f t="array" ref="DR39">_xll.ASAssetStatistic($A39,"Annualized Return Since inception",,,,"m",'PBA Summary'!$F$2,'PBA Summary'!$G$2)</f>
        <v>2.4418765210512339E-2</v>
      </c>
      <c r="DS39" s="16" cm="1">
        <f t="array" ref="DS39">IF('PBA Summary'!$D$2="","",_xll.ASAssetStatistic($A39,"Ann. Bear Market Return vs Benchmark 1",'PBA Summary'!$D$2,,,"m",'PBA Summary'!$F$2,'PBA Summary'!$G$2))</f>
        <v>7.4115146716077218E-2</v>
      </c>
      <c r="DT39" s="16" cm="1">
        <f t="array" ref="DT39">IF('PBA Summary'!$D$2="","",_xll.ASAssetStatistic($A39,"Ann. Bull Market Return vs Benchmark 1",'PBA Summary'!$D$2,,,"m",'PBA Summary'!$F$2,'PBA Summary'!$G$2))</f>
        <v>5.4847799060335101E-2</v>
      </c>
      <c r="DU39" s="16" cm="1">
        <f t="array" ref="DU39">IF('PBA Summary'!$D$3="","",_xll.ASAssetStatistic($A39,"Ann. Bear Market Return vs Benchmark 1",'PBA Summary'!$D$3,,,"m",'PBA Summary'!$F$2,'PBA Summary'!$G$2))</f>
        <v>7.4115146716077218E-2</v>
      </c>
      <c r="DV39" s="16" cm="1">
        <f t="array" ref="DV39">IF('PBA Summary'!$D$3="","",_xll.ASAssetStatistic($A39,"Ann. Bull Market Return vs Benchmark 1",'PBA Summary'!$D$3,,,"m",'PBA Summary'!$F$2,'PBA Summary'!$G$2))</f>
        <v>5.4847799060335101E-2</v>
      </c>
      <c r="DW39" s="17" cm="1">
        <f t="array" ref="DW39">_xll.ASAssetStatistic($A39,"Average Positive Return",,,,"m",'PBA Summary'!$F$2,'PBA Summary'!$G$2)</f>
        <v>5.2184085992011487E-3</v>
      </c>
      <c r="DX39" s="17" cm="1">
        <f t="array" ref="DX39">_xll.ASAssetStatistic($A39,"Average Negative Return",,,,"m",'PBA Summary'!$F$2,'PBA Summary'!$G$2)</f>
        <v>-1.1428129373713958E-5</v>
      </c>
      <c r="DY39" s="16" cm="1">
        <f t="array" ref="DY39">IF('PBA Summary'!$D$2="","",_xll.ASAssetStatistic($A39,"Outperformance vs Benchmark 1",'PBA Summary'!$D$2,,,"m",'PBA Summary'!$F$2,'PBA Summary'!$G$2))</f>
        <v>-0.14435062039138313</v>
      </c>
      <c r="DZ39" s="16" cm="1">
        <f t="array" ref="DZ39">IF('PBA Summary'!$D$3="","",_xll.ASAssetStatistic($A39,"Outperformance vs Benchmark 1",'PBA Summary'!$D$3,,,"m",'PBA Summary'!$F$2,'PBA Summary'!$G$2))</f>
        <v>-0.14435062039138313</v>
      </c>
      <c r="EA39" s="16" cm="1">
        <f t="array" ref="EA39">IF('PBA Summary'!$D$2="","",_xll.ASAssetStatistic($A39,"Annual Outperformance vs Benchmark 1",'PBA Summary'!$D$2,,,"m",'PBA Summary'!$F$2,'PBA Summary'!$G$2))</f>
        <v>-0.11236062786940892</v>
      </c>
      <c r="EB39" s="16" cm="1">
        <f t="array" ref="EB39">IF('PBA Summary'!$D$3="","",_xll.ASAssetStatistic($A39,"Annual Outperformance vs Benchmark 1",'PBA Summary'!$D$3,,,"m",'PBA Summary'!$F$2,'PBA Summary'!$G$2))</f>
        <v>-0.11236062786940892</v>
      </c>
      <c r="EC39" s="32" cm="1">
        <f t="array" ref="EC39">_xll.ASAssetStatistic($A39,"Rachev Ratio 99%",,,,"m",'PBA Summary'!$F$2,'PBA Summary'!$G$2)</f>
        <v>-979.27832324046449</v>
      </c>
      <c r="ED39" s="32" cm="1">
        <f t="array" ref="ED39">_xll.ASAssetStatistic($A39,"Rachev Ratio 97%",,,,"m",'PBA Summary'!$F$2,'PBA Summary'!$G$2)</f>
        <v>-979.27832324046449</v>
      </c>
      <c r="EE39" s="32" cm="1">
        <f t="array" ref="EE39">_xll.ASAssetStatistic($A39,"Rachev Ratio 95%",,,,"m",'PBA Summary'!$F$2,'PBA Summary'!$G$2)</f>
        <v>-979.27832324046449</v>
      </c>
      <c r="EF39" s="32" cm="1">
        <f t="array" ref="EF39">_xll.ASAssetStatistic($A39,"Rachev Ratio 90%",,,,"m",'PBA Summary'!$F$2,'PBA Summary'!$G$2)</f>
        <v>242.91686483970182</v>
      </c>
      <c r="EG39" s="34" cm="1">
        <f t="array" ref="EG39">IF('PBA Summary'!$D$2="","",_xll.ASAssetStatistic($A39,"Annual Up Capture vs Benchmark 1",'PBA Summary'!$D$2,,,"m",'PBA Summary'!$F$2,'PBA Summary'!$G$2))</f>
        <v>0.10835034909121904</v>
      </c>
      <c r="EH39" s="34" cm="1">
        <f t="array" ref="EH39">IF('PBA Summary'!$D$3="","",_xll.ASAssetStatistic($A39,"Annual Up Capture vs Benchmark 1",'PBA Summary'!$D$3,,,"m",'PBA Summary'!$F$2,'PBA Summary'!$G$2))</f>
        <v>0.10835034909121904</v>
      </c>
      <c r="EI39" s="34" cm="1">
        <f t="array" ref="EI39">IF('PBA Summary'!$D$2="","",_xll.ASAssetStatistic($A39,"Annual Down Capture vs Benchmark 1",'PBA Summary'!$D$2,,,"m",'PBA Summary'!$F$2,'PBA Summary'!$G$2))</f>
        <v>-0.18009935185364906</v>
      </c>
      <c r="EJ39" s="34" cm="1">
        <f t="array" ref="EJ39">IF('PBA Summary'!$D$3="","",_xll.ASAssetStatistic($A39,"Annual Down Capture vs Benchmark 1",'PBA Summary'!$D$3,,,"m",'PBA Summary'!$F$2,'PBA Summary'!$G$2))</f>
        <v>-0.18009935185364906</v>
      </c>
      <c r="EK39" s="16" cm="1">
        <f t="array" ref="EK39">IF('PBA Summary'!$D$2="","",_xll.ASAssetStatistic($A39,"Ann. Tracking Error vs Benchmark 1",'PBA Summary'!$D$2,,,"m",'PBA Summary'!$F$2,'PBA Summary'!$G$2))</f>
        <v>0.15209539692428026</v>
      </c>
      <c r="EL39" s="16" cm="1">
        <f t="array" ref="EL39">IF('PBA Summary'!$D$3="","",_xll.ASAssetStatistic($A39,"Ann. Tracking Error vs Benchmark 1",'PBA Summary'!$D$3,,,"m",'PBA Summary'!$F$2,'PBA Summary'!$G$2))</f>
        <v>0.15209539692428026</v>
      </c>
      <c r="EM39" s="16" cm="1">
        <f t="array" ref="EM39">IF('PBA Summary'!$D$2="","",_xll.ASAssetStatistic($A39,"Annual Jensen Alpha vs Benchmark 1 (Rf)",'PBA Summary'!$D$2,,,"m",'PBA Summary'!$F$2,'PBA Summary'!$G$2))</f>
        <v>5.5318248241126147E-2</v>
      </c>
      <c r="EN39" s="16" cm="1">
        <f t="array" ref="EN39">IF('PBA Summary'!$D$3="","",_xll.ASAssetStatistic($A39,"Annual Jensen Alpha vs Benchmark 1 (Rf)",'PBA Summary'!$D$3,,,"m",'PBA Summary'!$F$2,'PBA Summary'!$G$2))</f>
        <v>5.5318248241126147E-2</v>
      </c>
      <c r="EO39" s="33" cm="1">
        <f t="array" ref="EO39">IF('PBA Summary'!$D$2="","",_xll.ASAssetStatistic($A39,"Ann. Information Ratio vs Benchmark 1",'PBA Summary'!$D$2,,,"m",'PBA Summary'!$F$2,'PBA Summary'!$G$2))</f>
        <v>-0.73875100852228259</v>
      </c>
      <c r="EP39" s="33" cm="1">
        <f t="array" ref="EP39">IF('PBA Summary'!$D$3="","",_xll.ASAssetStatistic($A39,"Ann. Information Ratio vs Benchmark 1",'PBA Summary'!$D$3,,,"m",'PBA Summary'!$F$2,'PBA Summary'!$G$2))</f>
        <v>-0.73875100852228259</v>
      </c>
      <c r="EQ39" s="17" cm="1">
        <f t="array" ref="EQ39">IF('PBA Summary'!$D$2="","",_xll.ASAssetStatistic($A39,"Alpha Monthly vs Benchmark 1",'PBA Summary'!$D$2,,,"m",'PBA Summary'!$F$2,'PBA Summary'!$G$2))</f>
        <v>4.690501618918941E-3</v>
      </c>
      <c r="ER39" s="17" cm="1">
        <f t="array" ref="ER39">IF('PBA Summary'!$D$3="","",_xll.ASAssetStatistic($A39,"Alpha Monthly vs Benchmark 1",'PBA Summary'!$D$3,,,"m",'PBA Summary'!$F$2,'PBA Summary'!$G$2))</f>
        <v>4.690501618918941E-3</v>
      </c>
      <c r="ES39" s="11" t="str" cm="1">
        <f t="array" ref="ES39">_xll.ASAssetInfo($A39,"Company AUM (m)")</f>
        <v/>
      </c>
      <c r="ET39" s="16" cm="1">
        <f t="array" ref="ET39">_xll.ASAssetStatistic($A39,"Exponential Annualized Volatility",,,,"m",'PBA Summary'!$F$2,'PBA Summary'!$G$2)</f>
        <v>1.1442761000727155E-2</v>
      </c>
      <c r="EU39" s="16" cm="1">
        <f t="array" ref="EU39">_xll.ASAssetStatistic($A39,"Exponential Annualized Volatility Last 1 year",,,,"m",'PBA Summary'!$F$2,'PBA Summary'!$G$2)</f>
        <v>1.0615372536170698E-2</v>
      </c>
      <c r="EV39" s="16" t="str" cm="1">
        <f t="array" ref="EV39">_xll.ASAssetStatistic($A39,"Exponential Annualized Volatility Last 3 years",,,,"m",'PBA Summary'!$F$2,'PBA Summary'!$G$2)</f>
        <v/>
      </c>
      <c r="EW39" s="34" cm="1">
        <f t="array" ref="EW39">IF('PBA Summary'!$D$2="","",_xll.ASAssetStatistic($A39,"Exponential Correlation to Benchmark 1",'PBA Summary'!$D$2,,,"m",'PBA Summary'!$F$2,'PBA Summary'!$G$2))</f>
        <v>8.8004722103052477E-2</v>
      </c>
      <c r="EX39" s="34" cm="1">
        <f t="array" ref="EX39">IF('PBA Summary'!$D$3="","",_xll.ASAssetStatistic($A39,"Exponential Correlation to Benchmark 1",'PBA Summary'!$D$3,,,"m",'PBA Summary'!$F$2,'PBA Summary'!$G$2))</f>
        <v>8.8004722103052477E-2</v>
      </c>
      <c r="EY39" s="34" cm="1">
        <f t="array" ref="EY39">_xll.ASAssetStatistic($A39,"Exponential Annual Sharpe Ratio (Rf)",,,,"m",'PBA Summary'!$F$2,'PBA Summary'!$G$2)</f>
        <v>4.6657539522274449</v>
      </c>
      <c r="EZ39" s="34" cm="1">
        <f t="array" ref="EZ39">_xll.ASAssetStatistic($A39,"Exponential Normal Monthly VaR 99%",,,,"m",'PBA Summary'!$F$2,'PBA Summary'!$G$2)</f>
        <v>-3.1422713034698685E-3</v>
      </c>
      <c r="FA39" s="34" cm="1">
        <f t="array" ref="FA39">_xll.ASAssetStatistic($A39,"Exponential Normal Monthly VaR 97%",,,,"m",'PBA Summary'!$F$2,'PBA Summary'!$G$2)</f>
        <v>-1.670498375346257E-3</v>
      </c>
      <c r="FB39" s="34" cm="1">
        <f t="array" ref="FB39">_xll.ASAssetStatistic($A39,"Exponential Normal Monthly VaR 95%",,,,"m",'PBA Summary'!$F$2,'PBA Summary'!$G$2)</f>
        <v>-8.9113185688523278E-4</v>
      </c>
      <c r="FC39" s="34" cm="1">
        <f t="array" ref="FC39">_xll.ASAssetStatistic($A39,"Exponential Normal Monthly VaR 90%",,,,"m",'PBA Summary'!$F$2,'PBA Summary'!$G$2)</f>
        <v>3.0894225225287786E-4</v>
      </c>
      <c r="FD39" s="34" t="str" cm="1">
        <f t="array" ref="FD39">_xll.ASAssetStatistic($A39,"Exponential Normal weekly VaR 99%",,,,"m",'PBA Summary'!$F$2,'PBA Summary'!$G$2)</f>
        <v/>
      </c>
      <c r="FE39" s="34" t="str" cm="1">
        <f t="array" ref="FE39">_xll.ASAssetStatistic($A39,"Exponential Normal weekly VaR 97%",,,,"m",'PBA Summary'!$F$2,'PBA Summary'!$G$2)</f>
        <v/>
      </c>
      <c r="FF39" s="34" t="str" cm="1">
        <f t="array" ref="FF39">_xll.ASAssetStatistic($A39,"Exponential Normal weekly VaR 95%",,,,"m",'PBA Summary'!$F$2,'PBA Summary'!$G$2)</f>
        <v/>
      </c>
      <c r="FG39" s="34" t="str" cm="1">
        <f t="array" ref="FG39">_xll.ASAssetStatistic($A39,"Exponential Normal weekly VaR 90%",,,,"m",'PBA Summary'!$F$2,'PBA Summary'!$G$2)</f>
        <v/>
      </c>
      <c r="FH39" s="34" t="str" cm="1">
        <f t="array" ref="FH39">_xll.ASAssetStatistic($A39,"Exponential Normal daily VaR 99%",,,,"m",'PBA Summary'!$F$2,'PBA Summary'!$G$2)</f>
        <v/>
      </c>
      <c r="FI39" s="34" t="str" cm="1">
        <f t="array" ref="FI39">_xll.ASAssetStatistic($A39,"Exponential Normal daily VaR 97%",,,,"m",'PBA Summary'!$F$2,'PBA Summary'!$G$2)</f>
        <v/>
      </c>
      <c r="FJ39" s="34" t="str" cm="1">
        <f t="array" ref="FJ39">_xll.ASAssetStatistic($A39,"Exponential Normal daily VaR 95%",,,,"m",'PBA Summary'!$F$2,'PBA Summary'!$G$2)</f>
        <v/>
      </c>
      <c r="FK39" s="34" t="str" cm="1">
        <f t="array" ref="FK39">_xll.ASAssetStatistic($A39,"Exponential Normal daily VaR 90%",,,,"m",'PBA Summary'!$F$2,'PBA Summary'!$G$2)</f>
        <v/>
      </c>
      <c r="FL39" s="34" cm="1">
        <f t="array" ref="FL39">_xll.ASAssetStatistic($A39,"Bias Ratio",,,,"m",'PBA Summary'!$F$2,'PBA Summary'!$G$2)</f>
        <v>3.5</v>
      </c>
      <c r="FM39" s="11" t="str" cm="1">
        <f t="array" ref="FM39">_xll.ASAssetInfo($A39,"Manager's Biography")</f>
        <v/>
      </c>
      <c r="FN39" s="11" cm="1">
        <f t="array" ref="FN39">_xll.ASAssetInfo($A39,"Investment Min")</f>
        <v>0</v>
      </c>
      <c r="FO39" s="11" t="str" cm="1">
        <f t="array" ref="FO39">_xll.ASAssetInfo($A39,"Auditor")</f>
        <v>Deloitte/Ireland</v>
      </c>
      <c r="FP39" s="11" t="str" cm="1">
        <f t="array" ref="FP39">_xll.ASAssetInfo($A39,"Custodian")</f>
        <v>State Street Custodial Services Ireland Ltd</v>
      </c>
      <c r="FQ39" s="11" t="str" cm="1">
        <f t="array" ref="FQ39">_xll.ASAssetInfo($A39,"Administrator")</f>
        <v>State Street Fund Services Ireland Ltd</v>
      </c>
      <c r="FR39" s="14" t="str" cm="1">
        <f t="array" ref="FR39">_xll.ASAssetInfo($A39,"Proxy 1 Start Date")</f>
        <v/>
      </c>
      <c r="FS39" s="14" t="str" cm="1">
        <f t="array" ref="FS39">_xll.ASAssetInfo($A39,"Proxy 1 End Date")</f>
        <v/>
      </c>
      <c r="FT39" s="14" t="str" cm="1">
        <f t="array" ref="FT39">_xll.ASAssetInfo($A39,"Proxy 2 Start Date")</f>
        <v/>
      </c>
      <c r="FU39" s="14" t="str" cm="1">
        <f t="array" ref="FU39">_xll.ASAssetInfo($A39,"Proxy 2 End Date")</f>
        <v/>
      </c>
      <c r="FV39" s="14" t="str" cm="1">
        <f t="array" ref="FV39">_xll.ASAssetInfo($A39,"Proxy 3 Start Date")</f>
        <v/>
      </c>
      <c r="FW39" s="14" t="str" cm="1">
        <f t="array" ref="FW39">_xll.ASAssetInfo($A39,"Proxy 3 End Date")</f>
        <v/>
      </c>
      <c r="FX39" s="14" t="str" cm="1">
        <f t="array" ref="FX39">_xll.ASAssetInfo($A39,"Fund Domicile")</f>
        <v>IE</v>
      </c>
      <c r="FY39" s="14" t="str" cm="1">
        <f t="array" ref="FY39">_xll.ASAssetInfo($A39,"Fund Contact")</f>
        <v/>
      </c>
      <c r="FZ39" s="14" t="str" cm="1">
        <f t="array" ref="FZ39">_xll.ASAssetInfo($A39,"Fund Contact Email")</f>
        <v/>
      </c>
      <c r="GA39" s="14" t="str" cm="1">
        <f t="array" ref="GA39">_xll.ASAssetInfo($A39,"Fund Contact Number")</f>
        <v/>
      </c>
      <c r="GB39" s="14" t="str" cm="1">
        <f t="array" ref="GB39">_xll.ASAssetInfo($A39,"City")</f>
        <v>Dublin</v>
      </c>
      <c r="GC39" s="14" t="str" cm="1">
        <f t="array" ref="GC39">_xll.ASAssetInfo($A39,"Leverage")</f>
        <v>N</v>
      </c>
      <c r="GD39" s="14" t="str" cm="1">
        <f t="array" ref="GD39">_xll.ASAssetInfo($A39,"Lockup 1 Duration")</f>
        <v>0 Months</v>
      </c>
      <c r="GE39" s="14" t="str" cm="1">
        <f t="array" ref="GE39">_xll.ASAssetInfo($A39,"Lockup 2 Duration")</f>
        <v>0 Months</v>
      </c>
      <c r="GF39" s="14" t="str" cm="1">
        <f t="array" ref="GF39">_xll.ASAssetInfo($A39,"Lockup 3 Duration")</f>
        <v>0 Months</v>
      </c>
      <c r="GG39" s="31" t="str" cm="1">
        <f t="array" ref="GG39">_xll.ASAssetInfo($A39,"Fund Level Gate")</f>
        <v/>
      </c>
      <c r="GH39" s="31" t="str" cm="1">
        <f t="array" ref="GH39">_xll.ASAssetInfo($A39,"Fund Level Gate Frequency")</f>
        <v>Unknown</v>
      </c>
      <c r="GI39" s="35" cm="1">
        <f t="array" ref="GI39">_xll.ASAssetInfo($A39,"Payment 2 (%)")</f>
        <v>0</v>
      </c>
      <c r="GJ39" s="35" t="str" cm="1">
        <f t="array" ref="GJ39">_xll.ASAssetInfo($A39,"Payment 2 (days)")</f>
        <v/>
      </c>
      <c r="GK39" s="35" t="str" cm="1">
        <f t="array" ref="GK39">_xll.ASAssetInfo($A39,"Payment 2 (Paid After)")</f>
        <v>NAV Date</v>
      </c>
      <c r="GL39" s="35" cm="1">
        <f t="array" ref="GL39">_xll.ASAssetInfo($A39,"Payment 3 (%)")</f>
        <v>0</v>
      </c>
      <c r="GM39" s="36" t="str" cm="1">
        <f t="array" ref="GM39">_xll.ASAssetInfo($A39,"Payment 3 (Days)")</f>
        <v/>
      </c>
      <c r="GN39" s="35" t="str" cm="1">
        <f t="array" ref="GN39">_xll.ASAssetInfo($A39,"Payment 3 (Paid After)")</f>
        <v>NAV Date</v>
      </c>
      <c r="GO39" s="35" cm="1">
        <f t="array" ref="GO39">_xll.ASAssetInfo($A39,"Payment 4 (%)")</f>
        <v>0</v>
      </c>
      <c r="GP39" s="36" t="str" cm="1">
        <f t="array" ref="GP39">_xll.ASAssetInfo($A39,"Payment 4 (days)")</f>
        <v/>
      </c>
      <c r="GQ39" s="35" t="str" cm="1">
        <f t="array" ref="GQ39">_xll.ASAssetInfo($A39,"Payment 4 (Paid After)")</f>
        <v>NAV Date</v>
      </c>
      <c r="GR39" s="11" cm="1">
        <f t="array" ref="GR39">_xll.ASAssetInfo($A39,"Payment 1 (%)")</f>
        <v>1</v>
      </c>
      <c r="GS39" s="35" cm="1">
        <f t="array" ref="GS39">_xll.ASAssetInfo($A39,"Lockup 1 Fee")</f>
        <v>0</v>
      </c>
      <c r="GT39" s="35" cm="1">
        <f t="array" ref="GT39">_xll.ASAssetInfo($A39,"Lockup 2 Fee")</f>
        <v>0</v>
      </c>
      <c r="GU39" s="35" cm="1">
        <f t="array" ref="GU39">_xll.ASAssetInfo($A39,"Lockup 3 Fee")</f>
        <v>0</v>
      </c>
      <c r="GV39" s="35" t="str" cm="1">
        <f t="array" ref="GV39">_xll.ASAssetInfo($A39,"Lockup 1 type")</f>
        <v>None</v>
      </c>
      <c r="GW39" s="35" t="str" cm="1">
        <f t="array" ref="GW39">_xll.ASAssetInfo($A39,"Lockup 2 type")</f>
        <v>None</v>
      </c>
      <c r="GX39" s="35" t="str" cm="1">
        <f t="array" ref="GX39">_xll.ASAssetInfo($A39,"Lockup 3 type")</f>
        <v>None</v>
      </c>
      <c r="GY39" s="35" t="str" cm="1">
        <f t="array" ref="GY39">_xll.ASAssetInfo($A39,"Redemption 1 type")</f>
        <v>Calendar</v>
      </c>
      <c r="GZ39" s="35" t="str" cm="1">
        <f t="array" ref="GZ39">_xll.ASAssetInfo($A39,"Redemption 2 type")</f>
        <v>Calendar</v>
      </c>
      <c r="HA39" s="35" t="str" cm="1">
        <f t="array" ref="HA39">_xll.ASAssetInfo($A39,"Redemption 3 type")</f>
        <v>Calendar</v>
      </c>
      <c r="HB39" s="35" t="str" cm="1">
        <f t="array" ref="HB39">_xll.ASAssetInfo($A39,"Redemption 1 Fee")</f>
        <v/>
      </c>
      <c r="HC39" s="35" t="str" cm="1">
        <f t="array" ref="HC39">_xll.ASAssetInfo($A39,"Redemption 2 Fee")</f>
        <v/>
      </c>
      <c r="HD39" s="35" t="str" cm="1">
        <f t="array" ref="HD39">_xll.ASAssetInfo($A39,"Redemption 3 Fee")</f>
        <v/>
      </c>
      <c r="HE39" s="35" t="str" cm="1">
        <f t="array" ref="HE39">_xll.ASAssetInfo($A39,"Redemption 1 Frequency")</f>
        <v>Daily</v>
      </c>
      <c r="HF39" s="35" t="str" cm="1">
        <f t="array" ref="HF39">_xll.ASAssetInfo($A39,"Redemption 2 Frequency")</f>
        <v>Unknown</v>
      </c>
      <c r="HG39" s="35" t="str" cm="1">
        <f t="array" ref="HG39">_xll.ASAssetInfo($A39,"Redemption 3 Frequency")</f>
        <v>Unknown</v>
      </c>
      <c r="HH39" s="35" t="str" cm="1">
        <f t="array" ref="HH39">_xll.ASAssetInfo($A39,"Asset Calendar")</f>
        <v>[Default]</v>
      </c>
      <c r="HI39" s="16" cm="1">
        <f t="array" ref="HI39">_xll.ASAssetStatistic($A39,"Max Second Drawdown",,,,"m",'PBA Summary'!$F$2,'PBA Summary'!$G$2)</f>
        <v>0</v>
      </c>
      <c r="HJ39" s="37" t="str" cm="1">
        <f t="array" ref="HJ39">_xll.ASAssetStatistic($A39,"Date Max Second Drawdown",,,,"m",'PBA Summary'!$F$2,'PBA Summary'!$G$2)</f>
        <v/>
      </c>
      <c r="HK39" s="37"/>
      <c r="HL39" s="37" t="str" cm="1">
        <f t="array" ref="HL39">_xll.ASAssetInfo($A39,HL$1)</f>
        <v/>
      </c>
      <c r="HM39" s="34" t="str" cm="1">
        <f t="array" ref="HM39">_xll.ASAssetInfo($A39,HM$1)</f>
        <v/>
      </c>
      <c r="HN39" s="37" t="str" cm="1">
        <f t="array" ref="HN39">_xll.ASAssetInfo($A39,HN$1)</f>
        <v/>
      </c>
      <c r="HO39" s="15" cm="1">
        <f t="array" ref="HO39">_xll.ASAssetInfo($A39,HO$1)</f>
        <v>0</v>
      </c>
      <c r="HP39" s="15" cm="1">
        <f t="array" ref="HP39">_xll.ASAssetInfo($A39,HP$1)</f>
        <v>7.4999999999999997E-3</v>
      </c>
      <c r="HQ39" s="34" t="str" cm="1">
        <f t="array" ref="HQ39">_xll.ASAssetInfo($A39,HQ$1)</f>
        <v/>
      </c>
      <c r="HR39" s="37" t="str" cm="1">
        <f t="array" ref="HR39">_xll.ASAssetInfo($A39,HR$1)</f>
        <v/>
      </c>
      <c r="HS39" s="37" t="str" cm="1">
        <f t="array" ref="HS39">_xll.ASAssetInfo($A39,HS$1)</f>
        <v/>
      </c>
      <c r="HT39" s="37" t="str" cm="1">
        <f t="array" ref="HT39">_xll.ASAssetInfo($A39,HT$1)</f>
        <v>A-</v>
      </c>
      <c r="HU39" s="37" t="str" cm="1">
        <f t="array" ref="HU39">_xll.ASAssetInfo($A39,HU$1)</f>
        <v>U.S.</v>
      </c>
      <c r="HV39" s="37" t="str" cm="1">
        <f t="array" ref="HV39">_xll.ASAssetInfo($A39,HV$1)</f>
        <v/>
      </c>
      <c r="HW39" s="37" t="str" cm="1">
        <f t="array" ref="HW39">_xll.ASAssetInfo($A39,HW$1)</f>
        <v/>
      </c>
    </row>
    <row r="40" spans="1:231" s="11" customFormat="1" x14ac:dyDescent="0.25">
      <c r="A40" t="s">
        <v>326</v>
      </c>
      <c r="B40" cm="1">
        <f t="array" ref="B40">_xll.ASPortfolioWeights('PBA Summary'!$C$2,"OR",$A40)</f>
        <v>0</v>
      </c>
      <c r="C40" cm="1">
        <f t="array" ref="C40">_xll.ASAssetStatistic($A40,"Annualized Return since inception",,,,"m",_xll.ASAssetInfo($A40,"Start Date"),_xll.ASAssetInfo($A40,"Last Return Date"))</f>
        <v>2.6114434698627509E-3</v>
      </c>
      <c r="D40" cm="1">
        <f t="array" ref="D40">_xll.ASAssetStatistic($A40,"Annualized Return",,,,"m",'PBA Summary'!$F$2,'PBA Summary'!$G$2)</f>
        <v>6.0698637120136789E-2</v>
      </c>
      <c r="E40" s="19" cm="1">
        <f t="array" ref="E40">_xll.ASAssetStatistic($A40,"Equilibrium Annual Return",,,,"m",'PBA Summary'!$F$2,'PBA Summary'!$G$2)</f>
        <v>-0.18593994078216969</v>
      </c>
      <c r="F40" cm="1">
        <f t="array" ref="F40">_xll.ASAssetStatistic($A40,"Annualized Volatility (Inception)",,,,"m",_xll.ASAssetInfo($A40,"Start Date"),_xll.ASAssetInfo($A40,"Last Return Date"))</f>
        <v>0.36042723713526781</v>
      </c>
      <c r="G40" cm="1">
        <f t="array" ref="G40">_xll.ASAssetStatistic($A40,"Annualized Volatility",,,,"m",'PBA Summary'!$F$2,'PBA Summary'!$G$2)</f>
        <v>0.20080457650947425</v>
      </c>
      <c r="H40" s="20" cm="1">
        <f t="array" ref="H40">_xll.ASAssetStatistic($A40,"Skewness",,,,"m",'PBA Summary'!$F$2,'PBA Summary'!$G$2)</f>
        <v>-0.48047025600400561</v>
      </c>
      <c r="I40" s="20" cm="1">
        <f t="array" ref="I40">_xll.ASAssetStatistic($A40,"Excess kurtosis",,,,"m",'PBA Summary'!$F$2,'PBA Summary'!$G$2)</f>
        <v>-0.42583914444644549</v>
      </c>
      <c r="J40" s="19" cm="1">
        <f t="array" ref="J40">_xll.ASAssetStatistic($A40,"Return Last 1 month",,,,"m",'PBA Summary'!$F$2,'PBA Summary'!$G$2)</f>
        <v>-6.307812325866502E-2</v>
      </c>
      <c r="K40" s="19" cm="1">
        <f t="array" ref="K40">_xll.ASAssetStatistic($A40,"Return Last 3 months",,,,"m",'PBA Summary'!$F$2,'PBA Summary'!$G$2)</f>
        <v>-5.1877748956806746E-2</v>
      </c>
      <c r="L40" s="19" cm="1">
        <f t="array" ref="L40">_xll.ASAssetStatistic($A40,"Return Last 1 year",,,,"m",'PBA Summary'!$F$2,'PBA Summary'!$G$2)</f>
        <v>-5.059288537549389E-2</v>
      </c>
      <c r="M40" s="19" cm="1">
        <f t="array" ref="M40">_xll.ASAssetStatistic($A40,"Year-to-date Return",,,,"m",'PBA Summary'!$F$2,'PBA Summary'!$G$2)</f>
        <v>-6.307812325866502E-2</v>
      </c>
      <c r="N40" s="19" cm="1">
        <f t="array" ref="N40">_xll.ASAssetStatistic($A40,"Annualized Return",,,,"m",EOMONTH('PBA Summary'!$G$2,-2),'PBA Summary'!$G$2)</f>
        <v>-0.1919144222228002</v>
      </c>
      <c r="O40" s="19" t="str" cm="1">
        <f t="array" ref="O40">_xll.ASAssetStatistic($A40,"Annualized Return Last 3 years",,,,"m",'PBA Summary'!$F$2,'PBA Summary'!$G$2)</f>
        <v/>
      </c>
      <c r="P40" s="19" t="str" cm="1">
        <f t="array" ref="P40">_xll.ASAssetStatistic($A40,"Annualized Return Last 5 years",,,,"m",'PBA Summary'!$F$2,'PBA Summary'!$G$2)</f>
        <v/>
      </c>
      <c r="Q40" s="19" cm="1">
        <f t="array" ref="Q40">_xll.ASAssetStatistic($A40,"Annualized Volatility Last 1 year",,,,"m",'PBA Summary'!$F$2,'PBA Summary'!$G$2)</f>
        <v>0.19759123469197445</v>
      </c>
      <c r="R40" s="19" t="str" cm="1">
        <f t="array" ref="R40">_xll.ASAssetStatistic($A40,"Annualized Volatility Last 3 years",,,,"m",'PBA Summary'!$F$2,'PBA Summary'!$G$2)</f>
        <v/>
      </c>
      <c r="S40" s="19" t="str" cm="1">
        <f t="array" ref="S40">_xll.ASAssetStatistic($A40,"Annualized Volatility Last 5 years",,,,"m",'PBA Summary'!$F$2,'PBA Summary'!$G$2)</f>
        <v/>
      </c>
      <c r="T40" s="19" cm="1">
        <f t="array" ref="T40">_xll.ASAssetStatistic($A40,"Normal monthly VaR 99%",,,,"m",'PBA Summary'!$F$2,'PBA Summary'!$G$2)</f>
        <v>-0.12834178073366576</v>
      </c>
      <c r="U40" s="19" cm="1">
        <f t="array" ref="U40">_xll.ASAssetStatistic($A40,"Modified monthly VaR 99%",,,,"m",'PBA Summary'!$F$2,'PBA Summary'!$G$2)</f>
        <v>-0.13801438671276145</v>
      </c>
      <c r="V40" s="19" cm="1">
        <f t="array" ref="V40">_xll.ASAssetStatistic($A40,"Conditional monthly VaR 99%",,,,"m",'PBA Summary'!$F$2,'PBA Summary'!$G$2)</f>
        <v>-0.11533473012072237</v>
      </c>
      <c r="W40" s="19" cm="1">
        <f t="array" ref="W40">_xll.ASAssetStatistic($A40,"Normal monthly VaR 97%",,,,"m",'PBA Summary'!$F$2,'PBA Summary'!$G$2)</f>
        <v>-0.10251420821588007</v>
      </c>
      <c r="X40" s="19" cm="1">
        <f t="array" ref="X40">_xll.ASAssetStatistic($A40,"Modified monthly VaR 97%",,,,"m",'PBA Summary'!$F$2,'PBA Summary'!$G$2)</f>
        <v>-0.1118024922207078</v>
      </c>
      <c r="Y40" s="19" cm="1">
        <f t="array" ref="Y40">_xll.ASAssetStatistic($A40,"Conditional monthly VaR 97%",,,,"m",'PBA Summary'!$F$2,'PBA Summary'!$G$2)</f>
        <v>-0.11533473012072237</v>
      </c>
      <c r="Z40" s="19" cm="1">
        <f t="array" ref="Z40">_xll.ASAssetStatistic($A40,"Normal monthly VaR 95%",,,,"m",'PBA Summary'!$F$2,'PBA Summary'!$G$2)</f>
        <v>-8.8837407339301053E-2</v>
      </c>
      <c r="AA40" s="19" cm="1">
        <f t="array" ref="AA40">_xll.ASAssetStatistic($A40,"Modified monthly VaR 95%",,,,"m",'PBA Summary'!$F$2,'PBA Summary'!$G$2)</f>
        <v>-9.7001223436275111E-2</v>
      </c>
      <c r="AB40" s="19" cm="1">
        <f t="array" ref="AB40">_xll.ASAssetStatistic($A40,"Conditional monthly VaR 95%",,,,"m",'PBA Summary'!$F$2,'PBA Summary'!$G$2)</f>
        <v>-0.11533473012072237</v>
      </c>
      <c r="AC40" s="66" cm="1">
        <f t="array" ref="AC40">_xll.ASAssetStatistic($A40,"Correlation to Benchmark 1","MSCI ACWI Index",,,"m",'PBA Summary'!$F$2,'PBA Summary'!$G$2)</f>
        <v>-0.20963915383987133</v>
      </c>
      <c r="AD40" s="38" cm="1">
        <f t="array" ref="AD40">IF('PBA Summary'!$D$3="","",_xll.ASAssetStatistic($A40,"Correlation to Benchmark 1",'PBA Summary'!$D$3,,,"m",'PBA Summary'!$F$2,'PBA Summary'!$G$2))</f>
        <v>-0.20710318603805306</v>
      </c>
      <c r="AE40" s="21" cm="1">
        <f t="array" ref="AE40">IF('PBA Summary'!$D$2="","",_xll.ASAssetStatistic($A40,"Bull correlation to Benchmark 1",'PBA Summary'!$D$2,,,"m",'PBA Summary'!$F$2,'PBA Summary'!$G$2))</f>
        <v>-0.20819114896711566</v>
      </c>
      <c r="AF40" s="21" cm="1">
        <f t="array" ref="AF40">IF('PBA Summary'!$D$2="","",_xll.ASAssetStatistic($A40,"Bear correlation to Benchmark 1",'PBA Summary'!$D$2,,,"m",'PBA Summary'!$F$2,'PBA Summary'!$G$2))</f>
        <v>-0.47845882398230305</v>
      </c>
      <c r="AG40" s="21" cm="1">
        <f t="array" ref="AG40">IF('PBA Summary'!$D$3="","",_xll.ASAssetStatistic($A40,"Bull correlation to Benchmark 1",'PBA Summary'!$D$3,,,"m",'PBA Summary'!$F$2,'PBA Summary'!$G$2))</f>
        <v>-0.20819114896711566</v>
      </c>
      <c r="AH40" s="21" cm="1">
        <f t="array" ref="AH40">IF('PBA Summary'!$D$3="","",_xll.ASAssetStatistic($A40,"Bear correlation to Benchmark 1",'PBA Summary'!$D$3,,,"m",'PBA Summary'!$F$2,'PBA Summary'!$G$2))</f>
        <v>-0.47845882398230305</v>
      </c>
      <c r="AI40" s="24" cm="1">
        <f t="array" ref="AI40">IF('PBA Summary'!$D$2="","",_xll.ASAssetStatistic($A40,"Beta to Benchmark 1",'PBA Summary'!$D$2,,,"m",'PBA Summary'!$F$2,'PBA Summary'!$G$2))</f>
        <v>-0.27088447728737969</v>
      </c>
      <c r="AJ40" s="24" t="str" cm="1">
        <f t="array" ref="AJ40">IF('PBA Summary'!$D$2="","",_xll.ASAssetStatistic($A40,"Beta to Benchmark 1 Last 3 years",'PBA Summary'!$D$2,,,"m",'PBA Summary'!$F$2,'PBA Summary'!$G$2))</f>
        <v/>
      </c>
      <c r="AK40" s="24" t="str" cm="1">
        <f t="array" ref="AK40">IF('PBA Summary'!$D$2="","",_xll.ASAssetStatistic($A40,"Beta to Benchmark 1 Last 5 years",'PBA Summary'!$D$2,,,"m",'PBA Summary'!$F$2,'PBA Summary'!$G$2))</f>
        <v/>
      </c>
      <c r="AL40" s="25" cm="1">
        <f t="array" ref="AL40">IF('PBA Summary'!$D$3="","",_xll.ASAssetStatistic($A40,"Beta to Benchmark 1",'PBA Summary'!$D$3,,,"m",'PBA Summary'!$F$2,'PBA Summary'!$G$2))</f>
        <v>-0.27088447728737969</v>
      </c>
      <c r="AM40" s="25" t="str" cm="1">
        <f t="array" ref="AM40">IF('PBA Summary'!$D$3="","",_xll.ASAssetStatistic($A40,"Beta to Benchmark 1 Last 3 years",'PBA Summary'!$D$3,,,"m",'PBA Summary'!$F$2,'PBA Summary'!$G$2))</f>
        <v/>
      </c>
      <c r="AN40" s="25" t="str" cm="1">
        <f t="array" ref="AN40">IF('PBA Summary'!$D$3="","",_xll.ASAssetStatistic($A40,"Beta to Benchmark 1 Last 5 years",'PBA Summary'!$D$3,,,"m",'PBA Summary'!$F$2,'PBA Summary'!$G$2))</f>
        <v/>
      </c>
      <c r="AO40" s="25" cm="1">
        <f t="array" ref="AO40">IF('PBA Summary'!$D$2="","",_xll.ASAssetStatistic($A40,"Bull Beta to Benchmark 1",'PBA Summary'!$D$2,,,"m",'PBA Summary'!$F$2,'PBA Summary'!$G$2))</f>
        <v>-0.5773224267103908</v>
      </c>
      <c r="AP40" s="25" cm="1">
        <f t="array" ref="AP40">IF('PBA Summary'!$D$2="","",_xll.ASAssetStatistic($A40,"Bear Beta to Benchmark 1",'PBA Summary'!$D$2,,,"m",'PBA Summary'!$F$2,'PBA Summary'!$G$2))</f>
        <v>-0.69343506682625533</v>
      </c>
      <c r="AQ40" s="25" cm="1">
        <f t="array" ref="AQ40">IF('PBA Summary'!$D$3="","",_xll.ASAssetStatistic($A40,"Bull Beta to Benchmark 1",'PBA Summary'!$D$3,,,"m",'PBA Summary'!$F$2,'PBA Summary'!$G$2))</f>
        <v>-0.5773224267103908</v>
      </c>
      <c r="AR40" s="25" cm="1">
        <f t="array" ref="AR40">IF('PBA Summary'!$D$3="","",_xll.ASAssetStatistic($A40,"Bear Beta to Benchmark 1",'PBA Summary'!$D$3,,,"m",'PBA Summary'!$F$2,'PBA Summary'!$G$2))</f>
        <v>-0.69343506682625533</v>
      </c>
      <c r="AS40" s="25" cm="1">
        <f t="array" ref="AS40">_xll.ASAssetStatistic($A40,"Annual Sharpe Ratio (Rf)",,,'PBA Summary'!$H$2,"m",'PBA Summary'!$F$2,'PBA Summary'!$G$2)</f>
        <v>0.28982724463648313</v>
      </c>
      <c r="AT40" s="25" t="str" cm="1">
        <f t="array" ref="AT40">_xll.ASAssetStatistic($A40,"Annual Sharpe Ratio (Rf) Last 3 years",,,'PBA Summary'!$H$2,"m",'PBA Summary'!$F$2,'PBA Summary'!$G$2)</f>
        <v/>
      </c>
      <c r="AU40" s="25" t="str" cm="1">
        <f t="array" ref="AU40">_xll.ASAssetStatistic($A40,"Annual Sharpe Ratio (Rf) Last 5 years",,,'PBA Summary'!$H$2,"m",'PBA Summary'!$F$2,'PBA Summary'!$G$2)</f>
        <v/>
      </c>
      <c r="AV40" s="18" cm="1">
        <f t="array" ref="AV40">_xll.ASAssetStatistic($A40,"Ann. Downside Deviation (vs 0%)",,,'PBA Summary'!$H$2,"m",'PBA Summary'!$F$2,'PBA Summary'!$G$2)</f>
        <v>0.13191099675634196</v>
      </c>
      <c r="AW40" s="18" cm="1">
        <f t="array" ref="AW40">_xll.ASAssetStatistic($A40,"Ann. Downside Deviation (vs Rf)",,,'PBA Summary'!$H$2,"m",'PBA Summary'!$F$2,'PBA Summary'!$G$2)</f>
        <v>0.13230459035378828</v>
      </c>
      <c r="AX40" s="39" cm="1">
        <f t="array" ref="AX40">_xll.ASAssetStatistic($A40,"Annual Treynor ratio",,,'PBA Summary'!$H$2,"m",'PBA Summary'!$F$2,'PBA Summary'!$G$2)</f>
        <v>-0.11230537581462363</v>
      </c>
      <c r="AY40" s="26" cm="1">
        <f t="array" ref="AY40">_xll.ASAssetStatistic($A40,"Annual Sortino Ratio (vs 0%)",,,'PBA Summary'!$H$2,"m",'PBA Summary'!$F$2,'PBA Summary'!$G$2)</f>
        <v>0.46014842289650537</v>
      </c>
      <c r="AZ40" s="26" cm="1">
        <f t="array" ref="AZ40">_xll.ASAssetStatistic($A40,"Annual Sortino Ratio (vs Rf)",,,'PBA Summary'!$H$2,"m",'PBA Summary'!$F$2,'PBA Summary'!$G$2)</f>
        <v>0.43988373316837365</v>
      </c>
      <c r="BA40" s="26" cm="1">
        <f t="array" ref="BA40">_xll.ASAssetStatistic($A40,"Sterling ratio",,,'PBA Summary'!$H$2,"m",'PBA Summary'!$F$2,'PBA Summary'!$G$2)</f>
        <v>0.22645734838433845</v>
      </c>
      <c r="BB40" s="26" cm="1">
        <f t="array" ref="BB40">_xll.ASAssetStatistic($A40,"Calmar ratio",,,'PBA Summary'!$H$2,"m",'PBA Summary'!$F$2,'PBA Summary'!$G$2)</f>
        <v>0.36122481042342741</v>
      </c>
      <c r="BC40" s="26" cm="1">
        <f t="array" ref="BC40">_xll.ASAssetStatistic($A40,"Hurst index",,,'PBA Summary'!$H$2,"m",'PBA Summary'!$F$2,'PBA Summary'!$G$2)</f>
        <v>0.46456412029224281</v>
      </c>
      <c r="BD40" s="26" cm="1">
        <f t="array" ref="BD40">_xll.ASAssetStatistic($A40,"Omega (Threshold 1)",,,'PBA Summary'!$H$2,"m",'PBA Summary'!$F$2,'PBA Summary'!$G$2)</f>
        <v>1.313491776199448</v>
      </c>
      <c r="BE40" s="26" cm="1">
        <f t="array" ref="BE40">_xll.ASAssetStatistic($A40,"Omega (Threshold 2)",,,'PBA Summary'!$H$2,"m",'PBA Summary'!$F$2,'PBA Summary'!$G$2)</f>
        <v>1.0644497571821114</v>
      </c>
      <c r="BF40" s="26" cm="1">
        <f t="array" ref="BF40">_xll.ASAssetStatistic($A40,"Omega (Threshold 3)",,,'PBA Summary'!$H$2,"m",'PBA Summary'!$F$2,'PBA Summary'!$G$2)</f>
        <v>0.86629681905295619</v>
      </c>
      <c r="BG40" s="26" cm="1">
        <f t="array" ref="BG40">_xll.ASAssetStatistic($A40,"Omega (Threshold 4)",,,'PBA Summary'!$H$2,"m",'PBA Summary'!$F$2,'PBA Summary'!$G$2)</f>
        <v>0.70488091065841163</v>
      </c>
      <c r="BH40" s="26" cm="1">
        <f t="array" ref="BH40">_xll.ASAssetStatistic($A40,"Omega (Threshold 5)",,,'PBA Summary'!$H$2,"m",'PBA Summary'!$F$2,'PBA Summary'!$G$2)</f>
        <v>0.57085231628871091</v>
      </c>
      <c r="BI40" s="26" t="str" cm="1">
        <f t="array" ref="BI40">_xll.ASAssetStatistic($A40,"Autocorrelated (illiquid)",,,'PBA Summary'!$H$2,"m",'PBA Summary'!$F$2,'PBA Summary'!$G$2)</f>
        <v>No</v>
      </c>
      <c r="BJ40" s="27" cm="1">
        <f t="array" ref="BJ40">_xll.ASAssetStatistic($A40,"% months in Run Up",,,'PBA Summary'!$H$2,"m",'PBA Summary'!$F$2,'PBA Summary'!$G$2)</f>
        <v>0.4</v>
      </c>
      <c r="BK40" s="27" cm="1">
        <f t="array" ref="BK40">_xll.ASAssetStatistic($A40,"% months in Drawdown",,,'PBA Summary'!$H$2,"m",'PBA Summary'!$F$2,'PBA Summary'!$G$2)</f>
        <v>0.6</v>
      </c>
      <c r="BL40" s="18" cm="1">
        <f t="array" ref="BL40">IF('PBA Summary'!$D$2="","",_xll.ASAssetStatistic($A40,"Bull Beta to Benchmark 1",'PBA Summary'!$D$2,,,"m",'PBA Summary'!$F$2,'PBA Summary'!$G$2))</f>
        <v>-0.5773224267103908</v>
      </c>
      <c r="BM40" s="18" cm="1">
        <f t="array" ref="BM40">IF('PBA Summary'!$D$2="","",_xll.ASAssetStatistic($A40,"Average return during bear Benchmark 1",'PBA Summary'!$D$2,,,"m",'PBA Summary'!$F$2,'PBA Summary'!$G$2))</f>
        <v>1.0159617835295509E-2</v>
      </c>
      <c r="BN40" s="18" cm="1">
        <f t="array" ref="BN40">IF('PBA Summary'!$D$3="","",_xll.ASAssetStatistic($A40,"Average return during bull Benchmark 1",'PBA Summary'!$D$3,,,"m",'PBA Summary'!$F$2,'PBA Summary'!$G$2))</f>
        <v>5.1832709971031095E-3</v>
      </c>
      <c r="BO40" s="18" cm="1">
        <f t="array" ref="BO40">IF('PBA Summary'!$D$3="","",_xll.ASAssetStatistic($A40,"Average return during bear Benchmark 1",'PBA Summary'!$D$3,,,"m",'PBA Summary'!$F$2,'PBA Summary'!$G$2))</f>
        <v>1.0159617835295509E-2</v>
      </c>
      <c r="BP40" s="27" cm="1">
        <f t="array" ref="BP40">_xll.ASAssetStatistic($A40,"Maximum consecutive gain",,,'PBA Summary'!$H$2,"m",'PBA Summary'!$F$2,'PBA Summary'!$G$2)</f>
        <v>0.15416133162612033</v>
      </c>
      <c r="BQ40" s="27" cm="1">
        <f t="array" ref="BQ40">_xll.ASAssetStatistic($A40,"Maximum consecutive loss",,,'PBA Summary'!$H$2,"m",'PBA Summary'!$F$2,'PBA Summary'!$G$2)</f>
        <v>-0.16566056407718999</v>
      </c>
      <c r="BR40" s="27" cm="1">
        <f t="array" ref="BR40">_xll.ASAssetStatistic($A40,"Max monthly gain",,,'PBA Summary'!$H$2,"m",'PBA Summary'!$F$2,'PBA Summary'!$G$2)</f>
        <v>8.8732394366197065E-2</v>
      </c>
      <c r="BS40" s="27" cm="1">
        <f t="array" ref="BS40">_xll.ASAssetStatistic($A40,"Max monthly loss",,,'PBA Summary'!$H$2,"m",'PBA Summary'!$F$2,'PBA Summary'!$G$2)</f>
        <v>-0.11533473012072237</v>
      </c>
      <c r="BT40" s="27" cm="1">
        <f t="array" ref="BT40">_xll.ASAssetStatistic($A40,"Max drawdown",,,'PBA Summary'!$H$2,"m",'PBA Summary'!$F$2,'PBA Summary'!$G$2)</f>
        <v>-0.16803562592775922</v>
      </c>
      <c r="BU40" s="28" cm="1">
        <f t="array" ref="BU40">_xll.ASAssetStatistic($A40,"Date Max drawdown",,,'PBA Summary'!$H$2,"m",'PBA Summary'!$F$2,'PBA Summary'!$G$2)</f>
        <v>43861</v>
      </c>
      <c r="BV40" s="28" cm="1">
        <f t="array" ref="BV40">_xll.ASAssetStatistic($A40,"Start Date Max Drawdown",,,'PBA Summary'!$H$2,"m",'PBA Summary'!$F$2,'PBA Summary'!$G$2)</f>
        <v>43738</v>
      </c>
      <c r="BW40" s="28" t="str" cm="1">
        <f t="array" ref="BW40">_xll.ASAssetStatistic($A40,"End Date Max Drawdown",,,'PBA Summary'!$H$2,"m",'PBA Summary'!$F$2,'PBA Summary'!$G$2)</f>
        <v/>
      </c>
      <c r="BX40" s="29" cm="1">
        <f t="array" ref="BX40">_xll.ASAssetStatistic($A40,"Max Time-under-water (months)",,,'PBA Summary'!$H$2,"m",'PBA Summary'!$F$2,'PBA Summary'!$G$2)</f>
        <v>5</v>
      </c>
      <c r="BY40" s="27" cm="1">
        <f t="array" ref="BY40">_xll.ASAssetStatistic($A40,"Max possible drawdown 99%",,,'PBA Summary'!$H$2,"m",'PBA Summary'!$F$2,'PBA Summary'!$G$2)</f>
        <v>-0.69832003523660124</v>
      </c>
      <c r="BZ40" s="27" cm="1">
        <f t="array" ref="BZ40">_xll.ASAssetStatistic($A40,"Max possible drawdown 99.9%",,,'PBA Summary'!$H$2,"m",'PBA Summary'!$F$2,'PBA Summary'!$G$2)</f>
        <v>-1</v>
      </c>
      <c r="CA40" s="30" cm="1">
        <f t="array" ref="CA40">_xll.ASAssetStatistic($A40,"Max Possible Time-under-water 99% (months)",,,'PBA Summary'!$H$2,"m",'PBA Summary'!$F$2,'PBA Summary'!$G$2)</f>
        <v>429.05572785849193</v>
      </c>
      <c r="CB40" s="30" cm="1">
        <f t="array" ref="CB40">_xll.ASAssetStatistic($A40,"Max Possible Time-under-water 99.9% (months)",,,'PBA Summary'!$H$2,"m",'PBA Summary'!$F$2,'PBA Summary'!$G$2)</f>
        <v>757.08849189173395</v>
      </c>
      <c r="CC40" s="17" t="str" cm="1">
        <f t="array" ref="CC40">_xll.ASPortfolioReturnAttribution('PBA Summary'!$C$2,"OR",A40,"Last 1m",'PBA Summary'!$F$2,'PBA Summary'!$G$2)</f>
        <v/>
      </c>
      <c r="CD40" s="11" t="str" cm="1">
        <f t="array" ref="CD40">_xll.ASAssetInfo($A40,"Strategy")</f>
        <v>Direct Holdings - Stocks</v>
      </c>
      <c r="CE40" s="14" cm="1">
        <f t="array" ref="CE40">_xll.ASAssetInfo($A40,"Start Date")</f>
        <v>40876</v>
      </c>
      <c r="CF40" s="14" t="str" cm="1">
        <f t="array" ref="CF40">_xll.ASAssetRatings($A40,"Quantitative",0,0,0,0,0,'PBA Summary'!$F$2,'PBA Summary'!$G$2)</f>
        <v/>
      </c>
      <c r="CG40" s="14" t="str" cm="1">
        <f t="array" ref="CG40">_xll.ASAssetRatings($A40,"Qualitative",0,0,0,0,0,'PBA Summary'!$F$2,'PBA Summary'!$G$2)</f>
        <v/>
      </c>
      <c r="CH40" s="14" t="str" cm="1">
        <f t="array" ref="CH40">_xll.ASAssetRatings($A40,"Final",0,0,0,0,0,'PBA Summary'!$F$2,'PBA Summary'!$G$2)</f>
        <v/>
      </c>
      <c r="CI40" s="14" cm="1">
        <f t="array" ref="CI40">_xll.ASAssetInfo($A40,"Last Return Date")</f>
        <v>44126</v>
      </c>
      <c r="CJ40" s="14" t="str" cm="1">
        <f t="array" ref="CJ40">_xll.ASAssetInfo($A40,"Company Name")</f>
        <v/>
      </c>
      <c r="CK40" s="14" t="str" cm="1">
        <f t="array" ref="CK40">_xll.ASAssetInfo($A40,"Manager Name")</f>
        <v/>
      </c>
      <c r="CL40" s="14" t="str" cm="1">
        <f t="array" ref="CL40">_xll.ASAssetInfo($A40,"Address")</f>
        <v/>
      </c>
      <c r="CM40" s="14" t="str" cm="1">
        <f t="array" ref="CM40">_xll.ASAssetInfo($A40,"Phone Number")</f>
        <v/>
      </c>
      <c r="CN40" s="14" t="str" cm="1">
        <f t="array" ref="CN40">_xll.ASAssetInfo($A40,"Email")</f>
        <v/>
      </c>
      <c r="CO40" s="14" t="str" cm="1">
        <f t="array" ref="CO40">_xll.ASAssetInfo($A40,"Asset Type")</f>
        <v>Equities</v>
      </c>
      <c r="CP40" s="14" t="str" cm="1">
        <f t="array" ref="CP40">_xll.ASAssetInfo($A40,"Proprietary ID")</f>
        <v/>
      </c>
      <c r="CQ40" s="14" t="str" cm="1">
        <f t="array" ref="CQ40">_xll.ASAssetInfo($A40,"Country")</f>
        <v>[Not Classified]</v>
      </c>
      <c r="CR40" s="14" t="str" cm="1">
        <f t="array" ref="CR40">_xll.ASAssetInfo($A40,"Currency")</f>
        <v>CNY</v>
      </c>
      <c r="CS40" s="14" t="str" cm="1">
        <f t="array" ref="CS40">_xll.ASAssetInfo($A40,"Sub-Strategy")</f>
        <v/>
      </c>
      <c r="CT40" s="31" t="str" cm="1">
        <f t="array" ref="CT40">_xll.ASAssetInfo($A40,"Fund AUM (m)")</f>
        <v/>
      </c>
      <c r="CU40" s="31" t="str" cm="1">
        <f t="array" ref="CU40">_xll.ASAssetInfo($A40,"Status")</f>
        <v>Unknown</v>
      </c>
      <c r="CV40" s="31" t="str" cm="1">
        <f t="array" ref="CV40">_xll.ASAssetInfo($A40,"Redemption 1 Frequency")</f>
        <v>Unknown</v>
      </c>
      <c r="CW40" s="31" t="str" cm="1">
        <f t="array" ref="CW40">_xll.ASAssetInfo($A40,"Redemption 2 Frequency")</f>
        <v>Unknown</v>
      </c>
      <c r="CX40" s="31" t="str" cm="1">
        <f t="array" ref="CX40">_xll.ASAssetInfo($A40,"Redemption 3 Frequency")</f>
        <v>Unknown</v>
      </c>
      <c r="CY40" s="31" t="str" cm="1">
        <f t="array" ref="CY40">_xll.ASAssetInfo($A40,"Notice Period")</f>
        <v/>
      </c>
      <c r="CZ40" s="15" t="str" cm="1">
        <f t="array" ref="CZ40">_xll.ASAssetInfo($A40,"Performance Fee")</f>
        <v/>
      </c>
      <c r="DA40" s="15" t="str" cm="1">
        <f t="array" ref="DA40">_xll.ASAssetInfo($A40,"Management Fee")</f>
        <v/>
      </c>
      <c r="DB40" s="15" t="str" cm="1">
        <f t="array" ref="DB40">_xll.ASAssetInfo($A40,"ISIN")</f>
        <v>CNE1000019Q6</v>
      </c>
      <c r="DC40" s="16" cm="1">
        <f t="array" ref="DC40">_xll.ASAssetStatistic($A40,"Return during " &amp;YEAR(EOMONTH('PBA Summary'!$G$2,-60)),,,,"M",DATE(YEAR(EOMONTH('PBA Summary'!$G$2,-60)),1,31),DATE(YEAR(EOMONTH('PBA Summary'!$G$2,-60)),12,31))</f>
        <v>0.49895415722503</v>
      </c>
      <c r="DD40" s="16" cm="1">
        <f t="array" ref="DD40">_xll.ASAssetStatistic($A40,"Return during " &amp;YEAR(EOMONTH('PBA Summary'!$G$2,-48)),,,,"M",DATE(YEAR(EOMONTH('PBA Summary'!$G$2,-48)),1,31),DATE(YEAR(EOMONTH('PBA Summary'!$G$2,-48)),12,31))</f>
        <v>-0.3367637653351937</v>
      </c>
      <c r="DE40" s="16" cm="1">
        <f t="array" ref="DE40">_xll.ASAssetStatistic($A40,"Return during " &amp;YEAR(EOMONTH('PBA Summary'!$G$2,-36)),,,,"M",DATE(YEAR(EOMONTH('PBA Summary'!$G$2,-36)),1,31),DATE(YEAR(EOMONTH('PBA Summary'!$G$2,-36)),12,31))</f>
        <v>-0.21311475409836056</v>
      </c>
      <c r="DF40" s="16" cm="1">
        <f t="array" ref="DF40">_xll.ASAssetStatistic($A40,"Return during " &amp;YEAR(EOMONTH('PBA Summary'!$G$2,-24)),,,,"M",DATE(YEAR(EOMONTH('PBA Summary'!$G$2,-24)),1,31),DATE(YEAR(EOMONTH('PBA Summary'!$G$2,-24)),12,31))</f>
        <v>4.2335115864515771E-3</v>
      </c>
      <c r="DG40" s="16" cm="1">
        <f t="array" ref="DG40">_xll.ASAssetStatistic($A40,"Return during " &amp;YEAR(EOMONTH('PBA Summary'!$G$2,-12)),,,,"M",DATE(YEAR(EOMONTH('PBA Summary'!$G$2,-12)),1,31),DATE(YEAR(EOMONTH('PBA Summary'!$G$2,-12)),12,31))</f>
        <v>-4.5484801420012655E-3</v>
      </c>
      <c r="DH40" s="11" t="str" cm="1">
        <f t="array" ref="DH40">_xll.ASAssetInfo($A40,"Prime Broker")</f>
        <v/>
      </c>
      <c r="DI40" s="16" cm="1">
        <f t="array" ref="DI40">_xll.ASAssetStatistic($A40,"Return",,,,"m",'PBA Summary'!$F$2,'PBA Summary'!$G$2)</f>
        <v>7.6440460947503563E-2</v>
      </c>
      <c r="DJ40" s="33" cm="1">
        <f t="array" ref="DJ40">IF('PBA Summary'!$D$2="","",_xll.ASAssetStatistic($A40,"Ann. Information Ratio vs Benchmark 1",'PBA Summary'!$D$2,,,"m",'PBA Summary'!$F$2,'PBA Summary'!$G$2))</f>
        <v>-0.40311519658570394</v>
      </c>
      <c r="DK40" s="33" cm="1">
        <f t="array" ref="DK40">IF('PBA Summary'!$D$3="","",_xll.ASAssetStatistic($A40,"Ann. Information Ratio vs Benchmark 1",'PBA Summary'!$D$3,,,"m",'PBA Summary'!$F$2,'PBA Summary'!$G$2))</f>
        <v>-0.40311519658570394</v>
      </c>
      <c r="DL40" s="33" cm="1">
        <f t="array" ref="DL40">IF('PBA Summary'!$D$2="","",_xll.ASAssetStatistic($A40,"Ann. Tracking Error vs Benchmark 1",'PBA Summary'!$D$2,,,"m",'PBA Summary'!$F$2,'PBA Summary'!$G$2))</f>
        <v>0.27687791988958405</v>
      </c>
      <c r="DM40" s="33" cm="1">
        <f t="array" ref="DM40">IF('PBA Summary'!$D$3="","",_xll.ASAssetStatistic($A40,"Ann. Tracking Error vs Benchmark 1",'PBA Summary'!$D$3,,,"m",'PBA Summary'!$F$2,'PBA Summary'!$G$2))</f>
        <v>0.27687791988958405</v>
      </c>
      <c r="DN40" s="33" cm="1">
        <f t="array" ref="DN40">IF('PBA Summary'!$D$2="","",_xll.ASAssetStatistic($A40,"R² vs Benchmark 1",'PBA Summary'!$D$2,,,"m",'PBA Summary'!$F$2,'PBA Summary'!$G$2))</f>
        <v>4.2891729667112417E-2</v>
      </c>
      <c r="DO40" s="33" cm="1">
        <f t="array" ref="DO40">IF('PBA Summary'!$D$3="","",_xll.ASAssetStatistic($A40,"R² vs Benchmark 1",'PBA Summary'!$D$3,,,"m",'PBA Summary'!$F$2,'PBA Summary'!$G$2))</f>
        <v>4.2891729667112417E-2</v>
      </c>
      <c r="DP40" s="11" t="str" cm="1">
        <f t="array" ref="DP40">_xll.ASAssetInfo($A40,"On-/Offshore")</f>
        <v>Unknown</v>
      </c>
      <c r="DQ40" s="16" cm="1">
        <f t="array" ref="DQ40">_xll.ASAssetStatistic($A40,"Quarter-to-date",,,,"m",'PBA Summary'!$F$2,'PBA Summary'!$G$2)</f>
        <v>-6.307812325866502E-2</v>
      </c>
      <c r="DR40" s="16" cm="1">
        <f t="array" ref="DR40">_xll.ASAssetStatistic($A40,"Annualized Return Since inception",,,,"m",'PBA Summary'!$F$2,'PBA Summary'!$G$2)</f>
        <v>2.6114434698627509E-3</v>
      </c>
      <c r="DS40" s="16" cm="1">
        <f t="array" ref="DS40">IF('PBA Summary'!$D$2="","",_xll.ASAssetStatistic($A40,"Ann. Bear Market Return vs Benchmark 1",'PBA Summary'!$D$2,,,"m",'PBA Summary'!$F$2,'PBA Summary'!$G$2))</f>
        <v>0.11073128108321217</v>
      </c>
      <c r="DT40" s="16" cm="1">
        <f t="array" ref="DT40">IF('PBA Summary'!$D$2="","",_xll.ASAssetStatistic($A40,"Ann. Bull Market Return vs Benchmark 1",'PBA Summary'!$D$2,,,"m",'PBA Summary'!$F$2,'PBA Summary'!$G$2))</f>
        <v>4.3069159133627855E-2</v>
      </c>
      <c r="DU40" s="16" cm="1">
        <f t="array" ref="DU40">IF('PBA Summary'!$D$3="","",_xll.ASAssetStatistic($A40,"Ann. Bear Market Return vs Benchmark 1",'PBA Summary'!$D$3,,,"m",'PBA Summary'!$F$2,'PBA Summary'!$G$2))</f>
        <v>0.11073128108321217</v>
      </c>
      <c r="DV40" s="16" cm="1">
        <f t="array" ref="DV40">IF('PBA Summary'!$D$3="","",_xll.ASAssetStatistic($A40,"Ann. Bull Market Return vs Benchmark 1",'PBA Summary'!$D$3,,,"m",'PBA Summary'!$F$2,'PBA Summary'!$G$2))</f>
        <v>4.3069159133627855E-2</v>
      </c>
      <c r="DW40" s="17" cm="1">
        <f t="array" ref="DW40">_xll.ASAssetStatistic($A40,"Average Positive Return",,,,"m",'PBA Summary'!$F$2,'PBA Summary'!$G$2)</f>
        <v>5.8451439903592757E-2</v>
      </c>
      <c r="DX40" s="17" cm="1">
        <f t="array" ref="DX40">_xll.ASAssetStatistic($A40,"Average Negative Return",,,,"m",'PBA Summary'!$F$2,'PBA Summary'!$G$2)</f>
        <v>-3.8938203376979133E-2</v>
      </c>
      <c r="DY40" s="16" cm="1">
        <f t="array" ref="DY40">IF('PBA Summary'!$D$2="","",_xll.ASAssetStatistic($A40,"Outperformance vs Benchmark 1",'PBA Summary'!$D$2,,,"m",'PBA Summary'!$F$2,'PBA Summary'!$G$2))</f>
        <v>-0.14340318386121509</v>
      </c>
      <c r="DZ40" s="16" cm="1">
        <f t="array" ref="DZ40">IF('PBA Summary'!$D$3="","",_xll.ASAssetStatistic($A40,"Outperformance vs Benchmark 1",'PBA Summary'!$D$3,,,"m",'PBA Summary'!$F$2,'PBA Summary'!$G$2))</f>
        <v>-0.14340318386121509</v>
      </c>
      <c r="EA40" s="16" cm="1">
        <f t="array" ref="EA40">IF('PBA Summary'!$D$2="","",_xll.ASAssetStatistic($A40,"Annual Outperformance vs Benchmark 1",'PBA Summary'!$D$2,,,"m",'PBA Summary'!$F$2,'PBA Summary'!$G$2))</f>
        <v>-0.11161369710653046</v>
      </c>
      <c r="EB40" s="16" cm="1">
        <f t="array" ref="EB40">IF('PBA Summary'!$D$3="","",_xll.ASAssetStatistic($A40,"Annual Outperformance vs Benchmark 1",'PBA Summary'!$D$3,,,"m",'PBA Summary'!$F$2,'PBA Summary'!$G$2))</f>
        <v>-0.11161369710653046</v>
      </c>
      <c r="EC40" s="32" cm="1">
        <f t="array" ref="EC40">_xll.ASAssetStatistic($A40,"Rachev Ratio 99%",,,,"m",'PBA Summary'!$F$2,'PBA Summary'!$G$2)</f>
        <v>-0.76934670305570318</v>
      </c>
      <c r="ED40" s="32" cm="1">
        <f t="array" ref="ED40">_xll.ASAssetStatistic($A40,"Rachev Ratio 97%",,,,"m",'PBA Summary'!$F$2,'PBA Summary'!$G$2)</f>
        <v>-0.76934670305570318</v>
      </c>
      <c r="EE40" s="32" cm="1">
        <f t="array" ref="EE40">_xll.ASAssetStatistic($A40,"Rachev Ratio 95%",,,,"m",'PBA Summary'!$F$2,'PBA Summary'!$G$2)</f>
        <v>-0.76934670305570318</v>
      </c>
      <c r="EF40" s="32" cm="1">
        <f t="array" ref="EF40">_xll.ASAssetStatistic($A40,"Rachev Ratio 90%",,,,"m",'PBA Summary'!$F$2,'PBA Summary'!$G$2)</f>
        <v>-0.85766777991066412</v>
      </c>
      <c r="EG40" s="34" cm="1">
        <f t="array" ref="EG40">IF('PBA Summary'!$D$2="","",_xll.ASAssetStatistic($A40,"Annual Up Capture vs Benchmark 1",'PBA Summary'!$D$2,,,"m",'PBA Summary'!$F$2,'PBA Summary'!$G$2))</f>
        <v>8.5081963308325542E-2</v>
      </c>
      <c r="EH40" s="34" cm="1">
        <f t="array" ref="EH40">IF('PBA Summary'!$D$3="","",_xll.ASAssetStatistic($A40,"Annual Up Capture vs Benchmark 1",'PBA Summary'!$D$3,,,"m",'PBA Summary'!$F$2,'PBA Summary'!$G$2))</f>
        <v>8.5081963308325542E-2</v>
      </c>
      <c r="EI40" s="34" cm="1">
        <f t="array" ref="EI40">IF('PBA Summary'!$D$2="","",_xll.ASAssetStatistic($A40,"Annual Down Capture vs Benchmark 1",'PBA Summary'!$D$2,,,"m",'PBA Summary'!$F$2,'PBA Summary'!$G$2))</f>
        <v>-0.26907633374062717</v>
      </c>
      <c r="EJ40" s="34" cm="1">
        <f t="array" ref="EJ40">IF('PBA Summary'!$D$3="","",_xll.ASAssetStatistic($A40,"Annual Down Capture vs Benchmark 1",'PBA Summary'!$D$3,,,"m",'PBA Summary'!$F$2,'PBA Summary'!$G$2))</f>
        <v>-0.26907633374062717</v>
      </c>
      <c r="EK40" s="16" cm="1">
        <f t="array" ref="EK40">IF('PBA Summary'!$D$2="","",_xll.ASAssetStatistic($A40,"Ann. Tracking Error vs Benchmark 1",'PBA Summary'!$D$2,,,"m",'PBA Summary'!$F$2,'PBA Summary'!$G$2))</f>
        <v>0.27687791988958405</v>
      </c>
      <c r="EL40" s="16" cm="1">
        <f t="array" ref="EL40">IF('PBA Summary'!$D$3="","",_xll.ASAssetStatistic($A40,"Ann. Tracking Error vs Benchmark 1",'PBA Summary'!$D$3,,,"m",'PBA Summary'!$F$2,'PBA Summary'!$G$2))</f>
        <v>0.27687791988958405</v>
      </c>
      <c r="EM40" s="16" cm="1">
        <f t="array" ref="EM40">IF('PBA Summary'!$D$2="","",_xll.ASAssetStatistic($A40,"Annual Jensen Alpha vs Benchmark 1 (Rf)",'PBA Summary'!$D$2,,,"m",'PBA Summary'!$F$2,'PBA Summary'!$G$2))</f>
        <v>0.10419816251407736</v>
      </c>
      <c r="EN40" s="16" cm="1">
        <f t="array" ref="EN40">IF('PBA Summary'!$D$3="","",_xll.ASAssetStatistic($A40,"Annual Jensen Alpha vs Benchmark 1 (Rf)",'PBA Summary'!$D$3,,,"m",'PBA Summary'!$F$2,'PBA Summary'!$G$2))</f>
        <v>0.10419816251407736</v>
      </c>
      <c r="EO40" s="33" cm="1">
        <f t="array" ref="EO40">IF('PBA Summary'!$D$2="","",_xll.ASAssetStatistic($A40,"Ann. Information Ratio vs Benchmark 1",'PBA Summary'!$D$2,,,"m",'PBA Summary'!$F$2,'PBA Summary'!$G$2))</f>
        <v>-0.40311519658570394</v>
      </c>
      <c r="EP40" s="33" cm="1">
        <f t="array" ref="EP40">IF('PBA Summary'!$D$3="","",_xll.ASAssetStatistic($A40,"Ann. Information Ratio vs Benchmark 1",'PBA Summary'!$D$3,,,"m",'PBA Summary'!$F$2,'PBA Summary'!$G$2))</f>
        <v>-0.40311519658570394</v>
      </c>
      <c r="EQ40" s="17" cm="1">
        <f t="array" ref="EQ40">IF('PBA Summary'!$D$2="","",_xll.ASAssetStatistic($A40,"Alpha Monthly vs Benchmark 1",'PBA Summary'!$D$2,,,"m",'PBA Summary'!$F$2,'PBA Summary'!$G$2))</f>
        <v>1.037513484546854E-2</v>
      </c>
      <c r="ER40" s="17" cm="1">
        <f t="array" ref="ER40">IF('PBA Summary'!$D$3="","",_xll.ASAssetStatistic($A40,"Alpha Monthly vs Benchmark 1",'PBA Summary'!$D$3,,,"m",'PBA Summary'!$F$2,'PBA Summary'!$G$2))</f>
        <v>1.037513484546854E-2</v>
      </c>
      <c r="ES40" s="11" t="str" cm="1">
        <f t="array" ref="ES40">_xll.ASAssetInfo($A40,"Company AUM (m)")</f>
        <v/>
      </c>
      <c r="ET40" s="16" cm="1">
        <f t="array" ref="ET40">_xll.ASAssetStatistic($A40,"Exponential Annualized Volatility",,,,"m",'PBA Summary'!$F$2,'PBA Summary'!$G$2)</f>
        <v>0.21168609426685733</v>
      </c>
      <c r="EU40" s="16" cm="1">
        <f t="array" ref="EU40">_xll.ASAssetStatistic($A40,"Exponential Annualized Volatility Last 1 year",,,,"m",'PBA Summary'!$F$2,'PBA Summary'!$G$2)</f>
        <v>0.21043178052563272</v>
      </c>
      <c r="EV40" s="16" t="str" cm="1">
        <f t="array" ref="EV40">_xll.ASAssetStatistic($A40,"Exponential Annualized Volatility Last 3 years",,,,"m",'PBA Summary'!$F$2,'PBA Summary'!$G$2)</f>
        <v/>
      </c>
      <c r="EW40" s="34" cm="1">
        <f t="array" ref="EW40">IF('PBA Summary'!$D$2="","",_xll.ASAssetStatistic($A40,"Exponential Correlation to Benchmark 1",'PBA Summary'!$D$2,,,"m",'PBA Summary'!$F$2,'PBA Summary'!$G$2))</f>
        <v>-0.1143788383929721</v>
      </c>
      <c r="EX40" s="34" cm="1">
        <f t="array" ref="EX40">IF('PBA Summary'!$D$3="","",_xll.ASAssetStatistic($A40,"Exponential Correlation to Benchmark 1",'PBA Summary'!$D$3,,,"m",'PBA Summary'!$F$2,'PBA Summary'!$G$2))</f>
        <v>-0.1143788383929721</v>
      </c>
      <c r="EY40" s="34" cm="1">
        <f t="array" ref="EY40">_xll.ASAssetStatistic($A40,"Exponential Annual Sharpe Ratio (Rf)",,,,"m",'PBA Summary'!$F$2,'PBA Summary'!$G$2)</f>
        <v>-0.28627400437043593</v>
      </c>
      <c r="EZ40" s="34" cm="1">
        <f t="array" ref="EZ40">_xll.ASAssetStatistic($A40,"Exponential Normal Monthly VaR 99%",,,,"m",'PBA Summary'!$F$2,'PBA Summary'!$G$2)</f>
        <v>-0.14713527073614732</v>
      </c>
      <c r="FA40" s="34" cm="1">
        <f t="array" ref="FA40">_xll.ASAssetStatistic($A40,"Exponential Normal Monthly VaR 97%",,,,"m",'PBA Summary'!$F$2,'PBA Summary'!$G$2)</f>
        <v>-0.11990811264183907</v>
      </c>
      <c r="FB40" s="34" cm="1">
        <f t="array" ref="FB40">_xll.ASAssetStatistic($A40,"Exponential Normal Monthly VaR 95%",,,,"m",'PBA Summary'!$F$2,'PBA Summary'!$G$2)</f>
        <v>-0.10549017152737475</v>
      </c>
      <c r="FC40" s="34" cm="1">
        <f t="array" ref="FC40">_xll.ASAssetStatistic($A40,"Exponential Normal Monthly VaR 90%",,,,"m",'PBA Summary'!$F$2,'PBA Summary'!$G$2)</f>
        <v>-8.3289323237518698E-2</v>
      </c>
      <c r="FD40" s="34" t="str" cm="1">
        <f t="array" ref="FD40">_xll.ASAssetStatistic($A40,"Exponential Normal weekly VaR 99%",,,,"m",'PBA Summary'!$F$2,'PBA Summary'!$G$2)</f>
        <v/>
      </c>
      <c r="FE40" s="34" t="str" cm="1">
        <f t="array" ref="FE40">_xll.ASAssetStatistic($A40,"Exponential Normal weekly VaR 97%",,,,"m",'PBA Summary'!$F$2,'PBA Summary'!$G$2)</f>
        <v/>
      </c>
      <c r="FF40" s="34" t="str" cm="1">
        <f t="array" ref="FF40">_xll.ASAssetStatistic($A40,"Exponential Normal weekly VaR 95%",,,,"m",'PBA Summary'!$F$2,'PBA Summary'!$G$2)</f>
        <v/>
      </c>
      <c r="FG40" s="34" t="str" cm="1">
        <f t="array" ref="FG40">_xll.ASAssetStatistic($A40,"Exponential Normal weekly VaR 90%",,,,"m",'PBA Summary'!$F$2,'PBA Summary'!$G$2)</f>
        <v/>
      </c>
      <c r="FH40" s="34" t="str" cm="1">
        <f t="array" ref="FH40">_xll.ASAssetStatistic($A40,"Exponential Normal daily VaR 99%",,,,"m",'PBA Summary'!$F$2,'PBA Summary'!$G$2)</f>
        <v/>
      </c>
      <c r="FI40" s="34" t="str" cm="1">
        <f t="array" ref="FI40">_xll.ASAssetStatistic($A40,"Exponential Normal daily VaR 97%",,,,"m",'PBA Summary'!$F$2,'PBA Summary'!$G$2)</f>
        <v/>
      </c>
      <c r="FJ40" s="34" t="str" cm="1">
        <f t="array" ref="FJ40">_xll.ASAssetStatistic($A40,"Exponential Normal daily VaR 95%",,,,"m",'PBA Summary'!$F$2,'PBA Summary'!$G$2)</f>
        <v/>
      </c>
      <c r="FK40" s="34" t="str" cm="1">
        <f t="array" ref="FK40">_xll.ASAssetStatistic($A40,"Exponential Normal daily VaR 90%",,,,"m",'PBA Summary'!$F$2,'PBA Summary'!$G$2)</f>
        <v/>
      </c>
      <c r="FL40" s="34" cm="1">
        <f t="array" ref="FL40">_xll.ASAssetStatistic($A40,"Bias Ratio",,,,"m",'PBA Summary'!$F$2,'PBA Summary'!$G$2)</f>
        <v>0.2857142857142857</v>
      </c>
      <c r="FM40" s="11" t="str" cm="1">
        <f t="array" ref="FM40">_xll.ASAssetInfo($A40,"Manager's Biography")</f>
        <v/>
      </c>
      <c r="FN40" s="11" cm="1">
        <f t="array" ref="FN40">_xll.ASAssetInfo($A40,"Investment Min")</f>
        <v>0</v>
      </c>
      <c r="FO40" s="11" t="str" cm="1">
        <f t="array" ref="FO40">_xll.ASAssetInfo($A40,"Auditor")</f>
        <v/>
      </c>
      <c r="FP40" s="11" t="str" cm="1">
        <f t="array" ref="FP40">_xll.ASAssetInfo($A40,"Custodian")</f>
        <v/>
      </c>
      <c r="FQ40" s="11" t="str" cm="1">
        <f t="array" ref="FQ40">_xll.ASAssetInfo($A40,"Administrator")</f>
        <v/>
      </c>
      <c r="FR40" s="14" t="str" cm="1">
        <f t="array" ref="FR40">_xll.ASAssetInfo($A40,"Proxy 1 Start Date")</f>
        <v/>
      </c>
      <c r="FS40" s="14" t="str" cm="1">
        <f t="array" ref="FS40">_xll.ASAssetInfo($A40,"Proxy 1 End Date")</f>
        <v/>
      </c>
      <c r="FT40" s="14" t="str" cm="1">
        <f t="array" ref="FT40">_xll.ASAssetInfo($A40,"Proxy 2 Start Date")</f>
        <v/>
      </c>
      <c r="FU40" s="14" t="str" cm="1">
        <f t="array" ref="FU40">_xll.ASAssetInfo($A40,"Proxy 2 End Date")</f>
        <v/>
      </c>
      <c r="FV40" s="14" t="str" cm="1">
        <f t="array" ref="FV40">_xll.ASAssetInfo($A40,"Proxy 3 Start Date")</f>
        <v/>
      </c>
      <c r="FW40" s="14" t="str" cm="1">
        <f t="array" ref="FW40">_xll.ASAssetInfo($A40,"Proxy 3 End Date")</f>
        <v/>
      </c>
      <c r="FX40" s="14" t="str" cm="1">
        <f t="array" ref="FX40">_xll.ASAssetInfo($A40,"Fund Domicile")</f>
        <v/>
      </c>
      <c r="FY40" s="14" t="str" cm="1">
        <f t="array" ref="FY40">_xll.ASAssetInfo($A40,"Fund Contact")</f>
        <v/>
      </c>
      <c r="FZ40" s="14" t="str" cm="1">
        <f t="array" ref="FZ40">_xll.ASAssetInfo($A40,"Fund Contact Email")</f>
        <v/>
      </c>
      <c r="GA40" s="14" t="str" cm="1">
        <f t="array" ref="GA40">_xll.ASAssetInfo($A40,"Fund Contact Number")</f>
        <v/>
      </c>
      <c r="GB40" s="14" t="str" cm="1">
        <f t="array" ref="GB40">_xll.ASAssetInfo($A40,"City")</f>
        <v/>
      </c>
      <c r="GC40" s="14" t="str" cm="1">
        <f t="array" ref="GC40">_xll.ASAssetInfo($A40,"Leverage")</f>
        <v/>
      </c>
      <c r="GD40" s="14" t="str" cm="1">
        <f t="array" ref="GD40">_xll.ASAssetInfo($A40,"Lockup 1 Duration")</f>
        <v>0 Months</v>
      </c>
      <c r="GE40" s="14" t="str" cm="1">
        <f t="array" ref="GE40">_xll.ASAssetInfo($A40,"Lockup 2 Duration")</f>
        <v>0 Months</v>
      </c>
      <c r="GF40" s="14" t="str" cm="1">
        <f t="array" ref="GF40">_xll.ASAssetInfo($A40,"Lockup 3 Duration")</f>
        <v>0 Months</v>
      </c>
      <c r="GG40" s="31" t="str" cm="1">
        <f t="array" ref="GG40">_xll.ASAssetInfo($A40,"Fund Level Gate")</f>
        <v/>
      </c>
      <c r="GH40" s="31" t="str" cm="1">
        <f t="array" ref="GH40">_xll.ASAssetInfo($A40,"Fund Level Gate Frequency")</f>
        <v>Unknown</v>
      </c>
      <c r="GI40" s="35" cm="1">
        <f t="array" ref="GI40">_xll.ASAssetInfo($A40,"Payment 2 (%)")</f>
        <v>0</v>
      </c>
      <c r="GJ40" s="35" t="str" cm="1">
        <f t="array" ref="GJ40">_xll.ASAssetInfo($A40,"Payment 2 (days)")</f>
        <v/>
      </c>
      <c r="GK40" s="35" t="str" cm="1">
        <f t="array" ref="GK40">_xll.ASAssetInfo($A40,"Payment 2 (Paid After)")</f>
        <v>NAV Date</v>
      </c>
      <c r="GL40" s="35" cm="1">
        <f t="array" ref="GL40">_xll.ASAssetInfo($A40,"Payment 3 (%)")</f>
        <v>0</v>
      </c>
      <c r="GM40" s="36" t="str" cm="1">
        <f t="array" ref="GM40">_xll.ASAssetInfo($A40,"Payment 3 (Days)")</f>
        <v/>
      </c>
      <c r="GN40" s="35" t="str" cm="1">
        <f t="array" ref="GN40">_xll.ASAssetInfo($A40,"Payment 3 (Paid After)")</f>
        <v>NAV Date</v>
      </c>
      <c r="GO40" s="35" cm="1">
        <f t="array" ref="GO40">_xll.ASAssetInfo($A40,"Payment 4 (%)")</f>
        <v>0</v>
      </c>
      <c r="GP40" s="36" t="str" cm="1">
        <f t="array" ref="GP40">_xll.ASAssetInfo($A40,"Payment 4 (days)")</f>
        <v/>
      </c>
      <c r="GQ40" s="35" t="str" cm="1">
        <f t="array" ref="GQ40">_xll.ASAssetInfo($A40,"Payment 4 (Paid After)")</f>
        <v>NAV Date</v>
      </c>
      <c r="GR40" s="11" cm="1">
        <f t="array" ref="GR40">_xll.ASAssetInfo($A40,"Payment 1 (%)")</f>
        <v>1</v>
      </c>
      <c r="GS40" s="35" cm="1">
        <f t="array" ref="GS40">_xll.ASAssetInfo($A40,"Lockup 1 Fee")</f>
        <v>0</v>
      </c>
      <c r="GT40" s="35" cm="1">
        <f t="array" ref="GT40">_xll.ASAssetInfo($A40,"Lockup 2 Fee")</f>
        <v>0</v>
      </c>
      <c r="GU40" s="35" cm="1">
        <f t="array" ref="GU40">_xll.ASAssetInfo($A40,"Lockup 3 Fee")</f>
        <v>0</v>
      </c>
      <c r="GV40" s="35" t="str" cm="1">
        <f t="array" ref="GV40">_xll.ASAssetInfo($A40,"Lockup 1 type")</f>
        <v>None</v>
      </c>
      <c r="GW40" s="35" t="str" cm="1">
        <f t="array" ref="GW40">_xll.ASAssetInfo($A40,"Lockup 2 type")</f>
        <v>None</v>
      </c>
      <c r="GX40" s="35" t="str" cm="1">
        <f t="array" ref="GX40">_xll.ASAssetInfo($A40,"Lockup 3 type")</f>
        <v>None</v>
      </c>
      <c r="GY40" s="35" t="str" cm="1">
        <f t="array" ref="GY40">_xll.ASAssetInfo($A40,"Redemption 1 type")</f>
        <v>Calendar</v>
      </c>
      <c r="GZ40" s="35" t="str" cm="1">
        <f t="array" ref="GZ40">_xll.ASAssetInfo($A40,"Redemption 2 type")</f>
        <v>Calendar</v>
      </c>
      <c r="HA40" s="35" t="str" cm="1">
        <f t="array" ref="HA40">_xll.ASAssetInfo($A40,"Redemption 3 type")</f>
        <v>Calendar</v>
      </c>
      <c r="HB40" s="35" t="str" cm="1">
        <f t="array" ref="HB40">_xll.ASAssetInfo($A40,"Redemption 1 Fee")</f>
        <v/>
      </c>
      <c r="HC40" s="35" t="str" cm="1">
        <f t="array" ref="HC40">_xll.ASAssetInfo($A40,"Redemption 2 Fee")</f>
        <v/>
      </c>
      <c r="HD40" s="35" t="str" cm="1">
        <f t="array" ref="HD40">_xll.ASAssetInfo($A40,"Redemption 3 Fee")</f>
        <v/>
      </c>
      <c r="HE40" s="35" t="str" cm="1">
        <f t="array" ref="HE40">_xll.ASAssetInfo($A40,"Redemption 1 Frequency")</f>
        <v>Unknown</v>
      </c>
      <c r="HF40" s="35" t="str" cm="1">
        <f t="array" ref="HF40">_xll.ASAssetInfo($A40,"Redemption 2 Frequency")</f>
        <v>Unknown</v>
      </c>
      <c r="HG40" s="35" t="str" cm="1">
        <f t="array" ref="HG40">_xll.ASAssetInfo($A40,"Redemption 3 Frequency")</f>
        <v>Unknown</v>
      </c>
      <c r="HH40" s="35" t="str" cm="1">
        <f t="array" ref="HH40">_xll.ASAssetInfo($A40,"Asset Calendar")</f>
        <v>[Default]</v>
      </c>
      <c r="HI40" s="16" cm="1">
        <f t="array" ref="HI40">_xll.ASAssetStatistic($A40,"Max Second Drawdown",,,,"m",'PBA Summary'!$F$2,'PBA Summary'!$G$2)</f>
        <v>-5.7316320230499596E-2</v>
      </c>
      <c r="HJ40" s="37" cm="1">
        <f t="array" ref="HJ40">_xll.ASAssetStatistic($A40,"Date Max Second Drawdown",,,,"m",'PBA Summary'!$F$2,'PBA Summary'!$G$2)</f>
        <v>43646</v>
      </c>
      <c r="HK40" s="37"/>
      <c r="HL40" s="37" t="str" cm="1">
        <f t="array" ref="HL40">_xll.ASAssetInfo($A40,HL$1)</f>
        <v/>
      </c>
      <c r="HM40" s="34" cm="1">
        <f t="array" ref="HM40">_xll.ASAssetInfo($A40,HM$1)</f>
        <v>7.33</v>
      </c>
      <c r="HN40" s="37" t="str" cm="1">
        <f t="array" ref="HN40">_xll.ASAssetInfo($A40,HN$1)</f>
        <v/>
      </c>
      <c r="HO40" s="15" cm="1">
        <f t="array" ref="HO40">_xll.ASAssetInfo($A40,HO$1)</f>
        <v>0</v>
      </c>
      <c r="HP40" s="15" t="str" cm="1">
        <f t="array" ref="HP40">_xll.ASAssetInfo($A40,HP$1)</f>
        <v/>
      </c>
      <c r="HQ40" s="34" t="str" cm="1">
        <f t="array" ref="HQ40">_xll.ASAssetInfo($A40,HQ$1)</f>
        <v/>
      </c>
      <c r="HR40" s="37" t="str" cm="1">
        <f t="array" ref="HR40">_xll.ASAssetInfo($A40,HR$1)</f>
        <v/>
      </c>
      <c r="HS40" s="37" t="str" cm="1">
        <f t="array" ref="HS40">_xll.ASAssetInfo($A40,HS$1)</f>
        <v/>
      </c>
      <c r="HT40" s="37" t="str" cm="1">
        <f t="array" ref="HT40">_xll.ASAssetInfo($A40,HT$1)</f>
        <v/>
      </c>
      <c r="HU40" s="37" t="str" cm="1">
        <f t="array" ref="HU40">_xll.ASAssetInfo($A40,HU$1)</f>
        <v>China</v>
      </c>
      <c r="HV40" s="37" t="str" cm="1">
        <f t="array" ref="HV40">_xll.ASAssetInfo($A40,HV$1)</f>
        <v/>
      </c>
      <c r="HW40" s="37" t="str" cm="1">
        <f t="array" ref="HW40">_xll.ASAssetInfo($A40,HW$1)</f>
        <v/>
      </c>
    </row>
    <row r="41" spans="1:231" s="11" customFormat="1" ht="45" x14ac:dyDescent="0.25">
      <c r="A41" t="s">
        <v>327</v>
      </c>
      <c r="B41" cm="1">
        <f t="array" ref="B41">_xll.ASPortfolioWeights('PBA Summary'!$C$2,"OR",$A41)</f>
        <v>0</v>
      </c>
      <c r="C41" cm="1">
        <f t="array" ref="C41">_xll.ASAssetStatistic($A41,"Annualized Return since inception",,,,"m",_xll.ASAssetInfo($A41,"Start Date"),_xll.ASAssetInfo($A41,"Last Return Date"))</f>
        <v>-2.3797443048736655E-2</v>
      </c>
      <c r="D41" cm="1">
        <f t="array" ref="D41">_xll.ASAssetStatistic($A41,"Annualized Return",,,,"m",'PBA Summary'!$F$2,'PBA Summary'!$G$2)</f>
        <v>-0.21921967560416189</v>
      </c>
      <c r="E41" s="19" cm="1">
        <f t="array" ref="E41">_xll.ASAssetStatistic($A41,"Equilibrium Annual Return",,,,"m",'PBA Summary'!$F$2,'PBA Summary'!$G$2)</f>
        <v>0.20066518439971381</v>
      </c>
      <c r="F41" cm="1">
        <f t="array" ref="F41">_xll.ASAssetStatistic($A41,"Annualized Volatility (Inception)",,,,"m",_xll.ASAssetInfo($A41,"Start Date"),_xll.ASAssetInfo($A41,"Last Return Date"))</f>
        <v>0.28594603205494507</v>
      </c>
      <c r="G41" cm="1">
        <f t="array" ref="G41">_xll.ASAssetStatistic($A41,"Annualized Volatility",,,,"m",'PBA Summary'!$F$2,'PBA Summary'!$G$2)</f>
        <v>0.19916870124818128</v>
      </c>
      <c r="H41" s="20" cm="1">
        <f t="array" ref="H41">_xll.ASAssetStatistic($A41,"Skewness",,,,"m",'PBA Summary'!$F$2,'PBA Summary'!$G$2)</f>
        <v>-1.0063070745341272</v>
      </c>
      <c r="I41" s="20" cm="1">
        <f t="array" ref="I41">_xll.ASAssetStatistic($A41,"Excess kurtosis",,,,"m",'PBA Summary'!$F$2,'PBA Summary'!$G$2)</f>
        <v>3.9650673632825657</v>
      </c>
      <c r="J41" s="19" cm="1">
        <f t="array" ref="J41">_xll.ASAssetStatistic($A41,"Return Last 1 month",,,,"m",'PBA Summary'!$F$2,'PBA Summary'!$G$2)</f>
        <v>-2.8880654079171952E-2</v>
      </c>
      <c r="K41" s="19" cm="1">
        <f t="array" ref="K41">_xll.ASAssetStatistic($A41,"Return Last 3 months",,,,"m",'PBA Summary'!$F$2,'PBA Summary'!$G$2)</f>
        <v>-2.8880654079172174E-2</v>
      </c>
      <c r="L41" s="19" cm="1">
        <f t="array" ref="L41">_xll.ASAssetStatistic($A41,"Return Last 1 year",,,,"m",'PBA Summary'!$F$2,'PBA Summary'!$G$2)</f>
        <v>-0.23212873819822311</v>
      </c>
      <c r="M41" s="19" cm="1">
        <f t="array" ref="M41">_xll.ASAssetStatistic($A41,"Year-to-date Return",,,,"m",'PBA Summary'!$F$2,'PBA Summary'!$G$2)</f>
        <v>-2.8880654079171952E-2</v>
      </c>
      <c r="N41" s="19" cm="1">
        <f t="array" ref="N41">_xll.ASAssetStatistic($A41,"Annualized Return",,,,"m",EOMONTH('PBA Summary'!$G$2,-2),'PBA Summary'!$G$2)</f>
        <v>-0.11061372403756664</v>
      </c>
      <c r="O41" s="19" t="str" cm="1">
        <f t="array" ref="O41">_xll.ASAssetStatistic($A41,"Annualized Return Last 3 years",,,,"m",'PBA Summary'!$F$2,'PBA Summary'!$G$2)</f>
        <v/>
      </c>
      <c r="P41" s="19" t="str" cm="1">
        <f t="array" ref="P41">_xll.ASAssetStatistic($A41,"Annualized Return Last 5 years",,,,"m",'PBA Summary'!$F$2,'PBA Summary'!$G$2)</f>
        <v/>
      </c>
      <c r="Q41" s="19" cm="1">
        <f t="array" ref="Q41">_xll.ASAssetStatistic($A41,"Annualized Volatility Last 1 year",,,,"m",'PBA Summary'!$F$2,'PBA Summary'!$G$2)</f>
        <v>0.22313402213088632</v>
      </c>
      <c r="R41" s="19" t="str" cm="1">
        <f t="array" ref="R41">_xll.ASAssetStatistic($A41,"Annualized Volatility Last 3 years",,,,"m",'PBA Summary'!$F$2,'PBA Summary'!$G$2)</f>
        <v/>
      </c>
      <c r="S41" s="19" t="str" cm="1">
        <f t="array" ref="S41">_xll.ASAssetStatistic($A41,"Annualized Volatility Last 5 years",,,,"m",'PBA Summary'!$F$2,'PBA Summary'!$G$2)</f>
        <v/>
      </c>
      <c r="T41" s="19" cm="1">
        <f t="array" ref="T41">_xll.ASAssetStatistic($A41,"Normal monthly VaR 99%",,,,"m",'PBA Summary'!$F$2,'PBA Summary'!$G$2)</f>
        <v>-0.15252482725748959</v>
      </c>
      <c r="U41" s="19" cm="1">
        <f t="array" ref="U41">_xll.ASAssetStatistic($A41,"Modified monthly VaR 99%",,,,"m",'PBA Summary'!$F$2,'PBA Summary'!$G$2)</f>
        <v>-0.22645412792094116</v>
      </c>
      <c r="V41" s="19" cm="1">
        <f t="array" ref="V41">_xll.ASAssetStatistic($A41,"Conditional monthly VaR 99%",,,,"m",'PBA Summary'!$F$2,'PBA Summary'!$G$2)</f>
        <v>-0.1755526657997396</v>
      </c>
      <c r="W41" s="19" cm="1">
        <f t="array" ref="W41">_xll.ASAssetStatistic($A41,"Normal monthly VaR 97%",,,,"m",'PBA Summary'!$F$2,'PBA Summary'!$G$2)</f>
        <v>-0.12690766173179305</v>
      </c>
      <c r="X41" s="19" cm="1">
        <f t="array" ref="X41">_xll.ASAssetStatistic($A41,"Modified monthly VaR 97%",,,,"m",'PBA Summary'!$F$2,'PBA Summary'!$G$2)</f>
        <v>-0.15466504998121361</v>
      </c>
      <c r="Y41" s="19" cm="1">
        <f t="array" ref="Y41">_xll.ASAssetStatistic($A41,"Conditional monthly VaR 97%",,,,"m",'PBA Summary'!$F$2,'PBA Summary'!$G$2)</f>
        <v>-0.1755526657997396</v>
      </c>
      <c r="Z41" s="19" cm="1">
        <f t="array" ref="Z41">_xll.ASAssetStatistic($A41,"Normal monthly VaR 95%",,,,"m",'PBA Summary'!$F$2,'PBA Summary'!$G$2)</f>
        <v>-0.11334228032879644</v>
      </c>
      <c r="AA41" s="19" cm="1">
        <f t="array" ref="AA41">_xll.ASAssetStatistic($A41,"Modified monthly VaR 95%",,,,"m",'PBA Summary'!$F$2,'PBA Summary'!$G$2)</f>
        <v>-0.12409452553939619</v>
      </c>
      <c r="AB41" s="19" cm="1">
        <f t="array" ref="AB41">_xll.ASAssetStatistic($A41,"Conditional monthly VaR 95%",,,,"m",'PBA Summary'!$F$2,'PBA Summary'!$G$2)</f>
        <v>-0.1755526657997396</v>
      </c>
      <c r="AC41" s="66" cm="1">
        <f t="array" ref="AC41">_xll.ASAssetStatistic($A41,"Correlation to Benchmark 1","MSCI ACWI Index",,,"m",'PBA Summary'!$F$2,'PBA Summary'!$G$2)</f>
        <v>0.11017810309605344</v>
      </c>
      <c r="AD41" s="38" cm="1">
        <f t="array" ref="AD41">IF('PBA Summary'!$D$3="","",_xll.ASAssetStatistic($A41,"Correlation to Benchmark 1",'PBA Summary'!$D$3,,,"m",'PBA Summary'!$F$2,'PBA Summary'!$G$2))</f>
        <v>0.10671737622472208</v>
      </c>
      <c r="AE41" s="21" cm="1">
        <f t="array" ref="AE41">IF('PBA Summary'!$D$2="","",_xll.ASAssetStatistic($A41,"Bull correlation to Benchmark 1",'PBA Summary'!$D$2,,,"m",'PBA Summary'!$F$2,'PBA Summary'!$G$2))</f>
        <v>-0.22742901790022968</v>
      </c>
      <c r="AF41" s="21" cm="1">
        <f t="array" ref="AF41">IF('PBA Summary'!$D$2="","",_xll.ASAssetStatistic($A41,"Bear correlation to Benchmark 1",'PBA Summary'!$D$2,,,"m",'PBA Summary'!$F$2,'PBA Summary'!$G$2))</f>
        <v>0.28183256509222149</v>
      </c>
      <c r="AG41" s="21" cm="1">
        <f t="array" ref="AG41">IF('PBA Summary'!$D$3="","",_xll.ASAssetStatistic($A41,"Bull correlation to Benchmark 1",'PBA Summary'!$D$3,,,"m",'PBA Summary'!$F$2,'PBA Summary'!$G$2))</f>
        <v>-0.22742901790022968</v>
      </c>
      <c r="AH41" s="21" cm="1">
        <f t="array" ref="AH41">IF('PBA Summary'!$D$3="","",_xll.ASAssetStatistic($A41,"Bear correlation to Benchmark 1",'PBA Summary'!$D$3,,,"m",'PBA Summary'!$F$2,'PBA Summary'!$G$2))</f>
        <v>0.28183256509222149</v>
      </c>
      <c r="AI41" s="24" cm="1">
        <f t="array" ref="AI41">IF('PBA Summary'!$D$2="","",_xll.ASAssetStatistic($A41,"Beta to Benchmark 1",'PBA Summary'!$D$2,,,"m",'PBA Summary'!$F$2,'PBA Summary'!$G$2))</f>
        <v>0.13844585664791215</v>
      </c>
      <c r="AJ41" s="24" t="str" cm="1">
        <f t="array" ref="AJ41">IF('PBA Summary'!$D$2="","",_xll.ASAssetStatistic($A41,"Beta to Benchmark 1 Last 3 years",'PBA Summary'!$D$2,,,"m",'PBA Summary'!$F$2,'PBA Summary'!$G$2))</f>
        <v/>
      </c>
      <c r="AK41" s="24" t="str" cm="1">
        <f t="array" ref="AK41">IF('PBA Summary'!$D$2="","",_xll.ASAssetStatistic($A41,"Beta to Benchmark 1 Last 5 years",'PBA Summary'!$D$2,,,"m",'PBA Summary'!$F$2,'PBA Summary'!$G$2))</f>
        <v/>
      </c>
      <c r="AL41" s="25" cm="1">
        <f t="array" ref="AL41">IF('PBA Summary'!$D$3="","",_xll.ASAssetStatistic($A41,"Beta to Benchmark 1",'PBA Summary'!$D$3,,,"m",'PBA Summary'!$F$2,'PBA Summary'!$G$2))</f>
        <v>0.13844585664791215</v>
      </c>
      <c r="AM41" s="25" t="str" cm="1">
        <f t="array" ref="AM41">IF('PBA Summary'!$D$3="","",_xll.ASAssetStatistic($A41,"Beta to Benchmark 1 Last 3 years",'PBA Summary'!$D$3,,,"m",'PBA Summary'!$F$2,'PBA Summary'!$G$2))</f>
        <v/>
      </c>
      <c r="AN41" s="25" t="str" cm="1">
        <f t="array" ref="AN41">IF('PBA Summary'!$D$3="","",_xll.ASAssetStatistic($A41,"Beta to Benchmark 1 Last 5 years",'PBA Summary'!$D$3,,,"m",'PBA Summary'!$F$2,'PBA Summary'!$G$2))</f>
        <v/>
      </c>
      <c r="AO41" s="25" cm="1">
        <f t="array" ref="AO41">IF('PBA Summary'!$D$2="","",_xll.ASAssetStatistic($A41,"Bull Beta to Benchmark 1",'PBA Summary'!$D$2,,,"m",'PBA Summary'!$F$2,'PBA Summary'!$G$2))</f>
        <v>-0.69114534530351235</v>
      </c>
      <c r="AP41" s="25" cm="1">
        <f t="array" ref="AP41">IF('PBA Summary'!$D$2="","",_xll.ASAssetStatistic($A41,"Bear Beta to Benchmark 1",'PBA Summary'!$D$2,,,"m",'PBA Summary'!$F$2,'PBA Summary'!$G$2))</f>
        <v>9.323266315204555E-2</v>
      </c>
      <c r="AQ41" s="25" cm="1">
        <f t="array" ref="AQ41">IF('PBA Summary'!$D$3="","",_xll.ASAssetStatistic($A41,"Bull Beta to Benchmark 1",'PBA Summary'!$D$3,,,"m",'PBA Summary'!$F$2,'PBA Summary'!$G$2))</f>
        <v>-0.69114534530351235</v>
      </c>
      <c r="AR41" s="25" cm="1">
        <f t="array" ref="AR41">IF('PBA Summary'!$D$3="","",_xll.ASAssetStatistic($A41,"Bear Beta to Benchmark 1",'PBA Summary'!$D$3,,,"m",'PBA Summary'!$F$2,'PBA Summary'!$G$2))</f>
        <v>9.323266315204555E-2</v>
      </c>
      <c r="AS41" s="25" cm="1">
        <f t="array" ref="AS41">_xll.ASAssetStatistic($A41,"Annual Sharpe Ratio (Rf)",,,'PBA Summary'!$H$2,"m",'PBA Summary'!$F$2,'PBA Summary'!$G$2)</f>
        <v>-1.1132254928342389</v>
      </c>
      <c r="AT41" s="25" t="str" cm="1">
        <f t="array" ref="AT41">_xll.ASAssetStatistic($A41,"Annual Sharpe Ratio (Rf) Last 3 years",,,'PBA Summary'!$H$2,"m",'PBA Summary'!$F$2,'PBA Summary'!$G$2)</f>
        <v/>
      </c>
      <c r="AU41" s="25" t="str" cm="1">
        <f t="array" ref="AU41">_xll.ASAssetStatistic($A41,"Annual Sharpe Ratio (Rf) Last 5 years",,,'PBA Summary'!$H$2,"m",'PBA Summary'!$F$2,'PBA Summary'!$G$2)</f>
        <v/>
      </c>
      <c r="AV41" s="18" cm="1">
        <f t="array" ref="AV41">_xll.ASAssetStatistic($A41,"Ann. Downside Deviation (vs 0%)",,,'PBA Summary'!$H$2,"m",'PBA Summary'!$F$2,'PBA Summary'!$G$2)</f>
        <v>0.1811783763572147</v>
      </c>
      <c r="AW41" s="18" cm="1">
        <f t="array" ref="AW41">_xll.ASAssetStatistic($A41,"Ann. Downside Deviation (vs Rf)",,,'PBA Summary'!$H$2,"m",'PBA Summary'!$F$2,'PBA Summary'!$G$2)</f>
        <v>0.18158391848321045</v>
      </c>
      <c r="AX41" s="39" cm="1">
        <f t="array" ref="AX41">_xll.ASAssetStatistic($A41,"Annual Treynor ratio",,,'PBA Summary'!$H$2,"m",'PBA Summary'!$F$2,'PBA Summary'!$G$2)</f>
        <v>-0.41530888975518021</v>
      </c>
      <c r="AY41" s="26" cm="1">
        <f t="array" ref="AY41">_xll.ASAssetStatistic($A41,"Annual Sortino Ratio (vs 0%)",,,'PBA Summary'!$H$2,"m",'PBA Summary'!$F$2,'PBA Summary'!$G$2)</f>
        <v>-1.2099660015273801</v>
      </c>
      <c r="AZ41" s="26" cm="1">
        <f t="array" ref="AZ41">_xll.ASAssetStatistic($A41,"Annual Sortino Ratio (vs Rf)",,,'PBA Summary'!$H$2,"m",'PBA Summary'!$F$2,'PBA Summary'!$G$2)</f>
        <v>-1.2210314517728753</v>
      </c>
      <c r="BA41" s="26" cm="1">
        <f t="array" ref="BA41">_xll.ASAssetStatistic($A41,"Sterling ratio",,,'PBA Summary'!$H$2,"m",'PBA Summary'!$F$2,'PBA Summary'!$G$2)</f>
        <v>-0.62721104490948998</v>
      </c>
      <c r="BB41" s="26" cm="1">
        <f t="array" ref="BB41">_xll.ASAssetStatistic($A41,"Calmar ratio",,,'PBA Summary'!$H$2,"m",'PBA Summary'!$F$2,'PBA Summary'!$G$2)</f>
        <v>-0.78939436573005139</v>
      </c>
      <c r="BC41" s="26" cm="1">
        <f t="array" ref="BC41">_xll.ASAssetStatistic($A41,"Hurst index",,,'PBA Summary'!$H$2,"m",'PBA Summary'!$F$2,'PBA Summary'!$G$2)</f>
        <v>0.46613413760500039</v>
      </c>
      <c r="BD41" s="26" cm="1">
        <f t="array" ref="BD41">_xll.ASAssetStatistic($A41,"Omega (Threshold 1)",,,'PBA Summary'!$H$2,"m",'PBA Summary'!$F$2,'PBA Summary'!$G$2)</f>
        <v>0.36124569327801936</v>
      </c>
      <c r="BE41" s="26" cm="1">
        <f t="array" ref="BE41">_xll.ASAssetStatistic($A41,"Omega (Threshold 2)",,,'PBA Summary'!$H$2,"m",'PBA Summary'!$F$2,'PBA Summary'!$G$2)</f>
        <v>0.27730125394808136</v>
      </c>
      <c r="BF41" s="26" cm="1">
        <f t="array" ref="BF41">_xll.ASAssetStatistic($A41,"Omega (Threshold 3)",,,'PBA Summary'!$H$2,"m",'PBA Summary'!$F$2,'PBA Summary'!$G$2)</f>
        <v>0.21740025732195276</v>
      </c>
      <c r="BG41" s="26" cm="1">
        <f t="array" ref="BG41">_xll.ASAssetStatistic($A41,"Omega (Threshold 4)",,,'PBA Summary'!$H$2,"m",'PBA Summary'!$F$2,'PBA Summary'!$G$2)</f>
        <v>0.17392614679631363</v>
      </c>
      <c r="BH41" s="26" cm="1">
        <f t="array" ref="BH41">_xll.ASAssetStatistic($A41,"Omega (Threshold 5)",,,'PBA Summary'!$H$2,"m",'PBA Summary'!$F$2,'PBA Summary'!$G$2)</f>
        <v>0.14251302400629731</v>
      </c>
      <c r="BI41" s="26" t="str" cm="1">
        <f t="array" ref="BI41">_xll.ASAssetStatistic($A41,"Autocorrelated (illiquid)",,,'PBA Summary'!$H$2,"m",'PBA Summary'!$F$2,'PBA Summary'!$G$2)</f>
        <v>No</v>
      </c>
      <c r="BJ41" s="27" cm="1">
        <f t="array" ref="BJ41">_xll.ASAssetStatistic($A41,"% months in Run Up",,,'PBA Summary'!$H$2,"m",'PBA Summary'!$F$2,'PBA Summary'!$G$2)</f>
        <v>0.26666666666666672</v>
      </c>
      <c r="BK41" s="27" cm="1">
        <f t="array" ref="BK41">_xll.ASAssetStatistic($A41,"% months in Drawdown",,,'PBA Summary'!$H$2,"m",'PBA Summary'!$F$2,'PBA Summary'!$G$2)</f>
        <v>0.73333333333333328</v>
      </c>
      <c r="BL41" s="18" cm="1">
        <f t="array" ref="BL41">IF('PBA Summary'!$D$2="","",_xll.ASAssetStatistic($A41,"Bull Beta to Benchmark 1",'PBA Summary'!$D$2,,,"m",'PBA Summary'!$F$2,'PBA Summary'!$G$2))</f>
        <v>-0.69114534530351235</v>
      </c>
      <c r="BM41" s="18" cm="1">
        <f t="array" ref="BM41">IF('PBA Summary'!$D$2="","",_xll.ASAssetStatistic($A41,"Average return during bear Benchmark 1",'PBA Summary'!$D$2,,,"m",'PBA Summary'!$F$2,'PBA Summary'!$G$2))</f>
        <v>-3.9939159908870481E-2</v>
      </c>
      <c r="BN41" s="18" cm="1">
        <f t="array" ref="BN41">IF('PBA Summary'!$D$3="","",_xll.ASAssetStatistic($A41,"Average return during bull Benchmark 1",'PBA Summary'!$D$3,,,"m",'PBA Summary'!$F$2,'PBA Summary'!$G$2))</f>
        <v>-1.1073945633806067E-2</v>
      </c>
      <c r="BO41" s="18" cm="1">
        <f t="array" ref="BO41">IF('PBA Summary'!$D$3="","",_xll.ASAssetStatistic($A41,"Average return during bear Benchmark 1",'PBA Summary'!$D$3,,,"m",'PBA Summary'!$F$2,'PBA Summary'!$G$2))</f>
        <v>-3.9939159908870481E-2</v>
      </c>
      <c r="BP41" s="27" cm="1">
        <f t="array" ref="BP41">_xll.ASAssetStatistic($A41,"Maximum consecutive gain",,,'PBA Summary'!$H$2,"m",'PBA Summary'!$F$2,'PBA Summary'!$G$2)</f>
        <v>9.0311886051081647E-2</v>
      </c>
      <c r="BQ41" s="27" cm="1">
        <f t="array" ref="BQ41">_xll.ASAssetStatistic($A41,"Maximum consecutive loss",,,'PBA Summary'!$H$2,"m",'PBA Summary'!$F$2,'PBA Summary'!$G$2)</f>
        <v>-0.24766743648960776</v>
      </c>
      <c r="BR41" s="27" cm="1">
        <f t="array" ref="BR41">_xll.ASAssetStatistic($A41,"Max monthly gain",,,'PBA Summary'!$H$2,"m",'PBA Summary'!$F$2,'PBA Summary'!$G$2)</f>
        <v>9.0311886051081647E-2</v>
      </c>
      <c r="BS41" s="27" cm="1">
        <f t="array" ref="BS41">_xll.ASAssetStatistic($A41,"Max monthly loss",,,'PBA Summary'!$H$2,"m",'PBA Summary'!$F$2,'PBA Summary'!$G$2)</f>
        <v>-0.1755526657997396</v>
      </c>
      <c r="BT41" s="27" cm="1">
        <f t="array" ref="BT41">_xll.ASAssetStatistic($A41,"Max drawdown",,,'PBA Summary'!$H$2,"m",'PBA Summary'!$F$2,'PBA Summary'!$G$2)</f>
        <v>-0.27770615692376033</v>
      </c>
      <c r="BU41" s="28" cm="1">
        <f t="array" ref="BU41">_xll.ASAssetStatistic($A41,"Date Max drawdown",,,'PBA Summary'!$H$2,"m",'PBA Summary'!$F$2,'PBA Summary'!$G$2)</f>
        <v>43738</v>
      </c>
      <c r="BV41" s="28" cm="1">
        <f t="array" ref="BV41">_xll.ASAssetStatistic($A41,"Start Date Max Drawdown",,,'PBA Summary'!$H$2,"m",'PBA Summary'!$F$2,'PBA Summary'!$G$2)</f>
        <v>43434</v>
      </c>
      <c r="BW41" s="28" t="str" cm="1">
        <f t="array" ref="BW41">_xll.ASAssetStatistic($A41,"End Date Max Drawdown",,,'PBA Summary'!$H$2,"m",'PBA Summary'!$F$2,'PBA Summary'!$G$2)</f>
        <v/>
      </c>
      <c r="BX41" s="29" cm="1">
        <f t="array" ref="BX41">_xll.ASAssetStatistic($A41,"Max Time-under-water (months)",,,'PBA Summary'!$H$2,"m",'PBA Summary'!$F$2,'PBA Summary'!$G$2)</f>
        <v>15</v>
      </c>
      <c r="BY41" s="27" cm="1">
        <f t="array" ref="BY41">_xll.ASAssetStatistic($A41,"Max possible drawdown 99%",,,'PBA Summary'!$H$2,"m",'PBA Summary'!$F$2,'PBA Summary'!$G$2)</f>
        <v>-1</v>
      </c>
      <c r="BZ41" s="27" cm="1">
        <f t="array" ref="BZ41">_xll.ASAssetStatistic($A41,"Max possible drawdown 99.9%",,,'PBA Summary'!$H$2,"m",'PBA Summary'!$F$2,'PBA Summary'!$G$2)</f>
        <v>-1</v>
      </c>
      <c r="CA41" s="30" t="str" cm="1">
        <f t="array" ref="CA41">_xll.ASAssetStatistic($A41,"Max Possible Time-under-water 99% (months)",,,'PBA Summary'!$H$2,"m",'PBA Summary'!$F$2,'PBA Summary'!$G$2)</f>
        <v/>
      </c>
      <c r="CB41" s="30" t="str" cm="1">
        <f t="array" ref="CB41">_xll.ASAssetStatistic($A41,"Max Possible Time-under-water 99.9% (months)",,,'PBA Summary'!$H$2,"m",'PBA Summary'!$F$2,'PBA Summary'!$G$2)</f>
        <v/>
      </c>
      <c r="CC41" s="17" t="str" cm="1">
        <f t="array" ref="CC41">_xll.ASPortfolioReturnAttribution('PBA Summary'!$C$2,"OR",A41,"Last 1m",'PBA Summary'!$F$2,'PBA Summary'!$G$2)</f>
        <v/>
      </c>
      <c r="CD41" s="11" t="str" cm="1">
        <f t="array" ref="CD41">_xll.ASAssetInfo($A41,"Strategy")</f>
        <v>Direct Holdings - Stocks</v>
      </c>
      <c r="CE41" s="14" cm="1">
        <f t="array" ref="CE41">_xll.ASAssetInfo($A41,"Start Date")</f>
        <v>38356</v>
      </c>
      <c r="CF41" s="14" t="str" cm="1">
        <f t="array" ref="CF41">_xll.ASAssetRatings($A41,"Quantitative",0,0,0,0,0,'PBA Summary'!$F$2,'PBA Summary'!$G$2)</f>
        <v/>
      </c>
      <c r="CG41" s="14" t="str" cm="1">
        <f t="array" ref="CG41">_xll.ASAssetRatings($A41,"Qualitative",0,0,0,0,0,'PBA Summary'!$F$2,'PBA Summary'!$G$2)</f>
        <v/>
      </c>
      <c r="CH41" s="14" t="str" cm="1">
        <f t="array" ref="CH41">_xll.ASAssetRatings($A41,"Final",0,0,0,0,0,'PBA Summary'!$F$2,'PBA Summary'!$G$2)</f>
        <v/>
      </c>
      <c r="CI41" s="14" cm="1">
        <f t="array" ref="CI41">_xll.ASAssetInfo($A41,"Last Return Date")</f>
        <v>44126</v>
      </c>
      <c r="CJ41" s="14" t="str" cm="1">
        <f t="array" ref="CJ41">_xll.ASAssetInfo($A41,"Company Name")</f>
        <v/>
      </c>
      <c r="CK41" s="14" t="str" cm="1">
        <f t="array" ref="CK41">_xll.ASAssetInfo($A41,"Manager Name")</f>
        <v/>
      </c>
      <c r="CL41" s="14" t="str" cm="1">
        <f t="array" ref="CL41">_xll.ASAssetInfo($A41,"Address")</f>
        <v/>
      </c>
      <c r="CM41" s="14" t="str" cm="1">
        <f t="array" ref="CM41">_xll.ASAssetInfo($A41,"Phone Number")</f>
        <v/>
      </c>
      <c r="CN41" s="14" t="str" cm="1">
        <f t="array" ref="CN41">_xll.ASAssetInfo($A41,"Email")</f>
        <v/>
      </c>
      <c r="CO41" s="14" t="str" cm="1">
        <f t="array" ref="CO41">_xll.ASAssetInfo($A41,"Asset Type")</f>
        <v>Equities</v>
      </c>
      <c r="CP41" s="14" t="str" cm="1">
        <f t="array" ref="CP41">_xll.ASAssetInfo($A41,"Proprietary ID")</f>
        <v/>
      </c>
      <c r="CQ41" s="14" t="str" cm="1">
        <f t="array" ref="CQ41">_xll.ASAssetInfo($A41,"Country")</f>
        <v>[Not Classified]</v>
      </c>
      <c r="CR41" s="14" t="str" cm="1">
        <f t="array" ref="CR41">_xll.ASAssetInfo($A41,"Currency")</f>
        <v>JPY</v>
      </c>
      <c r="CS41" s="14" t="str" cm="1">
        <f t="array" ref="CS41">_xll.ASAssetInfo($A41,"Sub-Strategy")</f>
        <v/>
      </c>
      <c r="CT41" s="31" t="str" cm="1">
        <f t="array" ref="CT41">_xll.ASAssetInfo($A41,"Fund AUM (m)")</f>
        <v/>
      </c>
      <c r="CU41" s="31" t="str" cm="1">
        <f t="array" ref="CU41">_xll.ASAssetInfo($A41,"Status")</f>
        <v>Unknown</v>
      </c>
      <c r="CV41" s="31" t="str" cm="1">
        <f t="array" ref="CV41">_xll.ASAssetInfo($A41,"Redemption 1 Frequency")</f>
        <v>Unknown</v>
      </c>
      <c r="CW41" s="31" t="str" cm="1">
        <f t="array" ref="CW41">_xll.ASAssetInfo($A41,"Redemption 2 Frequency")</f>
        <v>Unknown</v>
      </c>
      <c r="CX41" s="31" t="str" cm="1">
        <f t="array" ref="CX41">_xll.ASAssetInfo($A41,"Redemption 3 Frequency")</f>
        <v>Unknown</v>
      </c>
      <c r="CY41" s="31" t="str" cm="1">
        <f t="array" ref="CY41">_xll.ASAssetInfo($A41,"Notice Period")</f>
        <v/>
      </c>
      <c r="CZ41" s="15" t="str" cm="1">
        <f t="array" ref="CZ41">_xll.ASAssetInfo($A41,"Performance Fee")</f>
        <v/>
      </c>
      <c r="DA41" s="15" t="str" cm="1">
        <f t="array" ref="DA41">_xll.ASAssetInfo($A41,"Management Fee")</f>
        <v/>
      </c>
      <c r="DB41" s="15" t="str" cm="1">
        <f t="array" ref="DB41">_xll.ASAssetInfo($A41,"ISIN")</f>
        <v>JP3228600007</v>
      </c>
      <c r="DC41" s="16" cm="1">
        <f t="array" ref="DC41">_xll.ASAssetStatistic($A41,"Return during " &amp;YEAR(EOMONTH('PBA Summary'!$G$2,-60)),,,,"M",DATE(YEAR(EOMONTH('PBA Summary'!$G$2,-60)),1,31),DATE(YEAR(EOMONTH('PBA Summary'!$G$2,-60)),12,31))</f>
        <v>0.27134146341463317</v>
      </c>
      <c r="DD41" s="16" cm="1">
        <f t="array" ref="DD41">_xll.ASAssetStatistic($A41,"Return during " &amp;YEAR(EOMONTH('PBA Summary'!$G$2,-48)),,,,"M",DATE(YEAR(EOMONTH('PBA Summary'!$G$2,-48)),1,31),DATE(YEAR(EOMONTH('PBA Summary'!$G$2,-48)),12,31))</f>
        <v>-0.12430985444202902</v>
      </c>
      <c r="DE41" s="16" cm="1">
        <f t="array" ref="DE41">_xll.ASAssetStatistic($A41,"Return during " &amp;YEAR(EOMONTH('PBA Summary'!$G$2,-36)),,,,"M",DATE(YEAR(EOMONTH('PBA Summary'!$G$2,-36)),1,31),DATE(YEAR(EOMONTH('PBA Summary'!$G$2,-36)),12,31))</f>
        <v>0.10992230289135008</v>
      </c>
      <c r="DF41" s="16" cm="1">
        <f t="array" ref="DF41">_xll.ASAssetStatistic($A41,"Return during " &amp;YEAR(EOMONTH('PBA Summary'!$G$2,-24)),,,,"M",DATE(YEAR(EOMONTH('PBA Summary'!$G$2,-24)),1,31),DATE(YEAR(EOMONTH('PBA Summary'!$G$2,-24)),12,31))</f>
        <v>0.23072067936653662</v>
      </c>
      <c r="DG41" s="16" cm="1">
        <f t="array" ref="DG41">_xll.ASAssetStatistic($A41,"Return during " &amp;YEAR(EOMONTH('PBA Summary'!$G$2,-12)),,,,"M",DATE(YEAR(EOMONTH('PBA Summary'!$G$2,-12)),1,31),DATE(YEAR(EOMONTH('PBA Summary'!$G$2,-12)),12,31))</f>
        <v>-0.20737563522774938</v>
      </c>
      <c r="DH41" s="11" t="str" cm="1">
        <f t="array" ref="DH41">_xll.ASAssetInfo($A41,"Prime Broker")</f>
        <v/>
      </c>
      <c r="DI41" s="16" cm="1">
        <f t="array" ref="DI41">_xll.ASAssetStatistic($A41,"Return",,,,"m",'PBA Summary'!$F$2,'PBA Summary'!$G$2)</f>
        <v>-0.26605912424983302</v>
      </c>
      <c r="DJ41" s="33" cm="1">
        <f t="array" ref="DJ41">IF('PBA Summary'!$D$2="","",_xll.ASAssetStatistic($A41,"Ann. Information Ratio vs Benchmark 1",'PBA Summary'!$D$2,,,"m",'PBA Summary'!$F$2,'PBA Summary'!$G$2))</f>
        <v>-1.6441123329777851</v>
      </c>
      <c r="DK41" s="33" cm="1">
        <f t="array" ref="DK41">IF('PBA Summary'!$D$3="","",_xll.ASAssetStatistic($A41,"Ann. Information Ratio vs Benchmark 1",'PBA Summary'!$D$3,,,"m",'PBA Summary'!$F$2,'PBA Summary'!$G$2))</f>
        <v>-1.6441123329777851</v>
      </c>
      <c r="DL41" s="33" cm="1">
        <f t="array" ref="DL41">IF('PBA Summary'!$D$2="","",_xll.ASAssetStatistic($A41,"Ann. Tracking Error vs Benchmark 1",'PBA Summary'!$D$2,,,"m",'PBA Summary'!$F$2,'PBA Summary'!$G$2))</f>
        <v>0.23814188481981263</v>
      </c>
      <c r="DM41" s="33" cm="1">
        <f t="array" ref="DM41">IF('PBA Summary'!$D$3="","",_xll.ASAssetStatistic($A41,"Ann. Tracking Error vs Benchmark 1",'PBA Summary'!$D$3,,,"m",'PBA Summary'!$F$2,'PBA Summary'!$G$2))</f>
        <v>0.23814188481981263</v>
      </c>
      <c r="DN41" s="33" cm="1">
        <f t="array" ref="DN41">IF('PBA Summary'!$D$2="","",_xll.ASAssetStatistic($A41,"R² vs Benchmark 1",'PBA Summary'!$D$2,,,"m",'PBA Summary'!$F$2,'PBA Summary'!$G$2))</f>
        <v>1.1388598388288877E-2</v>
      </c>
      <c r="DO41" s="33" cm="1">
        <f t="array" ref="DO41">IF('PBA Summary'!$D$3="","",_xll.ASAssetStatistic($A41,"R² vs Benchmark 1",'PBA Summary'!$D$3,,,"m",'PBA Summary'!$F$2,'PBA Summary'!$G$2))</f>
        <v>1.1388598388288877E-2</v>
      </c>
      <c r="DP41" s="11" t="str" cm="1">
        <f t="array" ref="DP41">_xll.ASAssetInfo($A41,"On-/Offshore")</f>
        <v>Unknown</v>
      </c>
      <c r="DQ41" s="16" cm="1">
        <f t="array" ref="DQ41">_xll.ASAssetStatistic($A41,"Quarter-to-date",,,,"m",'PBA Summary'!$F$2,'PBA Summary'!$G$2)</f>
        <v>-2.8880654079171952E-2</v>
      </c>
      <c r="DR41" s="16" cm="1">
        <f t="array" ref="DR41">_xll.ASAssetStatistic($A41,"Annualized Return Since inception",,,,"m",'PBA Summary'!$F$2,'PBA Summary'!$G$2)</f>
        <v>-2.3797443048736655E-2</v>
      </c>
      <c r="DS41" s="16" cm="1">
        <f t="array" ref="DS41">IF('PBA Summary'!$D$2="","",_xll.ASAssetStatistic($A41,"Ann. Bear Market Return vs Benchmark 1",'PBA Summary'!$D$2,,,"m",'PBA Summary'!$F$2,'PBA Summary'!$G$2))</f>
        <v>-0.38739676992165828</v>
      </c>
      <c r="DT41" s="16" cm="1">
        <f t="array" ref="DT41">IF('PBA Summary'!$D$2="","",_xll.ASAssetStatistic($A41,"Ann. Bull Market Return vs Benchmark 1",'PBA Summary'!$D$2,,,"m",'PBA Summary'!$F$2,'PBA Summary'!$G$2))</f>
        <v>-0.14721844536937856</v>
      </c>
      <c r="DU41" s="16" cm="1">
        <f t="array" ref="DU41">IF('PBA Summary'!$D$3="","",_xll.ASAssetStatistic($A41,"Ann. Bear Market Return vs Benchmark 1",'PBA Summary'!$D$3,,,"m",'PBA Summary'!$F$2,'PBA Summary'!$G$2))</f>
        <v>-0.38739676992165828</v>
      </c>
      <c r="DV41" s="16" cm="1">
        <f t="array" ref="DV41">IF('PBA Summary'!$D$3="","",_xll.ASAssetStatistic($A41,"Ann. Bull Market Return vs Benchmark 1",'PBA Summary'!$D$3,,,"m",'PBA Summary'!$F$2,'PBA Summary'!$G$2))</f>
        <v>-0.14721844536937856</v>
      </c>
      <c r="DW41" s="17" cm="1">
        <f t="array" ref="DW41">_xll.ASAssetStatistic($A41,"Average Positive Return",,,,"m",'PBA Summary'!$F$2,'PBA Summary'!$G$2)</f>
        <v>3.1848228283191692E-2</v>
      </c>
      <c r="DX41" s="17" cm="1">
        <f t="array" ref="DX41">_xll.ASAssetStatistic($A41,"Average Negative Return",,,,"m",'PBA Summary'!$F$2,'PBA Summary'!$G$2)</f>
        <v>-4.4081118302330712E-2</v>
      </c>
      <c r="DY41" s="16" cm="1">
        <f t="array" ref="DY41">IF('PBA Summary'!$D$2="","",_xll.ASAssetStatistic($A41,"Outperformance vs Benchmark 1",'PBA Summary'!$D$2,,,"m",'PBA Summary'!$F$2,'PBA Summary'!$G$2))</f>
        <v>-0.48590276905855168</v>
      </c>
      <c r="DZ41" s="16" cm="1">
        <f t="array" ref="DZ41">IF('PBA Summary'!$D$3="","",_xll.ASAssetStatistic($A41,"Outperformance vs Benchmark 1",'PBA Summary'!$D$3,,,"m",'PBA Summary'!$F$2,'PBA Summary'!$G$2))</f>
        <v>-0.48590276905855168</v>
      </c>
      <c r="EA41" s="16" cm="1">
        <f t="array" ref="EA41">IF('PBA Summary'!$D$2="","",_xll.ASAssetStatistic($A41,"Annual Outperformance vs Benchmark 1",'PBA Summary'!$D$2,,,"m",'PBA Summary'!$F$2,'PBA Summary'!$G$2))</f>
        <v>-0.39153200983082914</v>
      </c>
      <c r="EB41" s="16" cm="1">
        <f t="array" ref="EB41">IF('PBA Summary'!$D$3="","",_xll.ASAssetStatistic($A41,"Annual Outperformance vs Benchmark 1",'PBA Summary'!$D$3,,,"m",'PBA Summary'!$F$2,'PBA Summary'!$G$2))</f>
        <v>-0.39153200983082914</v>
      </c>
      <c r="EC41" s="32" cm="1">
        <f t="array" ref="EC41">_xll.ASAssetStatistic($A41,"Rachev Ratio 99%",,,,"m",'PBA Summary'!$F$2,'PBA Summary'!$G$2)</f>
        <v>-0.51444326202431045</v>
      </c>
      <c r="ED41" s="32" cm="1">
        <f t="array" ref="ED41">_xll.ASAssetStatistic($A41,"Rachev Ratio 97%",,,,"m",'PBA Summary'!$F$2,'PBA Summary'!$G$2)</f>
        <v>-0.51444326202431045</v>
      </c>
      <c r="EE41" s="32" cm="1">
        <f t="array" ref="EE41">_xll.ASAssetStatistic($A41,"Rachev Ratio 95%",,,,"m",'PBA Summary'!$F$2,'PBA Summary'!$G$2)</f>
        <v>-0.51444326202431045</v>
      </c>
      <c r="EF41" s="32" cm="1">
        <f t="array" ref="EF41">_xll.ASAssetStatistic($A41,"Rachev Ratio 90%",,,,"m",'PBA Summary'!$F$2,'PBA Summary'!$G$2)</f>
        <v>-0.58155819951883458</v>
      </c>
      <c r="EG41" s="34" cm="1">
        <f t="array" ref="EG41">IF('PBA Summary'!$D$2="","",_xll.ASAssetStatistic($A41,"Annual Up Capture vs Benchmark 1",'PBA Summary'!$D$2,,,"m",'PBA Summary'!$F$2,'PBA Summary'!$G$2))</f>
        <v>-0.2908260718154197</v>
      </c>
      <c r="EH41" s="34" cm="1">
        <f t="array" ref="EH41">IF('PBA Summary'!$D$3="","",_xll.ASAssetStatistic($A41,"Annual Up Capture vs Benchmark 1",'PBA Summary'!$D$3,,,"m",'PBA Summary'!$F$2,'PBA Summary'!$G$2))</f>
        <v>-0.2908260718154197</v>
      </c>
      <c r="EI41" s="34" cm="1">
        <f t="array" ref="EI41">IF('PBA Summary'!$D$2="","",_xll.ASAssetStatistic($A41,"Annual Down Capture vs Benchmark 1",'PBA Summary'!$D$2,,,"m",'PBA Summary'!$F$2,'PBA Summary'!$G$2))</f>
        <v>0.94137177438728892</v>
      </c>
      <c r="EJ41" s="34" cm="1">
        <f t="array" ref="EJ41">IF('PBA Summary'!$D$3="","",_xll.ASAssetStatistic($A41,"Annual Down Capture vs Benchmark 1",'PBA Summary'!$D$3,,,"m",'PBA Summary'!$F$2,'PBA Summary'!$G$2))</f>
        <v>0.94137177438728892</v>
      </c>
      <c r="EK41" s="16" cm="1">
        <f t="array" ref="EK41">IF('PBA Summary'!$D$2="","",_xll.ASAssetStatistic($A41,"Ann. Tracking Error vs Benchmark 1",'PBA Summary'!$D$2,,,"m",'PBA Summary'!$F$2,'PBA Summary'!$G$2))</f>
        <v>0.23814188481981263</v>
      </c>
      <c r="EL41" s="16" cm="1">
        <f t="array" ref="EL41">IF('PBA Summary'!$D$3="","",_xll.ASAssetStatistic($A41,"Ann. Tracking Error vs Benchmark 1",'PBA Summary'!$D$3,,,"m",'PBA Summary'!$F$2,'PBA Summary'!$G$2))</f>
        <v>0.23814188481981263</v>
      </c>
      <c r="EM41" s="16" cm="1">
        <f t="array" ref="EM41">IF('PBA Summary'!$D$2="","",_xll.ASAssetStatistic($A41,"Annual Jensen Alpha vs Benchmark 1 (Rf)",'PBA Summary'!$D$2,,,"m",'PBA Summary'!$F$2,'PBA Summary'!$G$2))</f>
        <v>-0.24522948968555441</v>
      </c>
      <c r="EN41" s="16" cm="1">
        <f t="array" ref="EN41">IF('PBA Summary'!$D$3="","",_xll.ASAssetStatistic($A41,"Annual Jensen Alpha vs Benchmark 1 (Rf)",'PBA Summary'!$D$3,,,"m",'PBA Summary'!$F$2,'PBA Summary'!$G$2))</f>
        <v>-0.24522948968555441</v>
      </c>
      <c r="EO41" s="33" cm="1">
        <f t="array" ref="EO41">IF('PBA Summary'!$D$2="","",_xll.ASAssetStatistic($A41,"Ann. Information Ratio vs Benchmark 1",'PBA Summary'!$D$2,,,"m",'PBA Summary'!$F$2,'PBA Summary'!$G$2))</f>
        <v>-1.6441123329777851</v>
      </c>
      <c r="EP41" s="33" cm="1">
        <f t="array" ref="EP41">IF('PBA Summary'!$D$3="","",_xll.ASAssetStatistic($A41,"Ann. Information Ratio vs Benchmark 1",'PBA Summary'!$D$3,,,"m",'PBA Summary'!$F$2,'PBA Summary'!$G$2))</f>
        <v>-1.6441123329777851</v>
      </c>
      <c r="EQ41" s="17" cm="1">
        <f t="array" ref="EQ41">IF('PBA Summary'!$D$2="","",_xll.ASAssetStatistic($A41,"Alpha Monthly vs Benchmark 1",'PBA Summary'!$D$2,,,"m",'PBA Summary'!$F$2,'PBA Summary'!$G$2))</f>
        <v>-2.0746609170100589E-2</v>
      </c>
      <c r="ER41" s="17" cm="1">
        <f t="array" ref="ER41">IF('PBA Summary'!$D$3="","",_xll.ASAssetStatistic($A41,"Alpha Monthly vs Benchmark 1",'PBA Summary'!$D$3,,,"m",'PBA Summary'!$F$2,'PBA Summary'!$G$2))</f>
        <v>-2.0746609170100589E-2</v>
      </c>
      <c r="ES41" s="11" t="str" cm="1">
        <f t="array" ref="ES41">_xll.ASAssetInfo($A41,"Company AUM (m)")</f>
        <v/>
      </c>
      <c r="ET41" s="16" cm="1">
        <f t="array" ref="ET41">_xll.ASAssetStatistic($A41,"Exponential Annualized Volatility",,,,"m",'PBA Summary'!$F$2,'PBA Summary'!$G$2)</f>
        <v>0.18926468891649109</v>
      </c>
      <c r="EU41" s="16" cm="1">
        <f t="array" ref="EU41">_xll.ASAssetStatistic($A41,"Exponential Annualized Volatility Last 1 year",,,,"m",'PBA Summary'!$F$2,'PBA Summary'!$G$2)</f>
        <v>0.19993042999640892</v>
      </c>
      <c r="EV41" s="16" t="str" cm="1">
        <f t="array" ref="EV41">_xll.ASAssetStatistic($A41,"Exponential Annualized Volatility Last 3 years",,,,"m",'PBA Summary'!$F$2,'PBA Summary'!$G$2)</f>
        <v/>
      </c>
      <c r="EW41" s="34" cm="1">
        <f t="array" ref="EW41">IF('PBA Summary'!$D$2="","",_xll.ASAssetStatistic($A41,"Exponential Correlation to Benchmark 1",'PBA Summary'!$D$2,,,"m",'PBA Summary'!$F$2,'PBA Summary'!$G$2))</f>
        <v>0.11443799149295664</v>
      </c>
      <c r="EX41" s="34" cm="1">
        <f t="array" ref="EX41">IF('PBA Summary'!$D$3="","",_xll.ASAssetStatistic($A41,"Exponential Correlation to Benchmark 1",'PBA Summary'!$D$3,,,"m",'PBA Summary'!$F$2,'PBA Summary'!$G$2))</f>
        <v>0.11443799149295664</v>
      </c>
      <c r="EY41" s="34" cm="1">
        <f t="array" ref="EY41">_xll.ASAssetStatistic($A41,"Exponential Annual Sharpe Ratio (Rf)",,,,"m",'PBA Summary'!$F$2,'PBA Summary'!$G$2)</f>
        <v>-0.86930435864830069</v>
      </c>
      <c r="EZ41" s="34" cm="1">
        <f t="array" ref="EZ41">_xll.ASAssetStatistic($A41,"Exponential Normal Monthly VaR 99%",,,,"m",'PBA Summary'!$F$2,'PBA Summary'!$G$2)</f>
        <v>-0.14172533933244369</v>
      </c>
      <c r="FA41" s="34" cm="1">
        <f t="array" ref="FA41">_xll.ASAssetStatistic($A41,"Exponential Normal Monthly VaR 97%",,,,"m",'PBA Summary'!$F$2,'PBA Summary'!$G$2)</f>
        <v>-0.11738203220758746</v>
      </c>
      <c r="FB41" s="34" cm="1">
        <f t="array" ref="FB41">_xll.ASAssetStatistic($A41,"Exponential Normal Monthly VaR 95%",,,,"m",'PBA Summary'!$F$2,'PBA Summary'!$G$2)</f>
        <v>-0.10449121314223418</v>
      </c>
      <c r="FC41" s="34" cm="1">
        <f t="array" ref="FC41">_xll.ASAssetStatistic($A41,"Exponential Normal Monthly VaR 90%",,,,"m",'PBA Summary'!$F$2,'PBA Summary'!$G$2)</f>
        <v>-8.4641838246758666E-2</v>
      </c>
      <c r="FD41" s="34" t="str" cm="1">
        <f t="array" ref="FD41">_xll.ASAssetStatistic($A41,"Exponential Normal weekly VaR 99%",,,,"m",'PBA Summary'!$F$2,'PBA Summary'!$G$2)</f>
        <v/>
      </c>
      <c r="FE41" s="34" t="str" cm="1">
        <f t="array" ref="FE41">_xll.ASAssetStatistic($A41,"Exponential Normal weekly VaR 97%",,,,"m",'PBA Summary'!$F$2,'PBA Summary'!$G$2)</f>
        <v/>
      </c>
      <c r="FF41" s="34" t="str" cm="1">
        <f t="array" ref="FF41">_xll.ASAssetStatistic($A41,"Exponential Normal weekly VaR 95%",,,,"m",'PBA Summary'!$F$2,'PBA Summary'!$G$2)</f>
        <v/>
      </c>
      <c r="FG41" s="34" t="str" cm="1">
        <f t="array" ref="FG41">_xll.ASAssetStatistic($A41,"Exponential Normal weekly VaR 90%",,,,"m",'PBA Summary'!$F$2,'PBA Summary'!$G$2)</f>
        <v/>
      </c>
      <c r="FH41" s="34" t="str" cm="1">
        <f t="array" ref="FH41">_xll.ASAssetStatistic($A41,"Exponential Normal daily VaR 99%",,,,"m",'PBA Summary'!$F$2,'PBA Summary'!$G$2)</f>
        <v/>
      </c>
      <c r="FI41" s="34" t="str" cm="1">
        <f t="array" ref="FI41">_xll.ASAssetStatistic($A41,"Exponential Normal daily VaR 97%",,,,"m",'PBA Summary'!$F$2,'PBA Summary'!$G$2)</f>
        <v/>
      </c>
      <c r="FJ41" s="34" t="str" cm="1">
        <f t="array" ref="FJ41">_xll.ASAssetStatistic($A41,"Exponential Normal daily VaR 95%",,,,"m",'PBA Summary'!$F$2,'PBA Summary'!$G$2)</f>
        <v/>
      </c>
      <c r="FK41" s="34" t="str" cm="1">
        <f t="array" ref="FK41">_xll.ASAssetStatistic($A41,"Exponential Normal daily VaR 90%",,,,"m",'PBA Summary'!$F$2,'PBA Summary'!$G$2)</f>
        <v/>
      </c>
      <c r="FL41" s="34" cm="1">
        <f t="array" ref="FL41">_xll.ASAssetStatistic($A41,"Bias Ratio",,,,"m",'PBA Summary'!$F$2,'PBA Summary'!$G$2)</f>
        <v>0.44444444444444442</v>
      </c>
      <c r="FM41" s="11" t="str" cm="1">
        <f t="array" ref="FM41">_xll.ASAssetInfo($A41,"Manager's Biography")</f>
        <v/>
      </c>
      <c r="FN41" s="11" cm="1">
        <f t="array" ref="FN41">_xll.ASAssetInfo($A41,"Investment Min")</f>
        <v>0</v>
      </c>
      <c r="FO41" s="11" t="str" cm="1">
        <f t="array" ref="FO41">_xll.ASAssetInfo($A41,"Auditor")</f>
        <v/>
      </c>
      <c r="FP41" s="11" t="str" cm="1">
        <f t="array" ref="FP41">_xll.ASAssetInfo($A41,"Custodian")</f>
        <v/>
      </c>
      <c r="FQ41" s="11" t="str" cm="1">
        <f t="array" ref="FQ41">_xll.ASAssetInfo($A41,"Administrator")</f>
        <v/>
      </c>
      <c r="FR41" s="14" t="str" cm="1">
        <f t="array" ref="FR41">_xll.ASAssetInfo($A41,"Proxy 1 Start Date")</f>
        <v/>
      </c>
      <c r="FS41" s="14" t="str" cm="1">
        <f t="array" ref="FS41">_xll.ASAssetInfo($A41,"Proxy 1 End Date")</f>
        <v/>
      </c>
      <c r="FT41" s="14" t="str" cm="1">
        <f t="array" ref="FT41">_xll.ASAssetInfo($A41,"Proxy 2 Start Date")</f>
        <v/>
      </c>
      <c r="FU41" s="14" t="str" cm="1">
        <f t="array" ref="FU41">_xll.ASAssetInfo($A41,"Proxy 2 End Date")</f>
        <v/>
      </c>
      <c r="FV41" s="14" t="str" cm="1">
        <f t="array" ref="FV41">_xll.ASAssetInfo($A41,"Proxy 3 Start Date")</f>
        <v/>
      </c>
      <c r="FW41" s="14" t="str" cm="1">
        <f t="array" ref="FW41">_xll.ASAssetInfo($A41,"Proxy 3 End Date")</f>
        <v/>
      </c>
      <c r="FX41" s="14" t="str" cm="1">
        <f t="array" ref="FX41">_xll.ASAssetInfo($A41,"Fund Domicile")</f>
        <v/>
      </c>
      <c r="FY41" s="14" t="str" cm="1">
        <f t="array" ref="FY41">_xll.ASAssetInfo($A41,"Fund Contact")</f>
        <v/>
      </c>
      <c r="FZ41" s="14" t="str" cm="1">
        <f t="array" ref="FZ41">_xll.ASAssetInfo($A41,"Fund Contact Email")</f>
        <v/>
      </c>
      <c r="GA41" s="14" t="str" cm="1">
        <f t="array" ref="GA41">_xll.ASAssetInfo($A41,"Fund Contact Number")</f>
        <v/>
      </c>
      <c r="GB41" s="14" t="str" cm="1">
        <f t="array" ref="GB41">_xll.ASAssetInfo($A41,"City")</f>
        <v/>
      </c>
      <c r="GC41" s="14" t="str" cm="1">
        <f t="array" ref="GC41">_xll.ASAssetInfo($A41,"Leverage")</f>
        <v/>
      </c>
      <c r="GD41" s="14" t="str" cm="1">
        <f t="array" ref="GD41">_xll.ASAssetInfo($A41,"Lockup 1 Duration")</f>
        <v>0 Months</v>
      </c>
      <c r="GE41" s="14" t="str" cm="1">
        <f t="array" ref="GE41">_xll.ASAssetInfo($A41,"Lockup 2 Duration")</f>
        <v>0 Months</v>
      </c>
      <c r="GF41" s="14" t="str" cm="1">
        <f t="array" ref="GF41">_xll.ASAssetInfo($A41,"Lockup 3 Duration")</f>
        <v>0 Months</v>
      </c>
      <c r="GG41" s="31" t="str" cm="1">
        <f t="array" ref="GG41">_xll.ASAssetInfo($A41,"Fund Level Gate")</f>
        <v/>
      </c>
      <c r="GH41" s="31" t="str" cm="1">
        <f t="array" ref="GH41">_xll.ASAssetInfo($A41,"Fund Level Gate Frequency")</f>
        <v>Unknown</v>
      </c>
      <c r="GI41" s="35" cm="1">
        <f t="array" ref="GI41">_xll.ASAssetInfo($A41,"Payment 2 (%)")</f>
        <v>0</v>
      </c>
      <c r="GJ41" s="35" t="str" cm="1">
        <f t="array" ref="GJ41">_xll.ASAssetInfo($A41,"Payment 2 (days)")</f>
        <v/>
      </c>
      <c r="GK41" s="35" t="str" cm="1">
        <f t="array" ref="GK41">_xll.ASAssetInfo($A41,"Payment 2 (Paid After)")</f>
        <v>NAV Date</v>
      </c>
      <c r="GL41" s="35" cm="1">
        <f t="array" ref="GL41">_xll.ASAssetInfo($A41,"Payment 3 (%)")</f>
        <v>0</v>
      </c>
      <c r="GM41" s="36" t="str" cm="1">
        <f t="array" ref="GM41">_xll.ASAssetInfo($A41,"Payment 3 (Days)")</f>
        <v/>
      </c>
      <c r="GN41" s="35" t="str" cm="1">
        <f t="array" ref="GN41">_xll.ASAssetInfo($A41,"Payment 3 (Paid After)")</f>
        <v>NAV Date</v>
      </c>
      <c r="GO41" s="35" cm="1">
        <f t="array" ref="GO41">_xll.ASAssetInfo($A41,"Payment 4 (%)")</f>
        <v>0</v>
      </c>
      <c r="GP41" s="36" t="str" cm="1">
        <f t="array" ref="GP41">_xll.ASAssetInfo($A41,"Payment 4 (days)")</f>
        <v/>
      </c>
      <c r="GQ41" s="35" t="str" cm="1">
        <f t="array" ref="GQ41">_xll.ASAssetInfo($A41,"Payment 4 (Paid After)")</f>
        <v>NAV Date</v>
      </c>
      <c r="GR41" s="11" cm="1">
        <f t="array" ref="GR41">_xll.ASAssetInfo($A41,"Payment 1 (%)")</f>
        <v>1</v>
      </c>
      <c r="GS41" s="35" cm="1">
        <f t="array" ref="GS41">_xll.ASAssetInfo($A41,"Lockup 1 Fee")</f>
        <v>0</v>
      </c>
      <c r="GT41" s="35" cm="1">
        <f t="array" ref="GT41">_xll.ASAssetInfo($A41,"Lockup 2 Fee")</f>
        <v>0</v>
      </c>
      <c r="GU41" s="35" cm="1">
        <f t="array" ref="GU41">_xll.ASAssetInfo($A41,"Lockup 3 Fee")</f>
        <v>0</v>
      </c>
      <c r="GV41" s="35" t="str" cm="1">
        <f t="array" ref="GV41">_xll.ASAssetInfo($A41,"Lockup 1 type")</f>
        <v>None</v>
      </c>
      <c r="GW41" s="35" t="str" cm="1">
        <f t="array" ref="GW41">_xll.ASAssetInfo($A41,"Lockup 2 type")</f>
        <v>None</v>
      </c>
      <c r="GX41" s="35" t="str" cm="1">
        <f t="array" ref="GX41">_xll.ASAssetInfo($A41,"Lockup 3 type")</f>
        <v>None</v>
      </c>
      <c r="GY41" s="35" t="str" cm="1">
        <f t="array" ref="GY41">_xll.ASAssetInfo($A41,"Redemption 1 type")</f>
        <v>Calendar</v>
      </c>
      <c r="GZ41" s="35" t="str" cm="1">
        <f t="array" ref="GZ41">_xll.ASAssetInfo($A41,"Redemption 2 type")</f>
        <v>Calendar</v>
      </c>
      <c r="HA41" s="35" t="str" cm="1">
        <f t="array" ref="HA41">_xll.ASAssetInfo($A41,"Redemption 3 type")</f>
        <v>Calendar</v>
      </c>
      <c r="HB41" s="35" t="str" cm="1">
        <f t="array" ref="HB41">_xll.ASAssetInfo($A41,"Redemption 1 Fee")</f>
        <v/>
      </c>
      <c r="HC41" s="35" t="str" cm="1">
        <f t="array" ref="HC41">_xll.ASAssetInfo($A41,"Redemption 2 Fee")</f>
        <v/>
      </c>
      <c r="HD41" s="35" t="str" cm="1">
        <f t="array" ref="HD41">_xll.ASAssetInfo($A41,"Redemption 3 Fee")</f>
        <v/>
      </c>
      <c r="HE41" s="35" t="str" cm="1">
        <f t="array" ref="HE41">_xll.ASAssetInfo($A41,"Redemption 1 Frequency")</f>
        <v>Unknown</v>
      </c>
      <c r="HF41" s="35" t="str" cm="1">
        <f t="array" ref="HF41">_xll.ASAssetInfo($A41,"Redemption 2 Frequency")</f>
        <v>Unknown</v>
      </c>
      <c r="HG41" s="35" t="str" cm="1">
        <f t="array" ref="HG41">_xll.ASAssetInfo($A41,"Redemption 3 Frequency")</f>
        <v>Unknown</v>
      </c>
      <c r="HH41" s="35" t="str" cm="1">
        <f t="array" ref="HH41">_xll.ASAssetInfo($A41,"Asset Calendar")</f>
        <v>[Default]</v>
      </c>
      <c r="HI41" s="16" cm="1">
        <f t="array" ref="HI41">_xll.ASAssetStatistic($A41,"Max Second Drawdown",,,,"m",'PBA Summary'!$F$2,'PBA Summary'!$G$2)</f>
        <v>0</v>
      </c>
      <c r="HJ41" s="37" t="str" cm="1">
        <f t="array" ref="HJ41">_xll.ASAssetStatistic($A41,"Date Max Second Drawdown",,,,"m",'PBA Summary'!$F$2,'PBA Summary'!$G$2)</f>
        <v/>
      </c>
      <c r="HK41" s="37"/>
      <c r="HL41" s="37" t="str" cm="1">
        <f t="array" ref="HL41">_xll.ASAssetInfo($A41,HL$1)</f>
        <v/>
      </c>
      <c r="HM41" s="34" cm="1">
        <f t="array" ref="HM41">_xll.ASAssetInfo($A41,HM$1)</f>
        <v>1007</v>
      </c>
      <c r="HN41" s="37" t="str" cm="1">
        <f t="array" ref="HN41">_xll.ASAssetInfo($A41,HN$1)</f>
        <v/>
      </c>
      <c r="HO41" s="15" cm="1">
        <f t="array" ref="HO41">_xll.ASAssetInfo($A41,HO$1)</f>
        <v>0</v>
      </c>
      <c r="HP41" s="15" t="str" cm="1">
        <f t="array" ref="HP41">_xll.ASAssetInfo($A41,HP$1)</f>
        <v/>
      </c>
      <c r="HQ41" s="34" t="str" cm="1">
        <f t="array" ref="HQ41">_xll.ASAssetInfo($A41,HQ$1)</f>
        <v/>
      </c>
      <c r="HR41" s="37" t="str" cm="1">
        <f t="array" ref="HR41">_xll.ASAssetInfo($A41,HR$1)</f>
        <v/>
      </c>
      <c r="HS41" s="37" t="str" cm="1">
        <f t="array" ref="HS41">_xll.ASAssetInfo($A41,HS$1)</f>
        <v/>
      </c>
      <c r="HT41" s="37" t="str" cm="1">
        <f t="array" ref="HT41">_xll.ASAssetInfo($A41,HT$1)</f>
        <v/>
      </c>
      <c r="HU41" s="37" t="str" cm="1">
        <f t="array" ref="HU41">_xll.ASAssetInfo($A41,HU$1)</f>
        <v>Japan</v>
      </c>
      <c r="HV41" s="37" t="str" cm="1">
        <f t="array" ref="HV41">_xll.ASAssetInfo($A41,HV$1)</f>
        <v/>
      </c>
      <c r="HW41" s="37" t="str" cm="1">
        <f t="array" ref="HW41">_xll.ASAssetInfo($A41,HW$1)</f>
        <v/>
      </c>
    </row>
    <row r="42" spans="1:231" s="11" customFormat="1" ht="45" x14ac:dyDescent="0.25">
      <c r="A42" t="s">
        <v>277</v>
      </c>
      <c r="B42" cm="1">
        <f t="array" ref="B42">_xll.ASPortfolioWeights('PBA Summary'!$C$2,"OR",$A42)</f>
        <v>0.10000019727481931</v>
      </c>
      <c r="C42" cm="1">
        <f t="array" ref="C42">_xll.ASAssetStatistic($A42,"Annualized Return since inception",,,,"m",_xll.ASAssetInfo($A42,"Start Date"),_xll.ASAssetInfo($A42,"Last Return Date"))</f>
        <v>3.8221362456121843E-2</v>
      </c>
      <c r="D42" cm="1">
        <f t="array" ref="D42">_xll.ASAssetStatistic($A42,"Annualized Return",,,,"m",'PBA Summary'!$F$2,'PBA Summary'!$G$2)</f>
        <v>3.8459958323499466E-2</v>
      </c>
      <c r="E42" s="19" cm="1">
        <f t="array" ref="E42">_xll.ASAssetStatistic($A42,"Equilibrium Annual Return",,,,"m",'PBA Summary'!$F$2,'PBA Summary'!$G$2)</f>
        <v>4.3910944672496344E-2</v>
      </c>
      <c r="F42" cm="1">
        <f t="array" ref="F42">_xll.ASAssetStatistic($A42,"Annualized Volatility (Inception)",,,,"m",_xll.ASAssetInfo($A42,"Start Date"),_xll.ASAssetInfo($A42,"Last Return Date"))</f>
        <v>6.1568576748966168E-3</v>
      </c>
      <c r="G42" cm="1">
        <f t="array" ref="G42">_xll.ASAssetStatistic($A42,"Annualized Volatility",,,,"m",'PBA Summary'!$F$2,'PBA Summary'!$G$2)</f>
        <v>3.4407779798398975E-3</v>
      </c>
      <c r="H42" s="20" cm="1">
        <f t="array" ref="H42">_xll.ASAssetStatistic($A42,"Skewness",,,,"m",'PBA Summary'!$F$2,'PBA Summary'!$G$2)</f>
        <v>-4.7706276825236121E-2</v>
      </c>
      <c r="I42" s="20" cm="1">
        <f t="array" ref="I42">_xll.ASAssetStatistic($A42,"Excess kurtosis",,,,"m",'PBA Summary'!$F$2,'PBA Summary'!$G$2)</f>
        <v>-1.1248487355968813</v>
      </c>
      <c r="J42" s="19" cm="1">
        <f t="array" ref="J42">_xll.ASAssetStatistic($A42,"Return Last 1 month",,,,"m",'PBA Summary'!$F$2,'PBA Summary'!$G$2)</f>
        <v>1.425767670278022E-3</v>
      </c>
      <c r="K42" s="19" cm="1">
        <f t="array" ref="K42">_xll.ASAssetStatistic($A42,"Return Last 3 months",,,,"m",'PBA Summary'!$F$2,'PBA Summary'!$G$2)</f>
        <v>7.8745039682539542E-3</v>
      </c>
      <c r="L42" s="19" cm="1">
        <f t="array" ref="L42">_xll.ASAssetStatistic($A42,"Return Last 1 year",,,,"m",'PBA Summary'!$F$2,'PBA Summary'!$G$2)</f>
        <v>3.8279040058400104E-2</v>
      </c>
      <c r="M42" s="19" cm="1">
        <f t="array" ref="M42">_xll.ASAssetStatistic($A42,"Year-to-date Return",,,,"m",'PBA Summary'!$F$2,'PBA Summary'!$G$2)</f>
        <v>1.425767670278022E-3</v>
      </c>
      <c r="N42" s="19" cm="1">
        <f t="array" ref="N42">_xll.ASAssetStatistic($A42,"Annualized Return",,,,"m",EOMONTH('PBA Summary'!$G$2,-2),'PBA Summary'!$G$2)</f>
        <v>3.1872019717531064E-2</v>
      </c>
      <c r="O42" s="19" t="str" cm="1">
        <f t="array" ref="O42">_xll.ASAssetStatistic($A42,"Annualized Return Last 3 years",,,,"m",'PBA Summary'!$F$2,'PBA Summary'!$G$2)</f>
        <v/>
      </c>
      <c r="P42" s="19" t="str" cm="1">
        <f t="array" ref="P42">_xll.ASAssetStatistic($A42,"Annualized Return Last 5 years",,,,"m",'PBA Summary'!$F$2,'PBA Summary'!$G$2)</f>
        <v/>
      </c>
      <c r="Q42" s="19" cm="1">
        <f t="array" ref="Q42">_xll.ASAssetStatistic($A42,"Annualized Volatility Last 1 year",,,,"m",'PBA Summary'!$F$2,'PBA Summary'!$G$2)</f>
        <v>3.4522788466814923E-3</v>
      </c>
      <c r="R42" s="19" t="str" cm="1">
        <f t="array" ref="R42">_xll.ASAssetStatistic($A42,"Annualized Volatility Last 3 years",,,,"m",'PBA Summary'!$F$2,'PBA Summary'!$G$2)</f>
        <v/>
      </c>
      <c r="S42" s="19" t="str" cm="1">
        <f t="array" ref="S42">_xll.ASAssetStatistic($A42,"Annualized Volatility Last 5 years",,,,"m",'PBA Summary'!$F$2,'PBA Summary'!$G$2)</f>
        <v/>
      </c>
      <c r="T42" s="19" cm="1">
        <f t="array" ref="T42">_xll.ASAssetStatistic($A42,"Normal monthly VaR 99%",,,,"m",'PBA Summary'!$F$2,'PBA Summary'!$G$2)</f>
        <v>8.3962520724944339E-4</v>
      </c>
      <c r="U42" s="19" cm="1">
        <f t="array" ref="U42">_xll.ASAssetStatistic($A42,"Modified monthly VaR 99%",,,,"m",'PBA Summary'!$F$2,'PBA Summary'!$G$2)</f>
        <v>1.0668381802791094E-3</v>
      </c>
      <c r="V42" s="19" cm="1">
        <f t="array" ref="V42">_xll.ASAssetStatistic($A42,"Conditional monthly VaR 99%",,,,"m",'PBA Summary'!$F$2,'PBA Summary'!$G$2)</f>
        <v>1.425767670278022E-3</v>
      </c>
      <c r="W42" s="19" cm="1">
        <f t="array" ref="W42">_xll.ASAssetStatistic($A42,"Normal monthly VaR 97%",,,,"m",'PBA Summary'!$F$2,'PBA Summary'!$G$2)</f>
        <v>1.2821795769588518E-3</v>
      </c>
      <c r="X42" s="19" cm="1">
        <f t="array" ref="X42">_xll.ASAssetStatistic($A42,"Modified monthly VaR 97%",,,,"m",'PBA Summary'!$F$2,'PBA Summary'!$G$2)</f>
        <v>1.3094372788818906E-3</v>
      </c>
      <c r="Y42" s="19" cm="1">
        <f t="array" ref="Y42">_xll.ASAssetStatistic($A42,"Conditional monthly VaR 97%",,,,"m",'PBA Summary'!$F$2,'PBA Summary'!$G$2)</f>
        <v>1.425767670278022E-3</v>
      </c>
      <c r="Z42" s="19" cm="1">
        <f t="array" ref="Z42">_xll.ASAssetStatistic($A42,"Normal monthly VaR 95%",,,,"m",'PBA Summary'!$F$2,'PBA Summary'!$G$2)</f>
        <v>1.5165309852225365E-3</v>
      </c>
      <c r="AA42" s="19" cm="1">
        <f t="array" ref="AA42">_xll.ASAssetStatistic($A42,"Modified monthly VaR 95%",,,,"m",'PBA Summary'!$F$2,'PBA Summary'!$G$2)</f>
        <v>1.480556447418244E-3</v>
      </c>
      <c r="AB42" s="19" cm="1">
        <f t="array" ref="AB42">_xll.ASAssetStatistic($A42,"Conditional monthly VaR 95%",,,,"m",'PBA Summary'!$F$2,'PBA Summary'!$G$2)</f>
        <v>1.425767670278022E-3</v>
      </c>
      <c r="AC42" s="66" cm="1">
        <f t="array" ref="AC42">_xll.ASAssetStatistic($A42,"Correlation to Benchmark 1","MSCI ACWI Index",,,"m",'PBA Summary'!$F$2,'PBA Summary'!$G$2)</f>
        <v>-0.19646554207243402</v>
      </c>
      <c r="AD42" s="38" cm="1">
        <f t="array" ref="AD42">IF('PBA Summary'!$D$3="","",_xll.ASAssetStatistic($A42,"Correlation to Benchmark 1",'PBA Summary'!$D$3,,,"m",'PBA Summary'!$F$2,'PBA Summary'!$G$2))</f>
        <v>-0.2298628428830426</v>
      </c>
      <c r="AE42" s="21" cm="1">
        <f t="array" ref="AE42">IF('PBA Summary'!$D$2="","",_xll.ASAssetStatistic($A42,"Bull correlation to Benchmark 1",'PBA Summary'!$D$2,,,"m",'PBA Summary'!$F$2,'PBA Summary'!$G$2))</f>
        <v>-5.9819835611930508E-2</v>
      </c>
      <c r="AF42" s="21" cm="1">
        <f t="array" ref="AF42">IF('PBA Summary'!$D$2="","",_xll.ASAssetStatistic($A42,"Bear correlation to Benchmark 1",'PBA Summary'!$D$2,,,"m",'PBA Summary'!$F$2,'PBA Summary'!$G$2))</f>
        <v>-0.48701925367198295</v>
      </c>
      <c r="AG42" s="21" cm="1">
        <f t="array" ref="AG42">IF('PBA Summary'!$D$3="","",_xll.ASAssetStatistic($A42,"Bull correlation to Benchmark 1",'PBA Summary'!$D$3,,,"m",'PBA Summary'!$F$2,'PBA Summary'!$G$2))</f>
        <v>-5.9819835611930508E-2</v>
      </c>
      <c r="AH42" s="21" cm="1">
        <f t="array" ref="AH42">IF('PBA Summary'!$D$3="","",_xll.ASAssetStatistic($A42,"Bear correlation to Benchmark 1",'PBA Summary'!$D$3,,,"m",'PBA Summary'!$F$2,'PBA Summary'!$G$2))</f>
        <v>-0.48701925367198295</v>
      </c>
      <c r="AI42" s="24" cm="1">
        <f t="array" ref="AI42">IF('PBA Summary'!$D$2="","",_xll.ASAssetStatistic($A42,"Beta to Benchmark 1",'PBA Summary'!$D$2,,,"m",'PBA Summary'!$F$2,'PBA Summary'!$G$2))</f>
        <v>-5.1516832922915362E-3</v>
      </c>
      <c r="AJ42" s="24" t="str" cm="1">
        <f t="array" ref="AJ42">IF('PBA Summary'!$D$2="","",_xll.ASAssetStatistic($A42,"Beta to Benchmark 1 Last 3 years",'PBA Summary'!$D$2,,,"m",'PBA Summary'!$F$2,'PBA Summary'!$G$2))</f>
        <v/>
      </c>
      <c r="AK42" s="24" t="str" cm="1">
        <f t="array" ref="AK42">IF('PBA Summary'!$D$2="","",_xll.ASAssetStatistic($A42,"Beta to Benchmark 1 Last 5 years",'PBA Summary'!$D$2,,,"m",'PBA Summary'!$F$2,'PBA Summary'!$G$2))</f>
        <v/>
      </c>
      <c r="AL42" s="25" cm="1">
        <f t="array" ref="AL42">IF('PBA Summary'!$D$3="","",_xll.ASAssetStatistic($A42,"Beta to Benchmark 1",'PBA Summary'!$D$3,,,"m",'PBA Summary'!$F$2,'PBA Summary'!$G$2))</f>
        <v>-5.1516832922915362E-3</v>
      </c>
      <c r="AM42" s="25" t="str" cm="1">
        <f t="array" ref="AM42">IF('PBA Summary'!$D$3="","",_xll.ASAssetStatistic($A42,"Beta to Benchmark 1 Last 3 years",'PBA Summary'!$D$3,,,"m",'PBA Summary'!$F$2,'PBA Summary'!$G$2))</f>
        <v/>
      </c>
      <c r="AN42" s="25" t="str" cm="1">
        <f t="array" ref="AN42">IF('PBA Summary'!$D$3="","",_xll.ASAssetStatistic($A42,"Beta to Benchmark 1 Last 5 years",'PBA Summary'!$D$3,,,"m",'PBA Summary'!$F$2,'PBA Summary'!$G$2))</f>
        <v/>
      </c>
      <c r="AO42" s="25" cm="1">
        <f t="array" ref="AO42">IF('PBA Summary'!$D$2="","",_xll.ASAssetStatistic($A42,"Bull Beta to Benchmark 1",'PBA Summary'!$D$2,,,"m",'PBA Summary'!$F$2,'PBA Summary'!$G$2))</f>
        <v>-2.4233160263182553E-3</v>
      </c>
      <c r="AP42" s="25" cm="1">
        <f t="array" ref="AP42">IF('PBA Summary'!$D$2="","",_xll.ASAssetStatistic($A42,"Bear Beta to Benchmark 1",'PBA Summary'!$D$2,,,"m",'PBA Summary'!$F$2,'PBA Summary'!$G$2))</f>
        <v>-1.6544689347628448E-2</v>
      </c>
      <c r="AQ42" s="25" cm="1">
        <f t="array" ref="AQ42">IF('PBA Summary'!$D$3="","",_xll.ASAssetStatistic($A42,"Bull Beta to Benchmark 1",'PBA Summary'!$D$3,,,"m",'PBA Summary'!$F$2,'PBA Summary'!$G$2))</f>
        <v>-2.4233160263182553E-3</v>
      </c>
      <c r="AR42" s="25" cm="1">
        <f t="array" ref="AR42">IF('PBA Summary'!$D$3="","",_xll.ASAssetStatistic($A42,"Bear Beta to Benchmark 1",'PBA Summary'!$D$3,,,"m",'PBA Summary'!$F$2,'PBA Summary'!$G$2))</f>
        <v>-1.6544689347628448E-2</v>
      </c>
      <c r="AS42" s="25" cm="1">
        <f t="array" ref="AS42">_xll.ASAssetStatistic($A42,"Annual Sharpe Ratio (Rf)",,,'PBA Summary'!$H$2,"m",'PBA Summary'!$F$2,'PBA Summary'!$G$2)</f>
        <v>10.451112665273659</v>
      </c>
      <c r="AT42" s="25" t="str" cm="1">
        <f t="array" ref="AT42">_xll.ASAssetStatistic($A42,"Annual Sharpe Ratio (Rf) Last 3 years",,,'PBA Summary'!$H$2,"m",'PBA Summary'!$F$2,'PBA Summary'!$G$2)</f>
        <v/>
      </c>
      <c r="AU42" s="25" t="str" cm="1">
        <f t="array" ref="AU42">_xll.ASAssetStatistic($A42,"Annual Sharpe Ratio (Rf) Last 5 years",,,'PBA Summary'!$H$2,"m",'PBA Summary'!$F$2,'PBA Summary'!$G$2)</f>
        <v/>
      </c>
      <c r="AV42" s="18" cm="1">
        <f t="array" ref="AV42">_xll.ASAssetStatistic($A42,"Ann. Downside Deviation (vs 0%)",,,'PBA Summary'!$H$2,"m",'PBA Summary'!$F$2,'PBA Summary'!$G$2)</f>
        <v>0</v>
      </c>
      <c r="AW42" s="18" cm="1">
        <f t="array" ref="AW42">_xll.ASAssetStatistic($A42,"Ann. Downside Deviation (vs Rf)",,,'PBA Summary'!$H$2,"m",'PBA Summary'!$F$2,'PBA Summary'!$G$2)</f>
        <v>0</v>
      </c>
      <c r="AX42" s="39" cm="1">
        <f t="array" ref="AX42">_xll.ASAssetStatistic($A42,"Annual Treynor ratio",,,'PBA Summary'!$H$2,"m",'PBA Summary'!$F$2,'PBA Summary'!$G$2)</f>
        <v>-1.394335364774707</v>
      </c>
      <c r="AY42" s="26" t="str" cm="1">
        <f t="array" ref="AY42">_xll.ASAssetStatistic($A42,"Annual Sortino Ratio (vs 0%)",,,'PBA Summary'!$H$2,"m",'PBA Summary'!$F$2,'PBA Summary'!$G$2)</f>
        <v/>
      </c>
      <c r="AZ42" s="26" t="str" cm="1">
        <f t="array" ref="AZ42">_xll.ASAssetStatistic($A42,"Annual Sortino Ratio (vs Rf)",,,'PBA Summary'!$H$2,"m",'PBA Summary'!$F$2,'PBA Summary'!$G$2)</f>
        <v/>
      </c>
      <c r="BA42" s="26" cm="1">
        <f t="array" ref="BA42">_xll.ASAssetStatistic($A42,"Sterling ratio",,,'PBA Summary'!$H$2,"m",'PBA Summary'!$F$2,'PBA Summary'!$G$2)</f>
        <v>0.38459958323499466</v>
      </c>
      <c r="BB42" s="26" t="str" cm="1">
        <f t="array" ref="BB42">_xll.ASAssetStatistic($A42,"Calmar ratio",,,'PBA Summary'!$H$2,"m",'PBA Summary'!$F$2,'PBA Summary'!$G$2)</f>
        <v/>
      </c>
      <c r="BC42" s="26" cm="1">
        <f t="array" ref="BC42">_xll.ASAssetStatistic($A42,"Hurst index",,,'PBA Summary'!$H$2,"m",'PBA Summary'!$F$2,'PBA Summary'!$G$2)</f>
        <v>0.49508185102004371</v>
      </c>
      <c r="BD42" s="26" t="str" cm="1">
        <f t="array" ref="BD42">_xll.ASAssetStatistic($A42,"Omega (Threshold 1)",,,'PBA Summary'!$H$2,"m",'PBA Summary'!$F$2,'PBA Summary'!$G$2)</f>
        <v/>
      </c>
      <c r="BE42" s="26" cm="1">
        <f t="array" ref="BE42">_xll.ASAssetStatistic($A42,"Omega (Threshold 2)",,,'PBA Summary'!$H$2,"m",'PBA Summary'!$F$2,'PBA Summary'!$G$2)</f>
        <v>0</v>
      </c>
      <c r="BF42" s="26" cm="1">
        <f t="array" ref="BF42">_xll.ASAssetStatistic($A42,"Omega (Threshold 3)",,,'PBA Summary'!$H$2,"m",'PBA Summary'!$F$2,'PBA Summary'!$G$2)</f>
        <v>0</v>
      </c>
      <c r="BG42" s="26" cm="1">
        <f t="array" ref="BG42">_xll.ASAssetStatistic($A42,"Omega (Threshold 4)",,,'PBA Summary'!$H$2,"m",'PBA Summary'!$F$2,'PBA Summary'!$G$2)</f>
        <v>0</v>
      </c>
      <c r="BH42" s="26" cm="1">
        <f t="array" ref="BH42">_xll.ASAssetStatistic($A42,"Omega (Threshold 5)",,,'PBA Summary'!$H$2,"m",'PBA Summary'!$F$2,'PBA Summary'!$G$2)</f>
        <v>0</v>
      </c>
      <c r="BI42" s="26" t="str" cm="1">
        <f t="array" ref="BI42">_xll.ASAssetStatistic($A42,"Autocorrelated (illiquid)",,,'PBA Summary'!$H$2,"m",'PBA Summary'!$F$2,'PBA Summary'!$G$2)</f>
        <v>Yes</v>
      </c>
      <c r="BJ42" s="27" t="str" cm="1">
        <f t="array" ref="BJ42">_xll.ASAssetStatistic($A42,"% months in Run Up",,,'PBA Summary'!$H$2,"m",'PBA Summary'!$F$2,'PBA Summary'!$G$2)</f>
        <v/>
      </c>
      <c r="BK42" s="27" t="str" cm="1">
        <f t="array" ref="BK42">_xll.ASAssetStatistic($A42,"% months in Drawdown",,,'PBA Summary'!$H$2,"m",'PBA Summary'!$F$2,'PBA Summary'!$G$2)</f>
        <v/>
      </c>
      <c r="BL42" s="18" cm="1">
        <f t="array" ref="BL42">IF('PBA Summary'!$D$2="","",_xll.ASAssetStatistic($A42,"Bull Beta to Benchmark 1",'PBA Summary'!$D$2,,,"m",'PBA Summary'!$F$2,'PBA Summary'!$G$2))</f>
        <v>-2.4233160263182553E-3</v>
      </c>
      <c r="BM42" s="18" cm="1">
        <f t="array" ref="BM42">IF('PBA Summary'!$D$2="","",_xll.ASAssetStatistic($A42,"Average return during bear Benchmark 1",'PBA Summary'!$D$2,,,"m",'PBA Summary'!$F$2,'PBA Summary'!$G$2))</f>
        <v>3.292623304431197E-3</v>
      </c>
      <c r="BN42" s="18" cm="1">
        <f t="array" ref="BN42">IF('PBA Summary'!$D$3="","",_xll.ASAssetStatistic($A42,"Average return during bull Benchmark 1",'PBA Summary'!$D$3,,,"m",'PBA Summary'!$F$2,'PBA Summary'!$G$2))</f>
        <v>3.0985595562422548E-3</v>
      </c>
      <c r="BO42" s="18" cm="1">
        <f t="array" ref="BO42">IF('PBA Summary'!$D$3="","",_xll.ASAssetStatistic($A42,"Average return during bear Benchmark 1",'PBA Summary'!$D$3,,,"m",'PBA Summary'!$F$2,'PBA Summary'!$G$2))</f>
        <v>3.292623304431197E-3</v>
      </c>
      <c r="BP42" s="27" cm="1">
        <f t="array" ref="BP42">_xll.ASAssetStatistic($A42,"Maximum consecutive gain",,,'PBA Summary'!$H$2,"m",'PBA Summary'!$F$2,'PBA Summary'!$G$2)</f>
        <v>4.8303882368115891E-2</v>
      </c>
      <c r="BQ42" s="27" cm="1">
        <f t="array" ref="BQ42">_xll.ASAssetStatistic($A42,"Maximum consecutive loss",,,'PBA Summary'!$H$2,"m",'PBA Summary'!$F$2,'PBA Summary'!$G$2)</f>
        <v>0</v>
      </c>
      <c r="BR42" s="27" cm="1">
        <f t="array" ref="BR42">_xll.ASAssetStatistic($A42,"Max monthly gain",,,'PBA Summary'!$H$2,"m",'PBA Summary'!$F$2,'PBA Summary'!$G$2)</f>
        <v>4.7687992036919979E-3</v>
      </c>
      <c r="BS42" s="27" cm="1">
        <f t="array" ref="BS42">_xll.ASAssetStatistic($A42,"Max monthly loss",,,'PBA Summary'!$H$2,"m",'PBA Summary'!$F$2,'PBA Summary'!$G$2)</f>
        <v>0</v>
      </c>
      <c r="BT42" s="27" cm="1">
        <f t="array" ref="BT42">_xll.ASAssetStatistic($A42,"Max drawdown",,,'PBA Summary'!$H$2,"m",'PBA Summary'!$F$2,'PBA Summary'!$G$2)</f>
        <v>0</v>
      </c>
      <c r="BU42" s="28" t="str" cm="1">
        <f t="array" ref="BU42">_xll.ASAssetStatistic($A42,"Date Max drawdown",,,'PBA Summary'!$H$2,"m",'PBA Summary'!$F$2,'PBA Summary'!$G$2)</f>
        <v/>
      </c>
      <c r="BV42" s="28" t="str" cm="1">
        <f t="array" ref="BV42">_xll.ASAssetStatistic($A42,"Start Date Max Drawdown",,,'PBA Summary'!$H$2,"m",'PBA Summary'!$F$2,'PBA Summary'!$G$2)</f>
        <v/>
      </c>
      <c r="BW42" s="28" t="str" cm="1">
        <f t="array" ref="BW42">_xll.ASAssetStatistic($A42,"End Date Max Drawdown",,,'PBA Summary'!$H$2,"m",'PBA Summary'!$F$2,'PBA Summary'!$G$2)</f>
        <v/>
      </c>
      <c r="BX42" s="29" cm="1">
        <f t="array" ref="BX42">_xll.ASAssetStatistic($A42,"Max Time-under-water (months)",,,'PBA Summary'!$H$2,"m",'PBA Summary'!$F$2,'PBA Summary'!$G$2)</f>
        <v>0</v>
      </c>
      <c r="BY42" s="27" cm="1">
        <f t="array" ref="BY42">_xll.ASAssetStatistic($A42,"Max possible drawdown 99%",,,'PBA Summary'!$H$2,"m",'PBA Summary'!$F$2,'PBA Summary'!$G$2)</f>
        <v>-4.2370940374715168E-4</v>
      </c>
      <c r="BZ42" s="27" cm="1">
        <f t="array" ref="BZ42">_xll.ASAssetStatistic($A42,"Max possible drawdown 99.9%",,,'PBA Summary'!$H$2,"m",'PBA Summary'!$F$2,'PBA Summary'!$G$2)</f>
        <v>-7.476546580193333E-4</v>
      </c>
      <c r="CA42" s="30" cm="1">
        <f t="array" ref="CA42">_xll.ASAssetStatistic($A42,"Max Possible Time-under-water 99% (months)",,,'PBA Summary'!$H$2,"m",'PBA Summary'!$F$2,'PBA Summary'!$G$2)</f>
        <v>0.53799076111739552</v>
      </c>
      <c r="CB42" s="30" cm="1">
        <f t="array" ref="CB42">_xll.ASAssetStatistic($A42,"Max Possible Time-under-water 99.9% (months)",,,'PBA Summary'!$H$2,"m",'PBA Summary'!$F$2,'PBA Summary'!$G$2)</f>
        <v>0.94930934967121572</v>
      </c>
      <c r="CC42" s="17" cm="1">
        <f t="array" ref="CC42">_xll.ASPortfolioReturnAttribution('PBA Summary'!$C$2,"OR",A42,"Last 1m",'PBA Summary'!$F$2,'PBA Summary'!$G$2)</f>
        <v>1.4257703003544894E-4</v>
      </c>
      <c r="CD42" s="11" t="str" cm="1">
        <f t="array" ref="CD42">_xll.ASAssetInfo($A42,"Strategy")</f>
        <v>Funds - Macro Arbitrage</v>
      </c>
      <c r="CE42" s="14" cm="1">
        <f t="array" ref="CE42">_xll.ASAssetInfo($A42,"Start Date")</f>
        <v>42704</v>
      </c>
      <c r="CF42" s="14" t="str" cm="1">
        <f t="array" ref="CF42">_xll.ASAssetRatings($A42,"Quantitative",0,0,0,0,0,'PBA Summary'!$F$2,'PBA Summary'!$G$2)</f>
        <v/>
      </c>
      <c r="CG42" s="14" t="str" cm="1">
        <f t="array" ref="CG42">_xll.ASAssetRatings($A42,"Qualitative",0,0,0,0,0,'PBA Summary'!$F$2,'PBA Summary'!$G$2)</f>
        <v/>
      </c>
      <c r="CH42" s="14" t="str" cm="1">
        <f t="array" ref="CH42">_xll.ASAssetRatings($A42,"Final",0,0,0,0,0,'PBA Summary'!$F$2,'PBA Summary'!$G$2)</f>
        <v/>
      </c>
      <c r="CI42" s="14" cm="1">
        <f t="array" ref="CI42">_xll.ASAssetInfo($A42,"Last Return Date")</f>
        <v>44104</v>
      </c>
      <c r="CJ42" s="14" t="str" cm="1">
        <f t="array" ref="CJ42">_xll.ASAssetInfo($A42,"Company Name")</f>
        <v>Lighthouse Canton Pte Ltd/Sing</v>
      </c>
      <c r="CK42" s="14" t="str" cm="1">
        <f t="array" ref="CK42">_xll.ASAssetInfo($A42,"Manager Name")</f>
        <v>Sunil Kalra</v>
      </c>
      <c r="CL42" s="14" t="str" cm="1">
        <f t="array" ref="CL42">_xll.ASAssetInfo($A42,"Address")</f>
        <v>#07-01 Royal One Phillip. 1 Phillip Street. Singapore 048692</v>
      </c>
      <c r="CM42" s="14" t="str" cm="1">
        <f t="array" ref="CM42">_xll.ASAssetInfo($A42,"Phone Number")</f>
        <v>+65 67130572</v>
      </c>
      <c r="CN42" s="14" t="str" cm="1">
        <f t="array" ref="CN42">_xll.ASAssetInfo($A42,"Email")</f>
        <v/>
      </c>
      <c r="CO42" s="14" t="str" cm="1">
        <f t="array" ref="CO42">_xll.ASAssetInfo($A42,"Asset Type")</f>
        <v>Alternatives</v>
      </c>
      <c r="CP42" s="14" t="str" cm="1">
        <f t="array" ref="CP42">_xll.ASAssetInfo($A42,"Proprietary ID")</f>
        <v/>
      </c>
      <c r="CQ42" s="14" t="str" cm="1">
        <f t="array" ref="CQ42">_xll.ASAssetInfo($A42,"Country")</f>
        <v>Singapore</v>
      </c>
      <c r="CR42" s="14" t="str" cm="1">
        <f t="array" ref="CR42">_xll.ASAssetInfo($A42,"Currency")</f>
        <v>USD</v>
      </c>
      <c r="CS42" s="14" t="str" cm="1">
        <f t="array" ref="CS42">_xll.ASAssetInfo($A42,"Sub-Strategy")</f>
        <v/>
      </c>
      <c r="CT42" s="31" cm="1">
        <f t="array" ref="CT42">_xll.ASAssetInfo($A42,"Fund AUM (m)")</f>
        <v>70</v>
      </c>
      <c r="CU42" s="31" t="str" cm="1">
        <f t="array" ref="CU42">_xll.ASAssetInfo($A42,"Status")</f>
        <v>Open</v>
      </c>
      <c r="CV42" s="31" t="str" cm="1">
        <f t="array" ref="CV42">_xll.ASAssetInfo($A42,"Redemption 1 Frequency")</f>
        <v>Monthly</v>
      </c>
      <c r="CW42" s="31" t="str" cm="1">
        <f t="array" ref="CW42">_xll.ASAssetInfo($A42,"Redemption 2 Frequency")</f>
        <v>Unknown</v>
      </c>
      <c r="CX42" s="31" t="str" cm="1">
        <f t="array" ref="CX42">_xll.ASAssetInfo($A42,"Redemption 3 Frequency")</f>
        <v>Unknown</v>
      </c>
      <c r="CY42" s="31" t="str" cm="1">
        <f t="array" ref="CY42">_xll.ASAssetInfo($A42,"Notice Period")</f>
        <v>15 Days</v>
      </c>
      <c r="CZ42" s="15" cm="1">
        <f t="array" ref="CZ42">_xll.ASAssetInfo($A42,"Performance Fee")</f>
        <v>0.1</v>
      </c>
      <c r="DA42" s="15" cm="1">
        <f t="array" ref="DA42">_xll.ASAssetInfo($A42,"Management Fee")</f>
        <v>0.01</v>
      </c>
      <c r="DB42" s="15" t="str" cm="1">
        <f t="array" ref="DB42">_xll.ASAssetInfo($A42,"ISIN")</f>
        <v>KYG5S14L1094</v>
      </c>
      <c r="DC42" s="16" t="str" cm="1">
        <f t="array" ref="DC42">_xll.ASAssetStatistic($A42,"Return during " &amp;YEAR(EOMONTH('PBA Summary'!$G$2,-60)),,,,"M",DATE(YEAR(EOMONTH('PBA Summary'!$G$2,-60)),1,31),DATE(YEAR(EOMONTH('PBA Summary'!$G$2,-60)),12,31))</f>
        <v/>
      </c>
      <c r="DD42" s="16" cm="1">
        <f t="array" ref="DD42">_xll.ASAssetStatistic($A42,"Return during " &amp;YEAR(EOMONTH('PBA Summary'!$G$2,-48)),,,,"M",DATE(YEAR(EOMONTH('PBA Summary'!$G$2,-48)),1,31),DATE(YEAR(EOMONTH('PBA Summary'!$G$2,-48)),12,31))</f>
        <v>1.9407763105241393E-3</v>
      </c>
      <c r="DE42" s="16" cm="1">
        <f t="array" ref="DE42">_xll.ASAssetStatistic($A42,"Return during " &amp;YEAR(EOMONTH('PBA Summary'!$G$2,-36)),,,,"M",DATE(YEAR(EOMONTH('PBA Summary'!$G$2,-36)),1,31),DATE(YEAR(EOMONTH('PBA Summary'!$G$2,-36)),12,31))</f>
        <v>2.9564470715098601E-2</v>
      </c>
      <c r="DF42" s="16" cm="1">
        <f t="array" ref="DF42">_xll.ASAssetStatistic($A42,"Return during " &amp;YEAR(EOMONTH('PBA Summary'!$G$2,-24)),,,,"M",DATE(YEAR(EOMONTH('PBA Summary'!$G$2,-24)),1,31),DATE(YEAR(EOMONTH('PBA Summary'!$G$2,-24)),12,31))</f>
        <v>6.0611938127334231E-2</v>
      </c>
      <c r="DG42" s="16" cm="1">
        <f t="array" ref="DG42">_xll.ASAssetStatistic($A42,"Return during " &amp;YEAR(EOMONTH('PBA Summary'!$G$2,-12)),,,,"M",DATE(YEAR(EOMONTH('PBA Summary'!$G$2,-12)),1,31),DATE(YEAR(EOMONTH('PBA Summary'!$G$2,-12)),12,31))</f>
        <v>3.8933845380149767E-2</v>
      </c>
      <c r="DH42" s="11" t="str" cm="1">
        <f t="array" ref="DH42">_xll.ASAssetInfo($A42,"Prime Broker")</f>
        <v/>
      </c>
      <c r="DI42" s="16" cm="1">
        <f t="array" ref="DI42">_xll.ASAssetStatistic($A42,"Return",,,,"m",'PBA Summary'!$F$2,'PBA Summary'!$G$2)</f>
        <v>4.8303882368115891E-2</v>
      </c>
      <c r="DJ42" s="33" cm="1">
        <f t="array" ref="DJ42">IF('PBA Summary'!$D$2="","",_xll.ASAssetStatistic($A42,"Ann. Information Ratio vs Benchmark 1",'PBA Summary'!$D$2,,,"m",'PBA Summary'!$F$2,'PBA Summary'!$G$2))</f>
        <v>-0.867193439086684</v>
      </c>
      <c r="DK42" s="33" cm="1">
        <f t="array" ref="DK42">IF('PBA Summary'!$D$3="","",_xll.ASAssetStatistic($A42,"Ann. Information Ratio vs Benchmark 1",'PBA Summary'!$D$3,,,"m",'PBA Summary'!$F$2,'PBA Summary'!$G$2))</f>
        <v>-0.867193439086684</v>
      </c>
      <c r="DL42" s="33" cm="1">
        <f t="array" ref="DL42">IF('PBA Summary'!$D$2="","",_xll.ASAssetStatistic($A42,"Ann. Tracking Error vs Benchmark 1",'PBA Summary'!$D$2,,,"m",'PBA Summary'!$F$2,'PBA Summary'!$G$2))</f>
        <v>0.15435123222811653</v>
      </c>
      <c r="DM42" s="33" cm="1">
        <f t="array" ref="DM42">IF('PBA Summary'!$D$3="","",_xll.ASAssetStatistic($A42,"Ann. Tracking Error vs Benchmark 1",'PBA Summary'!$D$3,,,"m",'PBA Summary'!$F$2,'PBA Summary'!$G$2))</f>
        <v>0.15435123222811653</v>
      </c>
      <c r="DN42" s="33" cm="1">
        <f t="array" ref="DN42">IF('PBA Summary'!$D$2="","",_xll.ASAssetStatistic($A42,"R² vs Benchmark 1",'PBA Summary'!$D$2,,,"m",'PBA Summary'!$F$2,'PBA Summary'!$G$2))</f>
        <v>5.2836926538274327E-2</v>
      </c>
      <c r="DO42" s="33" cm="1">
        <f t="array" ref="DO42">IF('PBA Summary'!$D$3="","",_xll.ASAssetStatistic($A42,"R² vs Benchmark 1",'PBA Summary'!$D$3,,,"m",'PBA Summary'!$F$2,'PBA Summary'!$G$2))</f>
        <v>5.2836926538274327E-2</v>
      </c>
      <c r="DP42" s="11" t="str" cm="1">
        <f t="array" ref="DP42">_xll.ASAssetInfo($A42,"On-/Offshore")</f>
        <v>Unknown</v>
      </c>
      <c r="DQ42" s="16" cm="1">
        <f t="array" ref="DQ42">_xll.ASAssetStatistic($A42,"Quarter-to-date",,,,"m",'PBA Summary'!$F$2,'PBA Summary'!$G$2)</f>
        <v>1.425767670278022E-3</v>
      </c>
      <c r="DR42" s="16" cm="1">
        <f t="array" ref="DR42">_xll.ASAssetStatistic($A42,"Annualized Return Since inception",,,,"m",'PBA Summary'!$F$2,'PBA Summary'!$G$2)</f>
        <v>3.8221362456121843E-2</v>
      </c>
      <c r="DS42" s="16" cm="1">
        <f t="array" ref="DS42">IF('PBA Summary'!$D$2="","",_xll.ASAssetStatistic($A42,"Ann. Bear Market Return vs Benchmark 1",'PBA Summary'!$D$2,,,"m",'PBA Summary'!$F$2,'PBA Summary'!$G$2))</f>
        <v>4.0225596823997289E-2</v>
      </c>
      <c r="DT42" s="16" cm="1">
        <f t="array" ref="DT42">IF('PBA Summary'!$D$2="","",_xll.ASAssetStatistic($A42,"Ann. Bull Market Return vs Benchmark 1",'PBA Summary'!$D$2,,,"m",'PBA Summary'!$F$2,'PBA Summary'!$G$2))</f>
        <v>3.7818651266942949E-2</v>
      </c>
      <c r="DU42" s="16" cm="1">
        <f t="array" ref="DU42">IF('PBA Summary'!$D$3="","",_xll.ASAssetStatistic($A42,"Ann. Bear Market Return vs Benchmark 1",'PBA Summary'!$D$3,,,"m",'PBA Summary'!$F$2,'PBA Summary'!$G$2))</f>
        <v>4.0225596823997289E-2</v>
      </c>
      <c r="DV42" s="16" cm="1">
        <f t="array" ref="DV42">IF('PBA Summary'!$D$3="","",_xll.ASAssetStatistic($A42,"Ann. Bull Market Return vs Benchmark 1",'PBA Summary'!$D$3,,,"m",'PBA Summary'!$F$2,'PBA Summary'!$G$2))</f>
        <v>3.7818651266942949E-2</v>
      </c>
      <c r="DW42" s="17" cm="1">
        <f t="array" ref="DW42">_xll.ASAssetStatistic($A42,"Average Positive Return",,,,"m",'PBA Summary'!$F$2,'PBA Summary'!$G$2)</f>
        <v>3.1503098890926394E-3</v>
      </c>
      <c r="DX42" s="17" t="str" cm="1">
        <f t="array" ref="DX42">_xll.ASAssetStatistic($A42,"Average Negative Return",,,,"m",'PBA Summary'!$F$2,'PBA Summary'!$G$2)</f>
        <v/>
      </c>
      <c r="DY42" s="16" cm="1">
        <f t="array" ref="DY42">IF('PBA Summary'!$D$2="","",_xll.ASAssetStatistic($A42,"Outperformance vs Benchmark 1",'PBA Summary'!$D$2,,,"m",'PBA Summary'!$F$2,'PBA Summary'!$G$2))</f>
        <v>-0.17153976244060276</v>
      </c>
      <c r="DZ42" s="16" cm="1">
        <f t="array" ref="DZ42">IF('PBA Summary'!$D$3="","",_xll.ASAssetStatistic($A42,"Outperformance vs Benchmark 1",'PBA Summary'!$D$3,,,"m",'PBA Summary'!$F$2,'PBA Summary'!$G$2))</f>
        <v>-0.17153976244060276</v>
      </c>
      <c r="EA42" s="16" cm="1">
        <f t="array" ref="EA42">IF('PBA Summary'!$D$2="","",_xll.ASAssetStatistic($A42,"Annual Outperformance vs Benchmark 1",'PBA Summary'!$D$2,,,"m",'PBA Summary'!$F$2,'PBA Summary'!$G$2))</f>
        <v>-0.13385237590316779</v>
      </c>
      <c r="EB42" s="16" cm="1">
        <f t="array" ref="EB42">IF('PBA Summary'!$D$3="","",_xll.ASAssetStatistic($A42,"Annual Outperformance vs Benchmark 1",'PBA Summary'!$D$3,,,"m",'PBA Summary'!$F$2,'PBA Summary'!$G$2))</f>
        <v>-0.13385237590316779</v>
      </c>
      <c r="EC42" s="32" cm="1">
        <f t="array" ref="EC42">_xll.ASAssetStatistic($A42,"Rachev Ratio 99%",,,,"m",'PBA Summary'!$F$2,'PBA Summary'!$G$2)</f>
        <v>3.3447239007475118</v>
      </c>
      <c r="ED42" s="32" cm="1">
        <f t="array" ref="ED42">_xll.ASAssetStatistic($A42,"Rachev Ratio 97%",,,,"m",'PBA Summary'!$F$2,'PBA Summary'!$G$2)</f>
        <v>3.3447239007475118</v>
      </c>
      <c r="EE42" s="32" cm="1">
        <f t="array" ref="EE42">_xll.ASAssetStatistic($A42,"Rachev Ratio 95%",,,,"m",'PBA Summary'!$F$2,'PBA Summary'!$G$2)</f>
        <v>3.3447239007475118</v>
      </c>
      <c r="EF42" s="32" cm="1">
        <f t="array" ref="EF42">_xll.ASAssetStatistic($A42,"Rachev Ratio 90%",,,,"m",'PBA Summary'!$F$2,'PBA Summary'!$G$2)</f>
        <v>2.6466920859584611</v>
      </c>
      <c r="EG42" s="34" cm="1">
        <f t="array" ref="EG42">IF('PBA Summary'!$D$2="","",_xll.ASAssetStatistic($A42,"Annual Up Capture vs Benchmark 1",'PBA Summary'!$D$2,,,"m",'PBA Summary'!$F$2,'PBA Summary'!$G$2))</f>
        <v>7.4709726500141294E-2</v>
      </c>
      <c r="EH42" s="34" cm="1">
        <f t="array" ref="EH42">IF('PBA Summary'!$D$3="","",_xll.ASAssetStatistic($A42,"Annual Up Capture vs Benchmark 1",'PBA Summary'!$D$3,,,"m",'PBA Summary'!$F$2,'PBA Summary'!$G$2))</f>
        <v>7.4709726500141294E-2</v>
      </c>
      <c r="EI42" s="34" cm="1">
        <f t="array" ref="EI42">IF('PBA Summary'!$D$2="","",_xll.ASAssetStatistic($A42,"Annual Down Capture vs Benchmark 1",'PBA Summary'!$D$2,,,"m",'PBA Summary'!$F$2,'PBA Summary'!$G$2))</f>
        <v>-9.7747953514562766E-2</v>
      </c>
      <c r="EJ42" s="34" cm="1">
        <f t="array" ref="EJ42">IF('PBA Summary'!$D$3="","",_xll.ASAssetStatistic($A42,"Annual Down Capture vs Benchmark 1",'PBA Summary'!$D$3,,,"m",'PBA Summary'!$F$2,'PBA Summary'!$G$2))</f>
        <v>-9.7747953514562766E-2</v>
      </c>
      <c r="EK42" s="16" cm="1">
        <f t="array" ref="EK42">IF('PBA Summary'!$D$2="","",_xll.ASAssetStatistic($A42,"Ann. Tracking Error vs Benchmark 1",'PBA Summary'!$D$2,,,"m",'PBA Summary'!$F$2,'PBA Summary'!$G$2))</f>
        <v>0.15435123222811653</v>
      </c>
      <c r="EL42" s="16" cm="1">
        <f t="array" ref="EL42">IF('PBA Summary'!$D$3="","",_xll.ASAssetStatistic($A42,"Ann. Tracking Error vs Benchmark 1",'PBA Summary'!$D$3,,,"m",'PBA Summary'!$F$2,'PBA Summary'!$G$2))</f>
        <v>0.15435123222811653</v>
      </c>
      <c r="EM42" s="16" cm="1">
        <f t="array" ref="EM42">IF('PBA Summary'!$D$2="","",_xll.ASAssetStatistic($A42,"Annual Jensen Alpha vs Benchmark 1 (Rf)",'PBA Summary'!$D$2,,,"m",'PBA Summary'!$F$2,'PBA Summary'!$G$2))</f>
        <v>3.6834777688560014E-2</v>
      </c>
      <c r="EN42" s="16" cm="1">
        <f t="array" ref="EN42">IF('PBA Summary'!$D$3="","",_xll.ASAssetStatistic($A42,"Annual Jensen Alpha vs Benchmark 1 (Rf)",'PBA Summary'!$D$3,,,"m",'PBA Summary'!$F$2,'PBA Summary'!$G$2))</f>
        <v>3.6834777688560014E-2</v>
      </c>
      <c r="EO42" s="33" cm="1">
        <f t="array" ref="EO42">IF('PBA Summary'!$D$2="","",_xll.ASAssetStatistic($A42,"Ann. Information Ratio vs Benchmark 1",'PBA Summary'!$D$2,,,"m",'PBA Summary'!$F$2,'PBA Summary'!$G$2))</f>
        <v>-0.867193439086684</v>
      </c>
      <c r="EP42" s="33" cm="1">
        <f t="array" ref="EP42">IF('PBA Summary'!$D$3="","",_xll.ASAssetStatistic($A42,"Ann. Information Ratio vs Benchmark 1",'PBA Summary'!$D$3,,,"m",'PBA Summary'!$F$2,'PBA Summary'!$G$2))</f>
        <v>-0.867193439086684</v>
      </c>
      <c r="EQ42" s="17" cm="1">
        <f t="array" ref="EQ42">IF('PBA Summary'!$D$2="","",_xll.ASAssetStatistic($A42,"Alpha Monthly vs Benchmark 1",'PBA Summary'!$D$2,,,"m",'PBA Summary'!$F$2,'PBA Summary'!$G$2))</f>
        <v>3.2238114115106134E-3</v>
      </c>
      <c r="ER42" s="17" cm="1">
        <f t="array" ref="ER42">IF('PBA Summary'!$D$3="","",_xll.ASAssetStatistic($A42,"Alpha Monthly vs Benchmark 1",'PBA Summary'!$D$3,,,"m",'PBA Summary'!$F$2,'PBA Summary'!$G$2))</f>
        <v>3.2238114115106134E-3</v>
      </c>
      <c r="ES42" s="11" t="str" cm="1">
        <f t="array" ref="ES42">_xll.ASAssetInfo($A42,"Company AUM (m)")</f>
        <v/>
      </c>
      <c r="ET42" s="16" cm="1">
        <f t="array" ref="ET42">_xll.ASAssetStatistic($A42,"Exponential Annualized Volatility",,,,"m",'PBA Summary'!$F$2,'PBA Summary'!$G$2)</f>
        <v>3.483798670846425E-3</v>
      </c>
      <c r="EU42" s="16" cm="1">
        <f t="array" ref="EU42">_xll.ASAssetStatistic($A42,"Exponential Annualized Volatility Last 1 year",,,,"m",'PBA Summary'!$F$2,'PBA Summary'!$G$2)</f>
        <v>3.5068734747154416E-3</v>
      </c>
      <c r="EV42" s="16" t="str" cm="1">
        <f t="array" ref="EV42">_xll.ASAssetStatistic($A42,"Exponential Annualized Volatility Last 3 years",,,,"m",'PBA Summary'!$F$2,'PBA Summary'!$G$2)</f>
        <v/>
      </c>
      <c r="EW42" s="34" cm="1">
        <f t="array" ref="EW42">IF('PBA Summary'!$D$2="","",_xll.ASAssetStatistic($A42,"Exponential Correlation to Benchmark 1",'PBA Summary'!$D$2,,,"m",'PBA Summary'!$F$2,'PBA Summary'!$G$2))</f>
        <v>-0.12438484574811823</v>
      </c>
      <c r="EX42" s="34" cm="1">
        <f t="array" ref="EX42">IF('PBA Summary'!$D$3="","",_xll.ASAssetStatistic($A42,"Exponential Correlation to Benchmark 1",'PBA Summary'!$D$3,,,"m",'PBA Summary'!$F$2,'PBA Summary'!$G$2))</f>
        <v>-0.12438484574811823</v>
      </c>
      <c r="EY42" s="34" cm="1">
        <f t="array" ref="EY42">_xll.ASAssetStatistic($A42,"Exponential Annual Sharpe Ratio (Rf)",,,,"m",'PBA Summary'!$F$2,'PBA Summary'!$G$2)</f>
        <v>9.9897239413431649</v>
      </c>
      <c r="EZ42" s="34" cm="1">
        <f t="array" ref="EZ42">_xll.ASAssetStatistic($A42,"Exponential Normal Monthly VaR 99%",,,,"m",'PBA Summary'!$F$2,'PBA Summary'!$G$2)</f>
        <v>7.1702729187052847E-4</v>
      </c>
      <c r="FA42" s="34" cm="1">
        <f t="array" ref="FA42">_xll.ASAssetStatistic($A42,"Exponential Normal Monthly VaR 97%",,,,"m",'PBA Summary'!$F$2,'PBA Summary'!$G$2)</f>
        <v>1.1651150016862763E-3</v>
      </c>
      <c r="FB42" s="34" cm="1">
        <f t="array" ref="FB42">_xll.ASAssetStatistic($A42,"Exponential Normal Monthly VaR 95%",,,,"m",'PBA Summary'!$F$2,'PBA Summary'!$G$2)</f>
        <v>1.4023965494651893E-3</v>
      </c>
      <c r="FC42" s="34" cm="1">
        <f t="array" ref="FC42">_xll.ASAssetStatistic($A42,"Exponential Normal Monthly VaR 90%",,,,"m",'PBA Summary'!$F$2,'PBA Summary'!$G$2)</f>
        <v>1.7677643646338257E-3</v>
      </c>
      <c r="FD42" s="34" t="str" cm="1">
        <f t="array" ref="FD42">_xll.ASAssetStatistic($A42,"Exponential Normal weekly VaR 99%",,,,"m",'PBA Summary'!$F$2,'PBA Summary'!$G$2)</f>
        <v/>
      </c>
      <c r="FE42" s="34" t="str" cm="1">
        <f t="array" ref="FE42">_xll.ASAssetStatistic($A42,"Exponential Normal weekly VaR 97%",,,,"m",'PBA Summary'!$F$2,'PBA Summary'!$G$2)</f>
        <v/>
      </c>
      <c r="FF42" s="34" t="str" cm="1">
        <f t="array" ref="FF42">_xll.ASAssetStatistic($A42,"Exponential Normal weekly VaR 95%",,,,"m",'PBA Summary'!$F$2,'PBA Summary'!$G$2)</f>
        <v/>
      </c>
      <c r="FG42" s="34" t="str" cm="1">
        <f t="array" ref="FG42">_xll.ASAssetStatistic($A42,"Exponential Normal weekly VaR 90%",,,,"m",'PBA Summary'!$F$2,'PBA Summary'!$G$2)</f>
        <v/>
      </c>
      <c r="FH42" s="34" t="str" cm="1">
        <f t="array" ref="FH42">_xll.ASAssetStatistic($A42,"Exponential Normal daily VaR 99%",,,,"m",'PBA Summary'!$F$2,'PBA Summary'!$G$2)</f>
        <v/>
      </c>
      <c r="FI42" s="34" t="str" cm="1">
        <f t="array" ref="FI42">_xll.ASAssetStatistic($A42,"Exponential Normal daily VaR 97%",,,,"m",'PBA Summary'!$F$2,'PBA Summary'!$G$2)</f>
        <v/>
      </c>
      <c r="FJ42" s="34" t="str" cm="1">
        <f t="array" ref="FJ42">_xll.ASAssetStatistic($A42,"Exponential Normal daily VaR 95%",,,,"m",'PBA Summary'!$F$2,'PBA Summary'!$G$2)</f>
        <v/>
      </c>
      <c r="FK42" s="34" t="str" cm="1">
        <f t="array" ref="FK42">_xll.ASAssetStatistic($A42,"Exponential Normal daily VaR 90%",,,,"m",'PBA Summary'!$F$2,'PBA Summary'!$G$2)</f>
        <v/>
      </c>
      <c r="FL42" s="34" cm="1">
        <f t="array" ref="FL42">_xll.ASAssetStatistic($A42,"Bias Ratio",,,,"m",'PBA Summary'!$F$2,'PBA Summary'!$G$2)</f>
        <v>0</v>
      </c>
      <c r="FM42" s="11" t="str" cm="1">
        <f t="array" ref="FM42">_xll.ASAssetInfo($A42,"Manager's Biography")</f>
        <v/>
      </c>
      <c r="FN42" s="11" cm="1">
        <f t="array" ref="FN42">_xll.ASAssetInfo($A42,"Investment Min")</f>
        <v>100000</v>
      </c>
      <c r="FO42" s="11" t="str" cm="1">
        <f t="array" ref="FO42">_xll.ASAssetInfo($A42,"Auditor")</f>
        <v>PricewaterhouseCoopers</v>
      </c>
      <c r="FP42" s="11" t="str" cm="1">
        <f t="array" ref="FP42">_xll.ASAssetInfo($A42,"Custodian")</f>
        <v>Societe Generale International Ltd</v>
      </c>
      <c r="FQ42" s="11" t="str" cm="1">
        <f t="array" ref="FQ42">_xll.ASAssetInfo($A42,"Administrator")</f>
        <v>Apex Fund Services Ltd</v>
      </c>
      <c r="FR42" s="14" t="str" cm="1">
        <f t="array" ref="FR42">_xll.ASAssetInfo($A42,"Proxy 1 Start Date")</f>
        <v/>
      </c>
      <c r="FS42" s="14" t="str" cm="1">
        <f t="array" ref="FS42">_xll.ASAssetInfo($A42,"Proxy 1 End Date")</f>
        <v/>
      </c>
      <c r="FT42" s="14" t="str" cm="1">
        <f t="array" ref="FT42">_xll.ASAssetInfo($A42,"Proxy 2 Start Date")</f>
        <v/>
      </c>
      <c r="FU42" s="14" t="str" cm="1">
        <f t="array" ref="FU42">_xll.ASAssetInfo($A42,"Proxy 2 End Date")</f>
        <v/>
      </c>
      <c r="FV42" s="14" t="str" cm="1">
        <f t="array" ref="FV42">_xll.ASAssetInfo($A42,"Proxy 3 Start Date")</f>
        <v/>
      </c>
      <c r="FW42" s="14" t="str" cm="1">
        <f t="array" ref="FW42">_xll.ASAssetInfo($A42,"Proxy 3 End Date")</f>
        <v/>
      </c>
      <c r="FX42" s="14" t="str" cm="1">
        <f t="array" ref="FX42">_xll.ASAssetInfo($A42,"Fund Domicile")</f>
        <v>KY</v>
      </c>
      <c r="FY42" s="14" t="str" cm="1">
        <f t="array" ref="FY42">_xll.ASAssetInfo($A42,"Fund Contact")</f>
        <v/>
      </c>
      <c r="FZ42" s="14" t="str" cm="1">
        <f t="array" ref="FZ42">_xll.ASAssetInfo($A42,"Fund Contact Email")</f>
        <v/>
      </c>
      <c r="GA42" s="14" t="str" cm="1">
        <f t="array" ref="GA42">_xll.ASAssetInfo($A42,"Fund Contact Number")</f>
        <v/>
      </c>
      <c r="GB42" s="14" t="str" cm="1">
        <f t="array" ref="GB42">_xll.ASAssetInfo($A42,"City")</f>
        <v>Singapore</v>
      </c>
      <c r="GC42" s="14" t="str" cm="1">
        <f t="array" ref="GC42">_xll.ASAssetInfo($A42,"Leverage")</f>
        <v>N</v>
      </c>
      <c r="GD42" s="14" t="str" cm="1">
        <f t="array" ref="GD42">_xll.ASAssetInfo($A42,"Lockup 1 Duration")</f>
        <v>0 Months</v>
      </c>
      <c r="GE42" s="14" t="str" cm="1">
        <f t="array" ref="GE42">_xll.ASAssetInfo($A42,"Lockup 2 Duration")</f>
        <v>0 Months</v>
      </c>
      <c r="GF42" s="14" t="str" cm="1">
        <f t="array" ref="GF42">_xll.ASAssetInfo($A42,"Lockup 3 Duration")</f>
        <v>0 Months</v>
      </c>
      <c r="GG42" s="31" t="str" cm="1">
        <f t="array" ref="GG42">_xll.ASAssetInfo($A42,"Fund Level Gate")</f>
        <v/>
      </c>
      <c r="GH42" s="31" t="str" cm="1">
        <f t="array" ref="GH42">_xll.ASAssetInfo($A42,"Fund Level Gate Frequency")</f>
        <v>Unknown</v>
      </c>
      <c r="GI42" s="35" cm="1">
        <f t="array" ref="GI42">_xll.ASAssetInfo($A42,"Payment 2 (%)")</f>
        <v>0</v>
      </c>
      <c r="GJ42" s="35" t="str" cm="1">
        <f t="array" ref="GJ42">_xll.ASAssetInfo($A42,"Payment 2 (days)")</f>
        <v/>
      </c>
      <c r="GK42" s="35" t="str" cm="1">
        <f t="array" ref="GK42">_xll.ASAssetInfo($A42,"Payment 2 (Paid After)")</f>
        <v>NAV Date</v>
      </c>
      <c r="GL42" s="35" cm="1">
        <f t="array" ref="GL42">_xll.ASAssetInfo($A42,"Payment 3 (%)")</f>
        <v>0</v>
      </c>
      <c r="GM42" s="36" t="str" cm="1">
        <f t="array" ref="GM42">_xll.ASAssetInfo($A42,"Payment 3 (Days)")</f>
        <v/>
      </c>
      <c r="GN42" s="35" t="str" cm="1">
        <f t="array" ref="GN42">_xll.ASAssetInfo($A42,"Payment 3 (Paid After)")</f>
        <v>NAV Date</v>
      </c>
      <c r="GO42" s="35" cm="1">
        <f t="array" ref="GO42">_xll.ASAssetInfo($A42,"Payment 4 (%)")</f>
        <v>0</v>
      </c>
      <c r="GP42" s="36" t="str" cm="1">
        <f t="array" ref="GP42">_xll.ASAssetInfo($A42,"Payment 4 (days)")</f>
        <v/>
      </c>
      <c r="GQ42" s="35" t="str" cm="1">
        <f t="array" ref="GQ42">_xll.ASAssetInfo($A42,"Payment 4 (Paid After)")</f>
        <v>NAV Date</v>
      </c>
      <c r="GR42" s="11" cm="1">
        <f t="array" ref="GR42">_xll.ASAssetInfo($A42,"Payment 1 (%)")</f>
        <v>1</v>
      </c>
      <c r="GS42" s="35" cm="1">
        <f t="array" ref="GS42">_xll.ASAssetInfo($A42,"Lockup 1 Fee")</f>
        <v>0</v>
      </c>
      <c r="GT42" s="35" cm="1">
        <f t="array" ref="GT42">_xll.ASAssetInfo($A42,"Lockup 2 Fee")</f>
        <v>0</v>
      </c>
      <c r="GU42" s="35" cm="1">
        <f t="array" ref="GU42">_xll.ASAssetInfo($A42,"Lockup 3 Fee")</f>
        <v>0</v>
      </c>
      <c r="GV42" s="35" t="str" cm="1">
        <f t="array" ref="GV42">_xll.ASAssetInfo($A42,"Lockup 1 type")</f>
        <v>None</v>
      </c>
      <c r="GW42" s="35" t="str" cm="1">
        <f t="array" ref="GW42">_xll.ASAssetInfo($A42,"Lockup 2 type")</f>
        <v>None</v>
      </c>
      <c r="GX42" s="35" t="str" cm="1">
        <f t="array" ref="GX42">_xll.ASAssetInfo($A42,"Lockup 3 type")</f>
        <v>None</v>
      </c>
      <c r="GY42" s="35" t="str" cm="1">
        <f t="array" ref="GY42">_xll.ASAssetInfo($A42,"Redemption 1 type")</f>
        <v>Calendar</v>
      </c>
      <c r="GZ42" s="35" t="str" cm="1">
        <f t="array" ref="GZ42">_xll.ASAssetInfo($A42,"Redemption 2 type")</f>
        <v>Calendar</v>
      </c>
      <c r="HA42" s="35" t="str" cm="1">
        <f t="array" ref="HA42">_xll.ASAssetInfo($A42,"Redemption 3 type")</f>
        <v>Calendar</v>
      </c>
      <c r="HB42" s="35" t="str" cm="1">
        <f t="array" ref="HB42">_xll.ASAssetInfo($A42,"Redemption 1 Fee")</f>
        <v/>
      </c>
      <c r="HC42" s="35" t="str" cm="1">
        <f t="array" ref="HC42">_xll.ASAssetInfo($A42,"Redemption 2 Fee")</f>
        <v/>
      </c>
      <c r="HD42" s="35" t="str" cm="1">
        <f t="array" ref="HD42">_xll.ASAssetInfo($A42,"Redemption 3 Fee")</f>
        <v/>
      </c>
      <c r="HE42" s="35" t="str" cm="1">
        <f t="array" ref="HE42">_xll.ASAssetInfo($A42,"Redemption 1 Frequency")</f>
        <v>Monthly</v>
      </c>
      <c r="HF42" s="35" t="str" cm="1">
        <f t="array" ref="HF42">_xll.ASAssetInfo($A42,"Redemption 2 Frequency")</f>
        <v>Unknown</v>
      </c>
      <c r="HG42" s="35" t="str" cm="1">
        <f t="array" ref="HG42">_xll.ASAssetInfo($A42,"Redemption 3 Frequency")</f>
        <v>Unknown</v>
      </c>
      <c r="HH42" s="35" t="str" cm="1">
        <f t="array" ref="HH42">_xll.ASAssetInfo($A42,"Asset Calendar")</f>
        <v>[Default]</v>
      </c>
      <c r="HI42" s="16" cm="1">
        <f t="array" ref="HI42">_xll.ASAssetStatistic($A42,"Max Second Drawdown",,,,"m",'PBA Summary'!$F$2,'PBA Summary'!$G$2)</f>
        <v>0</v>
      </c>
      <c r="HJ42" s="37" t="str" cm="1">
        <f t="array" ref="HJ42">_xll.ASAssetStatistic($A42,"Date Max Second Drawdown",,,,"m",'PBA Summary'!$F$2,'PBA Summary'!$G$2)</f>
        <v/>
      </c>
      <c r="HK42" s="37"/>
      <c r="HL42" s="37" t="str" cm="1">
        <f t="array" ref="HL42">_xll.ASAssetInfo($A42,HL$1)</f>
        <v/>
      </c>
      <c r="HM42" s="34" t="str" cm="1">
        <f t="array" ref="HM42">_xll.ASAssetInfo($A42,HM$1)</f>
        <v/>
      </c>
      <c r="HN42" s="37" t="str" cm="1">
        <f t="array" ref="HN42">_xll.ASAssetInfo($A42,HN$1)</f>
        <v/>
      </c>
      <c r="HO42" s="15" cm="1">
        <f t="array" ref="HO42">_xll.ASAssetInfo($A42,HO$1)</f>
        <v>0</v>
      </c>
      <c r="HP42" s="15" t="str" cm="1">
        <f t="array" ref="HP42">_xll.ASAssetInfo($A42,HP$1)</f>
        <v/>
      </c>
      <c r="HQ42" s="34" t="str" cm="1">
        <f t="array" ref="HQ42">_xll.ASAssetInfo($A42,HQ$1)</f>
        <v/>
      </c>
      <c r="HR42" s="37" t="str" cm="1">
        <f t="array" ref="HR42">_xll.ASAssetInfo($A42,HR$1)</f>
        <v/>
      </c>
      <c r="HS42" s="37" t="str" cm="1">
        <f t="array" ref="HS42">_xll.ASAssetInfo($A42,HS$1)</f>
        <v/>
      </c>
      <c r="HT42" s="37" t="str" cm="1">
        <f t="array" ref="HT42">_xll.ASAssetInfo($A42,HT$1)</f>
        <v/>
      </c>
      <c r="HU42" s="37" t="str" cm="1">
        <f t="array" ref="HU42">_xll.ASAssetInfo($A42,HU$1)</f>
        <v>Global</v>
      </c>
      <c r="HV42" s="37" t="str" cm="1">
        <f t="array" ref="HV42">_xll.ASAssetInfo($A42,HV$1)</f>
        <v/>
      </c>
      <c r="HW42" s="37" t="str" cm="1">
        <f t="array" ref="HW42">_xll.ASAssetInfo($A42,HW$1)</f>
        <v/>
      </c>
    </row>
    <row r="43" spans="1:231" s="11" customFormat="1" ht="45" x14ac:dyDescent="0.25">
      <c r="A43" t="s">
        <v>307</v>
      </c>
      <c r="B43" cm="1">
        <f t="array" ref="B43">_xll.ASPortfolioWeights('PBA Summary'!$C$2,"OR",$A43)</f>
        <v>0.1000001079392899</v>
      </c>
      <c r="C43" cm="1">
        <f t="array" ref="C43">_xll.ASAssetStatistic($A43,"Annualized Return since inception",,,,"m",_xll.ASAssetInfo($A43,"Start Date"),_xll.ASAssetInfo($A43,"Last Return Date"))</f>
        <v>6.1066108711698597E-2</v>
      </c>
      <c r="D43" cm="1">
        <f t="array" ref="D43">_xll.ASAssetStatistic($A43,"Annualized Return",,,,"m",'PBA Summary'!$F$2,'PBA Summary'!$G$2)</f>
        <v>7.5848700742525477E-2</v>
      </c>
      <c r="E43" s="19" cm="1">
        <f t="array" ref="E43">_xll.ASAssetStatistic($A43,"Equilibrium Annual Return",,,,"m",'PBA Summary'!$F$2,'PBA Summary'!$G$2)</f>
        <v>7.3425471400235365E-2</v>
      </c>
      <c r="F43" cm="1">
        <f t="array" ref="F43">_xll.ASAssetStatistic($A43,"Annualized Volatility (Inception)",,,,"m",_xll.ASAssetInfo($A43,"Start Date"),_xll.ASAssetInfo($A43,"Last Return Date"))</f>
        <v>1.0193734300825628E-2</v>
      </c>
      <c r="G43" cm="1">
        <f t="array" ref="G43">_xll.ASAssetStatistic($A43,"Annualized Volatility",,,,"m",'PBA Summary'!$F$2,'PBA Summary'!$G$2)</f>
        <v>1.0670710976264699E-2</v>
      </c>
      <c r="H43" s="20" cm="1">
        <f t="array" ref="H43">_xll.ASAssetStatistic($A43,"Skewness",,,,"m",'PBA Summary'!$F$2,'PBA Summary'!$G$2)</f>
        <v>7.037628101347608E-2</v>
      </c>
      <c r="I43" s="20" cm="1">
        <f t="array" ref="I43">_xll.ASAssetStatistic($A43,"Excess kurtosis",,,,"m",'PBA Summary'!$F$2,'PBA Summary'!$G$2)</f>
        <v>-0.53834306717999392</v>
      </c>
      <c r="J43" s="19" cm="1">
        <f t="array" ref="J43">_xll.ASAssetStatistic($A43,"Return Last 1 month",,,,"m",'PBA Summary'!$F$2,'PBA Summary'!$G$2)</f>
        <v>8.0303484004380365E-3</v>
      </c>
      <c r="K43" s="19" cm="1">
        <f t="array" ref="K43">_xll.ASAssetStatistic($A43,"Return Last 3 months",,,,"m",'PBA Summary'!$F$2,'PBA Summary'!$G$2)</f>
        <v>1.5690270088341896E-2</v>
      </c>
      <c r="L43" s="19" cm="1">
        <f t="array" ref="L43">_xll.ASAssetStatistic($A43,"Return Last 1 year",,,,"m",'PBA Summary'!$F$2,'PBA Summary'!$G$2)</f>
        <v>7.4179935541250908E-2</v>
      </c>
      <c r="M43" s="19" cm="1">
        <f t="array" ref="M43">_xll.ASAssetStatistic($A43,"Year-to-date Return",,,,"m",'PBA Summary'!$F$2,'PBA Summary'!$G$2)</f>
        <v>8.0303484004380365E-3</v>
      </c>
      <c r="N43" s="19" cm="1">
        <f t="array" ref="N43">_xll.ASAssetStatistic($A43,"Annualized Return",,,,"m",EOMONTH('PBA Summary'!$G$2,-2),'PBA Summary'!$G$2)</f>
        <v>6.4253699222804661E-2</v>
      </c>
      <c r="O43" s="19" t="str" cm="1">
        <f t="array" ref="O43">_xll.ASAssetStatistic($A43,"Annualized Return Last 3 years",,,,"m",'PBA Summary'!$F$2,'PBA Summary'!$G$2)</f>
        <v/>
      </c>
      <c r="P43" s="19" t="str" cm="1">
        <f t="array" ref="P43">_xll.ASAssetStatistic($A43,"Annualized Return Last 5 years",,,,"m",'PBA Summary'!$F$2,'PBA Summary'!$G$2)</f>
        <v/>
      </c>
      <c r="Q43" s="19" cm="1">
        <f t="array" ref="Q43">_xll.ASAssetStatistic($A43,"Annualized Volatility Last 1 year",,,,"m",'PBA Summary'!$F$2,'PBA Summary'!$G$2)</f>
        <v>1.156903967422802E-2</v>
      </c>
      <c r="R43" s="19" t="str" cm="1">
        <f t="array" ref="R43">_xll.ASAssetStatistic($A43,"Annualized Volatility Last 3 years",,,,"m",'PBA Summary'!$F$2,'PBA Summary'!$G$2)</f>
        <v/>
      </c>
      <c r="S43" s="19" t="str" cm="1">
        <f t="array" ref="S43">_xll.ASAssetStatistic($A43,"Annualized Volatility Last 5 years",,,,"m",'PBA Summary'!$F$2,'PBA Summary'!$G$2)</f>
        <v/>
      </c>
      <c r="T43" s="19" cm="1">
        <f t="array" ref="T43">_xll.ASAssetStatistic($A43,"Normal monthly VaR 99%",,,,"m",'PBA Summary'!$F$2,'PBA Summary'!$G$2)</f>
        <v>-1.0505255461050276E-3</v>
      </c>
      <c r="U43" s="19" cm="1">
        <f t="array" ref="U43">_xll.ASAssetStatistic($A43,"Modified monthly VaR 99%",,,,"m",'PBA Summary'!$F$2,'PBA Summary'!$G$2)</f>
        <v>-4.9768950670367722E-4</v>
      </c>
      <c r="V43" s="19" cm="1">
        <f t="array" ref="V43">_xll.ASAssetStatistic($A43,"Conditional monthly VaR 99%",,,,"m",'PBA Summary'!$F$2,'PBA Summary'!$G$2)</f>
        <v>4.6592094565256481E-4</v>
      </c>
      <c r="W43" s="19" cm="1">
        <f t="array" ref="W43">_xll.ASAssetStatistic($A43,"Normal monthly VaR 97%",,,,"m",'PBA Summary'!$F$2,'PBA Summary'!$G$2)</f>
        <v>3.2194596996525104E-4</v>
      </c>
      <c r="X43" s="19" cm="1">
        <f t="array" ref="X43">_xll.ASAssetStatistic($A43,"Modified monthly VaR 97%",,,,"m",'PBA Summary'!$F$2,'PBA Summary'!$G$2)</f>
        <v>4.8511309481334176E-4</v>
      </c>
      <c r="Y43" s="19" cm="1">
        <f t="array" ref="Y43">_xll.ASAssetStatistic($A43,"Conditional monthly VaR 97%",,,,"m",'PBA Summary'!$F$2,'PBA Summary'!$G$2)</f>
        <v>4.6592094565256481E-4</v>
      </c>
      <c r="Z43" s="19" cm="1">
        <f t="array" ref="Z43">_xll.ASAssetStatistic($A43,"Normal monthly VaR 95%",,,,"m",'PBA Summary'!$F$2,'PBA Summary'!$G$2)</f>
        <v>1.0487281567597463E-3</v>
      </c>
      <c r="AA43" s="19" cm="1">
        <f t="array" ref="AA43">_xll.ASAssetStatistic($A43,"Modified monthly VaR 95%",,,,"m",'PBA Summary'!$F$2,'PBA Summary'!$G$2)</f>
        <v>1.077171759759697E-3</v>
      </c>
      <c r="AB43" s="19" cm="1">
        <f t="array" ref="AB43">_xll.ASAssetStatistic($A43,"Conditional monthly VaR 95%",,,,"m",'PBA Summary'!$F$2,'PBA Summary'!$G$2)</f>
        <v>4.6592094565256481E-4</v>
      </c>
      <c r="AC43" s="66" cm="1">
        <f t="array" ref="AC43">_xll.ASAssetStatistic($A43,"Correlation to Benchmark 1","MSCI ACWI Index",,,"m",'PBA Summary'!$F$2,'PBA Summary'!$G$2)</f>
        <v>0.22855029280977504</v>
      </c>
      <c r="AD43" s="38" cm="1">
        <f t="array" ref="AD43">IF('PBA Summary'!$D$3="","",_xll.ASAssetStatistic($A43,"Correlation to Benchmark 1",'PBA Summary'!$D$3,,,"m",'PBA Summary'!$F$2,'PBA Summary'!$G$2))</f>
        <v>0.2301299239436696</v>
      </c>
      <c r="AE43" s="21" cm="1">
        <f t="array" ref="AE43">IF('PBA Summary'!$D$2="","",_xll.ASAssetStatistic($A43,"Bull correlation to Benchmark 1",'PBA Summary'!$D$2,,,"m",'PBA Summary'!$F$2,'PBA Summary'!$G$2))</f>
        <v>0.16345356019188567</v>
      </c>
      <c r="AF43" s="21" cm="1">
        <f t="array" ref="AF43">IF('PBA Summary'!$D$2="","",_xll.ASAssetStatistic($A43,"Bear correlation to Benchmark 1",'PBA Summary'!$D$2,,,"m",'PBA Summary'!$F$2,'PBA Summary'!$G$2))</f>
        <v>-8.3687770718480714E-2</v>
      </c>
      <c r="AG43" s="21" cm="1">
        <f t="array" ref="AG43">IF('PBA Summary'!$D$3="","",_xll.ASAssetStatistic($A43,"Bull correlation to Benchmark 1",'PBA Summary'!$D$3,,,"m",'PBA Summary'!$F$2,'PBA Summary'!$G$2))</f>
        <v>0.16345356019188567</v>
      </c>
      <c r="AH43" s="21" cm="1">
        <f t="array" ref="AH43">IF('PBA Summary'!$D$3="","",_xll.ASAssetStatistic($A43,"Bear correlation to Benchmark 1",'PBA Summary'!$D$3,,,"m",'PBA Summary'!$F$2,'PBA Summary'!$G$2))</f>
        <v>-8.3687770718480714E-2</v>
      </c>
      <c r="AI43" s="24" cm="1">
        <f t="array" ref="AI43">IF('PBA Summary'!$D$2="","",_xll.ASAssetStatistic($A43,"Beta to Benchmark 1",'PBA Summary'!$D$2,,,"m",'PBA Summary'!$F$2,'PBA Summary'!$G$2))</f>
        <v>1.5995218728070294E-2</v>
      </c>
      <c r="AJ43" s="24" t="str" cm="1">
        <f t="array" ref="AJ43">IF('PBA Summary'!$D$2="","",_xll.ASAssetStatistic($A43,"Beta to Benchmark 1 Last 3 years",'PBA Summary'!$D$2,,,"m",'PBA Summary'!$F$2,'PBA Summary'!$G$2))</f>
        <v/>
      </c>
      <c r="AK43" s="24" t="str" cm="1">
        <f t="array" ref="AK43">IF('PBA Summary'!$D$2="","",_xll.ASAssetStatistic($A43,"Beta to Benchmark 1 Last 5 years",'PBA Summary'!$D$2,,,"m",'PBA Summary'!$F$2,'PBA Summary'!$G$2))</f>
        <v/>
      </c>
      <c r="AL43" s="25" cm="1">
        <f t="array" ref="AL43">IF('PBA Summary'!$D$3="","",_xll.ASAssetStatistic($A43,"Beta to Benchmark 1",'PBA Summary'!$D$3,,,"m",'PBA Summary'!$F$2,'PBA Summary'!$G$2))</f>
        <v>1.5995218728070294E-2</v>
      </c>
      <c r="AM43" s="25" t="str" cm="1">
        <f t="array" ref="AM43">IF('PBA Summary'!$D$3="","",_xll.ASAssetStatistic($A43,"Beta to Benchmark 1 Last 3 years",'PBA Summary'!$D$3,,,"m",'PBA Summary'!$F$2,'PBA Summary'!$G$2))</f>
        <v/>
      </c>
      <c r="AN43" s="25" t="str" cm="1">
        <f t="array" ref="AN43">IF('PBA Summary'!$D$3="","",_xll.ASAssetStatistic($A43,"Beta to Benchmark 1 Last 5 years",'PBA Summary'!$D$3,,,"m",'PBA Summary'!$F$2,'PBA Summary'!$G$2))</f>
        <v/>
      </c>
      <c r="AO43" s="25" cm="1">
        <f t="array" ref="AO43">IF('PBA Summary'!$D$2="","",_xll.ASAssetStatistic($A43,"Bull Beta to Benchmark 1",'PBA Summary'!$D$2,,,"m",'PBA Summary'!$F$2,'PBA Summary'!$G$2))</f>
        <v>2.3244563385204794E-2</v>
      </c>
      <c r="AP43" s="25" cm="1">
        <f t="array" ref="AP43">IF('PBA Summary'!$D$2="","",_xll.ASAssetStatistic($A43,"Bear Beta to Benchmark 1",'PBA Summary'!$D$2,,,"m",'PBA Summary'!$F$2,'PBA Summary'!$G$2))</f>
        <v>-6.4087201657050275E-3</v>
      </c>
      <c r="AQ43" s="25" cm="1">
        <f t="array" ref="AQ43">IF('PBA Summary'!$D$3="","",_xll.ASAssetStatistic($A43,"Bull Beta to Benchmark 1",'PBA Summary'!$D$3,,,"m",'PBA Summary'!$F$2,'PBA Summary'!$G$2))</f>
        <v>2.3244563385204794E-2</v>
      </c>
      <c r="AR43" s="25" cm="1">
        <f t="array" ref="AR43">IF('PBA Summary'!$D$3="","",_xll.ASAssetStatistic($A43,"Bear Beta to Benchmark 1",'PBA Summary'!$D$3,,,"m",'PBA Summary'!$F$2,'PBA Summary'!$G$2))</f>
        <v>-6.4087201657050275E-3</v>
      </c>
      <c r="AS43" s="25" cm="1">
        <f t="array" ref="AS43">_xll.ASAssetStatistic($A43,"Annual Sharpe Ratio (Rf)",,,'PBA Summary'!$H$2,"m",'PBA Summary'!$F$2,'PBA Summary'!$G$2)</f>
        <v>6.8738344526131394</v>
      </c>
      <c r="AT43" s="25" t="str" cm="1">
        <f t="array" ref="AT43">_xll.ASAssetStatistic($A43,"Annual Sharpe Ratio (Rf) Last 3 years",,,'PBA Summary'!$H$2,"m",'PBA Summary'!$F$2,'PBA Summary'!$G$2)</f>
        <v/>
      </c>
      <c r="AU43" s="25" t="str" cm="1">
        <f t="array" ref="AU43">_xll.ASAssetStatistic($A43,"Annual Sharpe Ratio (Rf) Last 5 years",,,'PBA Summary'!$H$2,"m",'PBA Summary'!$F$2,'PBA Summary'!$G$2)</f>
        <v/>
      </c>
      <c r="AV43" s="18" cm="1">
        <f t="array" ref="AV43">_xll.ASAssetStatistic($A43,"Ann. Downside Deviation (vs 0%)",,,'PBA Summary'!$H$2,"m",'PBA Summary'!$F$2,'PBA Summary'!$G$2)</f>
        <v>0</v>
      </c>
      <c r="AW43" s="18" cm="1">
        <f t="array" ref="AW43">_xll.ASAssetStatistic($A43,"Ann. Downside Deviation (vs Rf)",,,'PBA Summary'!$H$2,"m",'PBA Summary'!$F$2,'PBA Summary'!$G$2)</f>
        <v>0</v>
      </c>
      <c r="AX43" s="39" cm="1">
        <f t="array" ref="AX43">_xll.ASAssetStatistic($A43,"Annual Treynor ratio",,,'PBA Summary'!$H$2,"m",'PBA Summary'!$F$2,'PBA Summary'!$G$2)</f>
        <v>-1.4553719400670935</v>
      </c>
      <c r="AY43" s="26" t="str" cm="1">
        <f t="array" ref="AY43">_xll.ASAssetStatistic($A43,"Annual Sortino Ratio (vs 0%)",,,'PBA Summary'!$H$2,"m",'PBA Summary'!$F$2,'PBA Summary'!$G$2)</f>
        <v/>
      </c>
      <c r="AZ43" s="26" t="str" cm="1">
        <f t="array" ref="AZ43">_xll.ASAssetStatistic($A43,"Annual Sortino Ratio (vs Rf)",,,'PBA Summary'!$H$2,"m",'PBA Summary'!$F$2,'PBA Summary'!$G$2)</f>
        <v/>
      </c>
      <c r="BA43" s="26" cm="1">
        <f t="array" ref="BA43">_xll.ASAssetStatistic($A43,"Sterling ratio",,,'PBA Summary'!$H$2,"m",'PBA Summary'!$F$2,'PBA Summary'!$G$2)</f>
        <v>0.75848700742525477</v>
      </c>
      <c r="BB43" s="26" t="str" cm="1">
        <f t="array" ref="BB43">_xll.ASAssetStatistic($A43,"Calmar ratio",,,'PBA Summary'!$H$2,"m",'PBA Summary'!$F$2,'PBA Summary'!$G$2)</f>
        <v/>
      </c>
      <c r="BC43" s="26" cm="1">
        <f t="array" ref="BC43">_xll.ASAssetStatistic($A43,"Hurst index",,,'PBA Summary'!$H$2,"m",'PBA Summary'!$F$2,'PBA Summary'!$G$2)</f>
        <v>0.46890698858601249</v>
      </c>
      <c r="BD43" s="26" t="str" cm="1">
        <f t="array" ref="BD43">_xll.ASAssetStatistic($A43,"Omega (Threshold 1)",,,'PBA Summary'!$H$2,"m",'PBA Summary'!$F$2,'PBA Summary'!$G$2)</f>
        <v/>
      </c>
      <c r="BE43" s="26" cm="1">
        <f t="array" ref="BE43">_xll.ASAssetStatistic($A43,"Omega (Threshold 2)",,,'PBA Summary'!$H$2,"m",'PBA Summary'!$F$2,'PBA Summary'!$G$2)</f>
        <v>2.6335473789005865</v>
      </c>
      <c r="BF43" s="26" cm="1">
        <f t="array" ref="BF43">_xll.ASAssetStatistic($A43,"Omega (Threshold 3)",,,'PBA Summary'!$H$2,"m",'PBA Summary'!$F$2,'PBA Summary'!$G$2)</f>
        <v>3.2023522501987527E-2</v>
      </c>
      <c r="BG43" s="26" cm="1">
        <f t="array" ref="BG43">_xll.ASAssetStatistic($A43,"Omega (Threshold 4)",,,'PBA Summary'!$H$2,"m",'PBA Summary'!$F$2,'PBA Summary'!$G$2)</f>
        <v>0</v>
      </c>
      <c r="BH43" s="26" cm="1">
        <f t="array" ref="BH43">_xll.ASAssetStatistic($A43,"Omega (Threshold 5)",,,'PBA Summary'!$H$2,"m",'PBA Summary'!$F$2,'PBA Summary'!$G$2)</f>
        <v>0</v>
      </c>
      <c r="BI43" s="26" t="str" cm="1">
        <f t="array" ref="BI43">_xll.ASAssetStatistic($A43,"Autocorrelated (illiquid)",,,'PBA Summary'!$H$2,"m",'PBA Summary'!$F$2,'PBA Summary'!$G$2)</f>
        <v>Yes</v>
      </c>
      <c r="BJ43" s="27" t="str" cm="1">
        <f t="array" ref="BJ43">_xll.ASAssetStatistic($A43,"% months in Run Up",,,'PBA Summary'!$H$2,"m",'PBA Summary'!$F$2,'PBA Summary'!$G$2)</f>
        <v/>
      </c>
      <c r="BK43" s="27" t="str" cm="1">
        <f t="array" ref="BK43">_xll.ASAssetStatistic($A43,"% months in Drawdown",,,'PBA Summary'!$H$2,"m",'PBA Summary'!$F$2,'PBA Summary'!$G$2)</f>
        <v/>
      </c>
      <c r="BL43" s="18" cm="1">
        <f t="array" ref="BL43">IF('PBA Summary'!$D$2="","",_xll.ASAssetStatistic($A43,"Bull Beta to Benchmark 1",'PBA Summary'!$D$2,,,"m",'PBA Summary'!$F$2,'PBA Summary'!$G$2))</f>
        <v>2.3244563385204794E-2</v>
      </c>
      <c r="BM43" s="18" cm="1">
        <f t="array" ref="BM43">IF('PBA Summary'!$D$2="","",_xll.ASAssetStatistic($A43,"Average return during bear Benchmark 1",'PBA Summary'!$D$2,,,"m",'PBA Summary'!$F$2,'PBA Summary'!$G$2))</f>
        <v>4.9396825809978617E-3</v>
      </c>
      <c r="BN43" s="18" cm="1">
        <f t="array" ref="BN43">IF('PBA Summary'!$D$3="","",_xll.ASAssetStatistic($A43,"Average return during bull Benchmark 1",'PBA Summary'!$D$3,,,"m",'PBA Summary'!$F$2,'PBA Summary'!$G$2))</f>
        <v>6.5430483694150447E-3</v>
      </c>
      <c r="BO43" s="18" cm="1">
        <f t="array" ref="BO43">IF('PBA Summary'!$D$3="","",_xll.ASAssetStatistic($A43,"Average return during bear Benchmark 1",'PBA Summary'!$D$3,,,"m",'PBA Summary'!$F$2,'PBA Summary'!$G$2))</f>
        <v>4.9396825809978617E-3</v>
      </c>
      <c r="BP43" s="27" cm="1">
        <f t="array" ref="BP43">_xll.ASAssetStatistic($A43,"Maximum consecutive gain",,,'PBA Summary'!$H$2,"m",'PBA Summary'!$F$2,'PBA Summary'!$G$2)</f>
        <v>9.5693283950048835E-2</v>
      </c>
      <c r="BQ43" s="27" cm="1">
        <f t="array" ref="BQ43">_xll.ASAssetStatistic($A43,"Maximum consecutive loss",,,'PBA Summary'!$H$2,"m",'PBA Summary'!$F$2,'PBA Summary'!$G$2)</f>
        <v>0</v>
      </c>
      <c r="BR43" s="27" cm="1">
        <f t="array" ref="BR43">_xll.ASAssetStatistic($A43,"Max monthly gain",,,'PBA Summary'!$H$2,"m",'PBA Summary'!$F$2,'PBA Summary'!$G$2)</f>
        <v>1.1053677779824245E-2</v>
      </c>
      <c r="BS43" s="27" cm="1">
        <f t="array" ref="BS43">_xll.ASAssetStatistic($A43,"Max monthly loss",,,'PBA Summary'!$H$2,"m",'PBA Summary'!$F$2,'PBA Summary'!$G$2)</f>
        <v>0</v>
      </c>
      <c r="BT43" s="27" cm="1">
        <f t="array" ref="BT43">_xll.ASAssetStatistic($A43,"Max drawdown",,,'PBA Summary'!$H$2,"m",'PBA Summary'!$F$2,'PBA Summary'!$G$2)</f>
        <v>0</v>
      </c>
      <c r="BU43" s="28" t="str" cm="1">
        <f t="array" ref="BU43">_xll.ASAssetStatistic($A43,"Date Max drawdown",,,'PBA Summary'!$H$2,"m",'PBA Summary'!$F$2,'PBA Summary'!$G$2)</f>
        <v/>
      </c>
      <c r="BV43" s="28" t="str" cm="1">
        <f t="array" ref="BV43">_xll.ASAssetStatistic($A43,"Start Date Max Drawdown",,,'PBA Summary'!$H$2,"m",'PBA Summary'!$F$2,'PBA Summary'!$G$2)</f>
        <v/>
      </c>
      <c r="BW43" s="28" t="str" cm="1">
        <f t="array" ref="BW43">_xll.ASAssetStatistic($A43,"End Date Max Drawdown",,,'PBA Summary'!$H$2,"m",'PBA Summary'!$F$2,'PBA Summary'!$G$2)</f>
        <v/>
      </c>
      <c r="BX43" s="29" cm="1">
        <f t="array" ref="BX43">_xll.ASAssetStatistic($A43,"Max Time-under-water (months)",,,'PBA Summary'!$H$2,"m",'PBA Summary'!$F$2,'PBA Summary'!$G$2)</f>
        <v>0</v>
      </c>
      <c r="BY43" s="27" cm="1">
        <f t="array" ref="BY43">_xll.ASAssetStatistic($A43,"Max possible drawdown 99%",,,'PBA Summary'!$H$2,"m",'PBA Summary'!$F$2,'PBA Summary'!$G$2)</f>
        <v>-2.0992489621242082E-3</v>
      </c>
      <c r="BZ43" s="27" cm="1">
        <f t="array" ref="BZ43">_xll.ASAssetStatistic($A43,"Max possible drawdown 99.9%",,,'PBA Summary'!$H$2,"m",'PBA Summary'!$F$2,'PBA Summary'!$G$2)</f>
        <v>-3.704220984934808E-3</v>
      </c>
      <c r="CA43" s="30" cm="1">
        <f t="array" ref="CA43">_xll.ASAssetStatistic($A43,"Max Possible Time-under-water 99% (months)",,,'PBA Summary'!$H$2,"m",'PBA Summary'!$F$2,'PBA Summary'!$G$2)</f>
        <v>1.3730713104546486</v>
      </c>
      <c r="CB43" s="30" cm="1">
        <f t="array" ref="CB43">_xll.ASAssetStatistic($A43,"Max Possible Time-under-water 99.9% (months)",,,'PBA Summary'!$H$2,"m",'PBA Summary'!$F$2,'PBA Summary'!$G$2)</f>
        <v>2.422847243831153</v>
      </c>
      <c r="CC43" s="17" cm="1">
        <f t="array" ref="CC43">_xll.ASPortfolioReturnAttribution('PBA Summary'!$C$2,"OR",A43,"Last 1m",'PBA Summary'!$F$2,'PBA Summary'!$G$2)</f>
        <v>8.0303560398596E-4</v>
      </c>
      <c r="CD43" s="11" t="str" cm="1">
        <f t="array" ref="CD43">_xll.ASAssetInfo($A43,"Strategy")</f>
        <v>Funds - Trade Finance</v>
      </c>
      <c r="CE43" s="14" cm="1">
        <f t="array" ref="CE43">_xll.ASAssetInfo($A43,"Start Date")</f>
        <v>43373</v>
      </c>
      <c r="CF43" s="14" t="str" cm="1">
        <f t="array" ref="CF43">_xll.ASAssetRatings($A43,"Quantitative",0,0,0,0,0,'PBA Summary'!$F$2,'PBA Summary'!$G$2)</f>
        <v/>
      </c>
      <c r="CG43" s="14" t="str" cm="1">
        <f t="array" ref="CG43">_xll.ASAssetRatings($A43,"Qualitative",0,0,0,0,0,'PBA Summary'!$F$2,'PBA Summary'!$G$2)</f>
        <v/>
      </c>
      <c r="CH43" s="14" t="str" cm="1">
        <f t="array" ref="CH43">_xll.ASAssetRatings($A43,"Final",0,0,0,0,0,'PBA Summary'!$F$2,'PBA Summary'!$G$2)</f>
        <v/>
      </c>
      <c r="CI43" s="14" cm="1">
        <f t="array" ref="CI43">_xll.ASAssetInfo($A43,"Last Return Date")</f>
        <v>44104</v>
      </c>
      <c r="CJ43" s="14" t="str" cm="1">
        <f t="array" ref="CJ43">_xll.ASAssetInfo($A43,"Company Name")</f>
        <v>Lighthouse Canton Pte Ltd/Sing</v>
      </c>
      <c r="CK43" s="14" t="str" cm="1">
        <f t="array" ref="CK43">_xll.ASAssetInfo($A43,"Manager Name")</f>
        <v/>
      </c>
      <c r="CL43" s="14" t="str" cm="1">
        <f t="array" ref="CL43">_xll.ASAssetInfo($A43,"Address")</f>
        <v>#07-01 Royal One Phillip. 1 Phillip Street. Singapore 048692</v>
      </c>
      <c r="CM43" s="14" t="str" cm="1">
        <f t="array" ref="CM43">_xll.ASAssetInfo($A43,"Phone Number")</f>
        <v>+65 67130572</v>
      </c>
      <c r="CN43" s="14" t="str" cm="1">
        <f t="array" ref="CN43">_xll.ASAssetInfo($A43,"Email")</f>
        <v/>
      </c>
      <c r="CO43" s="14" t="str" cm="1">
        <f t="array" ref="CO43">_xll.ASAssetInfo($A43,"Asset Type")</f>
        <v>Alternatives</v>
      </c>
      <c r="CP43" s="14" t="str" cm="1">
        <f t="array" ref="CP43">_xll.ASAssetInfo($A43,"Proprietary ID")</f>
        <v/>
      </c>
      <c r="CQ43" s="14" t="str" cm="1">
        <f t="array" ref="CQ43">_xll.ASAssetInfo($A43,"Country")</f>
        <v>Singapore</v>
      </c>
      <c r="CR43" s="14" t="str" cm="1">
        <f t="array" ref="CR43">_xll.ASAssetInfo($A43,"Currency")</f>
        <v>USD</v>
      </c>
      <c r="CS43" s="14" t="str" cm="1">
        <f t="array" ref="CS43">_xll.ASAssetInfo($A43,"Sub-Strategy")</f>
        <v>Invoice Financing</v>
      </c>
      <c r="CT43" s="31" cm="1">
        <f t="array" ref="CT43">_xll.ASAssetInfo($A43,"Fund AUM (m)")</f>
        <v>27</v>
      </c>
      <c r="CU43" s="31" t="str" cm="1">
        <f t="array" ref="CU43">_xll.ASAssetInfo($A43,"Status")</f>
        <v>Open</v>
      </c>
      <c r="CV43" s="31" t="str" cm="1">
        <f t="array" ref="CV43">_xll.ASAssetInfo($A43,"Redemption 1 Frequency")</f>
        <v>Quarterly</v>
      </c>
      <c r="CW43" s="31" t="str" cm="1">
        <f t="array" ref="CW43">_xll.ASAssetInfo($A43,"Redemption 2 Frequency")</f>
        <v>Unknown</v>
      </c>
      <c r="CX43" s="31" t="str" cm="1">
        <f t="array" ref="CX43">_xll.ASAssetInfo($A43,"Redemption 3 Frequency")</f>
        <v>Unknown</v>
      </c>
      <c r="CY43" s="31" t="str" cm="1">
        <f t="array" ref="CY43">_xll.ASAssetInfo($A43,"Notice Period")</f>
        <v>45 Days</v>
      </c>
      <c r="CZ43" s="15" cm="1">
        <f t="array" ref="CZ43">_xll.ASAssetInfo($A43,"Performance Fee")</f>
        <v>0.2</v>
      </c>
      <c r="DA43" s="15" cm="1">
        <f t="array" ref="DA43">_xll.ASAssetInfo($A43,"Management Fee")</f>
        <v>0</v>
      </c>
      <c r="DB43" s="15" t="str" cm="1">
        <f t="array" ref="DB43">_xll.ASAssetInfo($A43,"ISIN")</f>
        <v>MU0605S00016</v>
      </c>
      <c r="DC43" s="16" t="str" cm="1">
        <f t="array" ref="DC43">_xll.ASAssetStatistic($A43,"Return during " &amp;YEAR(EOMONTH('PBA Summary'!$G$2,-60)),,,,"M",DATE(YEAR(EOMONTH('PBA Summary'!$G$2,-60)),1,31),DATE(YEAR(EOMONTH('PBA Summary'!$G$2,-60)),12,31))</f>
        <v/>
      </c>
      <c r="DD43" s="16" t="str" cm="1">
        <f t="array" ref="DD43">_xll.ASAssetStatistic($A43,"Return during " &amp;YEAR(EOMONTH('PBA Summary'!$G$2,-48)),,,,"M",DATE(YEAR(EOMONTH('PBA Summary'!$G$2,-48)),1,31),DATE(YEAR(EOMONTH('PBA Summary'!$G$2,-48)),12,31))</f>
        <v/>
      </c>
      <c r="DE43" s="16" t="str" cm="1">
        <f t="array" ref="DE43">_xll.ASAssetStatistic($A43,"Return during " &amp;YEAR(EOMONTH('PBA Summary'!$G$2,-36)),,,,"M",DATE(YEAR(EOMONTH('PBA Summary'!$G$2,-36)),1,31),DATE(YEAR(EOMONTH('PBA Summary'!$G$2,-36)),12,31))</f>
        <v/>
      </c>
      <c r="DF43" s="16" cm="1">
        <f t="array" ref="DF43">_xll.ASAssetStatistic($A43,"Return during " &amp;YEAR(EOMONTH('PBA Summary'!$G$2,-24)),,,,"M",DATE(YEAR(EOMONTH('PBA Summary'!$G$2,-24)),1,31),DATE(YEAR(EOMONTH('PBA Summary'!$G$2,-24)),12,31))</f>
        <v>2.1746104819999612E-2</v>
      </c>
      <c r="DG43" s="16" cm="1">
        <f t="array" ref="DG43">_xll.ASAssetStatistic($A43,"Return during " &amp;YEAR(EOMONTH('PBA Summary'!$G$2,-12)),,,,"M",DATE(YEAR(EOMONTH('PBA Summary'!$G$2,-12)),1,31),DATE(YEAR(EOMONTH('PBA Summary'!$G$2,-12)),12,31))</f>
        <v>7.5319780475575415E-2</v>
      </c>
      <c r="DH43" s="11" t="str" cm="1">
        <f t="array" ref="DH43">_xll.ASAssetInfo($A43,"Prime Broker")</f>
        <v/>
      </c>
      <c r="DI43" s="16" cm="1">
        <f t="array" ref="DI43">_xll.ASAssetStatistic($A43,"Return",,,,"m",'PBA Summary'!$F$2,'PBA Summary'!$G$2)</f>
        <v>9.5693283950048835E-2</v>
      </c>
      <c r="DJ43" s="33" cm="1">
        <f t="array" ref="DJ43">IF('PBA Summary'!$D$2="","",_xll.ASAssetStatistic($A43,"Ann. Information Ratio vs Benchmark 1",'PBA Summary'!$D$2,,,"m",'PBA Summary'!$F$2,'PBA Summary'!$G$2))</f>
        <v>-0.63703973322325147</v>
      </c>
      <c r="DK43" s="33" cm="1">
        <f t="array" ref="DK43">IF('PBA Summary'!$D$3="","",_xll.ASAssetStatistic($A43,"Ann. Information Ratio vs Benchmark 1",'PBA Summary'!$D$3,,,"m",'PBA Summary'!$F$2,'PBA Summary'!$G$2))</f>
        <v>-0.63703973322325147</v>
      </c>
      <c r="DL43" s="33" cm="1">
        <f t="array" ref="DL43">IF('PBA Summary'!$D$2="","",_xll.ASAssetStatistic($A43,"Ann. Tracking Error vs Benchmark 1",'PBA Summary'!$D$2,,,"m",'PBA Summary'!$F$2,'PBA Summary'!$G$2))</f>
        <v>0.15142483027873546</v>
      </c>
      <c r="DM43" s="33" cm="1">
        <f t="array" ref="DM43">IF('PBA Summary'!$D$3="","",_xll.ASAssetStatistic($A43,"Ann. Tracking Error vs Benchmark 1",'PBA Summary'!$D$3,,,"m",'PBA Summary'!$F$2,'PBA Summary'!$G$2))</f>
        <v>0.15142483027873546</v>
      </c>
      <c r="DN43" s="33" cm="1">
        <f t="array" ref="DN43">IF('PBA Summary'!$D$2="","",_xll.ASAssetStatistic($A43,"R² vs Benchmark 1",'PBA Summary'!$D$2,,,"m",'PBA Summary'!$F$2,'PBA Summary'!$G$2))</f>
        <v>5.2959781894319158E-2</v>
      </c>
      <c r="DO43" s="33" cm="1">
        <f t="array" ref="DO43">IF('PBA Summary'!$D$3="","",_xll.ASAssetStatistic($A43,"R² vs Benchmark 1",'PBA Summary'!$D$3,,,"m",'PBA Summary'!$F$2,'PBA Summary'!$G$2))</f>
        <v>5.2959781894319158E-2</v>
      </c>
      <c r="DP43" s="11" t="str" cm="1">
        <f t="array" ref="DP43">_xll.ASAssetInfo($A43,"On-/Offshore")</f>
        <v>Unknown</v>
      </c>
      <c r="DQ43" s="16" cm="1">
        <f t="array" ref="DQ43">_xll.ASAssetStatistic($A43,"Quarter-to-date",,,,"m",'PBA Summary'!$F$2,'PBA Summary'!$G$2)</f>
        <v>8.0303484004380365E-3</v>
      </c>
      <c r="DR43" s="16" cm="1">
        <f t="array" ref="DR43">_xll.ASAssetStatistic($A43,"Annualized Return Since inception",,,,"m",'PBA Summary'!$F$2,'PBA Summary'!$G$2)</f>
        <v>6.1066108711698597E-2</v>
      </c>
      <c r="DS43" s="16" cm="1">
        <f t="array" ref="DS43">IF('PBA Summary'!$D$2="","",_xll.ASAssetStatistic($A43,"Ann. Bear Market Return vs Benchmark 1",'PBA Summary'!$D$2,,,"m",'PBA Summary'!$F$2,'PBA Summary'!$G$2))</f>
        <v>6.0865222416951248E-2</v>
      </c>
      <c r="DT43" s="16" cm="1">
        <f t="array" ref="DT43">IF('PBA Summary'!$D$2="","",_xll.ASAssetStatistic($A43,"Ann. Bull Market Return vs Benchmark 1",'PBA Summary'!$D$2,,,"m",'PBA Summary'!$F$2,'PBA Summary'!$G$2))</f>
        <v>8.1349550801699699E-2</v>
      </c>
      <c r="DU43" s="16" cm="1">
        <f t="array" ref="DU43">IF('PBA Summary'!$D$3="","",_xll.ASAssetStatistic($A43,"Ann. Bear Market Return vs Benchmark 1",'PBA Summary'!$D$3,,,"m",'PBA Summary'!$F$2,'PBA Summary'!$G$2))</f>
        <v>6.0865222416951248E-2</v>
      </c>
      <c r="DV43" s="16" cm="1">
        <f t="array" ref="DV43">IF('PBA Summary'!$D$3="","",_xll.ASAssetStatistic($A43,"Ann. Bull Market Return vs Benchmark 1",'PBA Summary'!$D$3,,,"m",'PBA Summary'!$F$2,'PBA Summary'!$G$2))</f>
        <v>8.1349550801699699E-2</v>
      </c>
      <c r="DW43" s="17" cm="1">
        <f t="array" ref="DW43">_xll.ASAssetStatistic($A43,"Average Positive Return",,,,"m",'PBA Summary'!$F$2,'PBA Summary'!$G$2)</f>
        <v>6.1154841591704624E-3</v>
      </c>
      <c r="DX43" s="17" t="str" cm="1">
        <f t="array" ref="DX43">_xll.ASAssetStatistic($A43,"Average Negative Return",,,,"m",'PBA Summary'!$F$2,'PBA Summary'!$G$2)</f>
        <v/>
      </c>
      <c r="DY43" s="16" cm="1">
        <f t="array" ref="DY43">IF('PBA Summary'!$D$2="","",_xll.ASAssetStatistic($A43,"Outperformance vs Benchmark 1",'PBA Summary'!$D$2,,,"m",'PBA Summary'!$F$2,'PBA Summary'!$G$2))</f>
        <v>-0.12415036085866982</v>
      </c>
      <c r="DZ43" s="16" cm="1">
        <f t="array" ref="DZ43">IF('PBA Summary'!$D$3="","",_xll.ASAssetStatistic($A43,"Outperformance vs Benchmark 1",'PBA Summary'!$D$3,,,"m",'PBA Summary'!$F$2,'PBA Summary'!$G$2))</f>
        <v>-0.12415036085866982</v>
      </c>
      <c r="EA43" s="16" cm="1">
        <f t="array" ref="EA43">IF('PBA Summary'!$D$2="","",_xll.ASAssetStatistic($A43,"Annual Outperformance vs Benchmark 1",'PBA Summary'!$D$2,,,"m",'PBA Summary'!$F$2,'PBA Summary'!$G$2))</f>
        <v>-9.6463633484141775E-2</v>
      </c>
      <c r="EB43" s="16" cm="1">
        <f t="array" ref="EB43">IF('PBA Summary'!$D$3="","",_xll.ASAssetStatistic($A43,"Annual Outperformance vs Benchmark 1",'PBA Summary'!$D$3,,,"m",'PBA Summary'!$F$2,'PBA Summary'!$G$2))</f>
        <v>-9.6463633484141775E-2</v>
      </c>
      <c r="EC43" s="32" cm="1">
        <f t="array" ref="EC43">_xll.ASAssetStatistic($A43,"Rachev Ratio 99%",,,,"m",'PBA Summary'!$F$2,'PBA Summary'!$G$2)</f>
        <v>23.724363291593512</v>
      </c>
      <c r="ED43" s="32" cm="1">
        <f t="array" ref="ED43">_xll.ASAssetStatistic($A43,"Rachev Ratio 97%",,,,"m",'PBA Summary'!$F$2,'PBA Summary'!$G$2)</f>
        <v>23.724363291593512</v>
      </c>
      <c r="EE43" s="32" cm="1">
        <f t="array" ref="EE43">_xll.ASAssetStatistic($A43,"Rachev Ratio 95%",,,,"m",'PBA Summary'!$F$2,'PBA Summary'!$G$2)</f>
        <v>23.724363291593512</v>
      </c>
      <c r="EF43" s="32" cm="1">
        <f t="array" ref="EF43">_xll.ASAssetStatistic($A43,"Rachev Ratio 90%",,,,"m",'PBA Summary'!$F$2,'PBA Summary'!$G$2)</f>
        <v>8.3633090963252243</v>
      </c>
      <c r="EG43" s="34" cm="1">
        <f t="array" ref="EG43">IF('PBA Summary'!$D$2="","",_xll.ASAssetStatistic($A43,"Annual Up Capture vs Benchmark 1",'PBA Summary'!$D$2,,,"m",'PBA Summary'!$F$2,'PBA Summary'!$G$2))</f>
        <v>0.16070384552864075</v>
      </c>
      <c r="EH43" s="34" cm="1">
        <f t="array" ref="EH43">IF('PBA Summary'!$D$3="","",_xll.ASAssetStatistic($A43,"Annual Up Capture vs Benchmark 1",'PBA Summary'!$D$3,,,"m",'PBA Summary'!$F$2,'PBA Summary'!$G$2))</f>
        <v>0.16070384552864075</v>
      </c>
      <c r="EI43" s="34" cm="1">
        <f t="array" ref="EI43">IF('PBA Summary'!$D$2="","",_xll.ASAssetStatistic($A43,"Annual Down Capture vs Benchmark 1",'PBA Summary'!$D$2,,,"m",'PBA Summary'!$F$2,'PBA Summary'!$G$2))</f>
        <v>-0.14790211708969411</v>
      </c>
      <c r="EJ43" s="34" cm="1">
        <f t="array" ref="EJ43">IF('PBA Summary'!$D$3="","",_xll.ASAssetStatistic($A43,"Annual Down Capture vs Benchmark 1",'PBA Summary'!$D$3,,,"m",'PBA Summary'!$F$2,'PBA Summary'!$G$2))</f>
        <v>-0.14790211708969411</v>
      </c>
      <c r="EK43" s="16" cm="1">
        <f t="array" ref="EK43">IF('PBA Summary'!$D$2="","",_xll.ASAssetStatistic($A43,"Ann. Tracking Error vs Benchmark 1",'PBA Summary'!$D$2,,,"m",'PBA Summary'!$F$2,'PBA Summary'!$G$2))</f>
        <v>0.15142483027873546</v>
      </c>
      <c r="EL43" s="16" cm="1">
        <f t="array" ref="EL43">IF('PBA Summary'!$D$3="","",_xll.ASAssetStatistic($A43,"Ann. Tracking Error vs Benchmark 1",'PBA Summary'!$D$3,,,"m",'PBA Summary'!$F$2,'PBA Summary'!$G$2))</f>
        <v>0.15142483027873546</v>
      </c>
      <c r="EM43" s="16" cm="1">
        <f t="array" ref="EM43">IF('PBA Summary'!$D$2="","",_xll.ASAssetStatistic($A43,"Annual Jensen Alpha vs Benchmark 1 (Rf)",'PBA Summary'!$D$2,,,"m",'PBA Summary'!$F$2,'PBA Summary'!$G$2))</f>
        <v>7.0632515313845748E-2</v>
      </c>
      <c r="EN43" s="16" cm="1">
        <f t="array" ref="EN43">IF('PBA Summary'!$D$3="","",_xll.ASAssetStatistic($A43,"Annual Jensen Alpha vs Benchmark 1 (Rf)",'PBA Summary'!$D$3,,,"m",'PBA Summary'!$F$2,'PBA Summary'!$G$2))</f>
        <v>7.0632515313845748E-2</v>
      </c>
      <c r="EO43" s="33" cm="1">
        <f t="array" ref="EO43">IF('PBA Summary'!$D$2="","",_xll.ASAssetStatistic($A43,"Ann. Information Ratio vs Benchmark 1",'PBA Summary'!$D$2,,,"m",'PBA Summary'!$F$2,'PBA Summary'!$G$2))</f>
        <v>-0.63703973322325147</v>
      </c>
      <c r="EP43" s="33" cm="1">
        <f t="array" ref="EP43">IF('PBA Summary'!$D$3="","",_xll.ASAssetStatistic($A43,"Ann. Information Ratio vs Benchmark 1",'PBA Summary'!$D$3,,,"m",'PBA Summary'!$F$2,'PBA Summary'!$G$2))</f>
        <v>-0.63703973322325147</v>
      </c>
      <c r="EQ43" s="17" cm="1">
        <f t="array" ref="EQ43">IF('PBA Summary'!$D$2="","",_xll.ASAssetStatistic($A43,"Alpha Monthly vs Benchmark 1",'PBA Summary'!$D$2,,,"m",'PBA Summary'!$F$2,'PBA Summary'!$G$2))</f>
        <v>5.8872727453048567E-3</v>
      </c>
      <c r="ER43" s="17" cm="1">
        <f t="array" ref="ER43">IF('PBA Summary'!$D$3="","",_xll.ASAssetStatistic($A43,"Alpha Monthly vs Benchmark 1",'PBA Summary'!$D$3,,,"m",'PBA Summary'!$F$2,'PBA Summary'!$G$2))</f>
        <v>5.8872727453048567E-3</v>
      </c>
      <c r="ES43" s="11" t="str" cm="1">
        <f t="array" ref="ES43">_xll.ASAssetInfo($A43,"Company AUM (m)")</f>
        <v/>
      </c>
      <c r="ET43" s="16" cm="1">
        <f t="array" ref="ET43">_xll.ASAssetStatistic($A43,"Exponential Annualized Volatility",,,,"m",'PBA Summary'!$F$2,'PBA Summary'!$G$2)</f>
        <v>1.109829593122749E-2</v>
      </c>
      <c r="EU43" s="16" cm="1">
        <f t="array" ref="EU43">_xll.ASAssetStatistic($A43,"Exponential Annualized Volatility Last 1 year",,,,"m",'PBA Summary'!$F$2,'PBA Summary'!$G$2)</f>
        <v>1.1524597585314062E-2</v>
      </c>
      <c r="EV43" s="16" t="str" cm="1">
        <f t="array" ref="EV43">_xll.ASAssetStatistic($A43,"Exponential Annualized Volatility Last 3 years",,,,"m",'PBA Summary'!$F$2,'PBA Summary'!$G$2)</f>
        <v/>
      </c>
      <c r="EW43" s="34" cm="1">
        <f t="array" ref="EW43">IF('PBA Summary'!$D$2="","",_xll.ASAssetStatistic($A43,"Exponential Correlation to Benchmark 1",'PBA Summary'!$D$2,,,"m",'PBA Summary'!$F$2,'PBA Summary'!$G$2))</f>
        <v>0.1314002780662617</v>
      </c>
      <c r="EX43" s="34" cm="1">
        <f t="array" ref="EX43">IF('PBA Summary'!$D$3="","",_xll.ASAssetStatistic($A43,"Exponential Correlation to Benchmark 1",'PBA Summary'!$D$3,,,"m",'PBA Summary'!$F$2,'PBA Summary'!$G$2))</f>
        <v>0.1314002780662617</v>
      </c>
      <c r="EY43" s="34" cm="1">
        <f t="array" ref="EY43">_xll.ASAssetStatistic($A43,"Exponential Annual Sharpe Ratio (Rf)",,,,"m",'PBA Summary'!$F$2,'PBA Summary'!$G$2)</f>
        <v>6.3903045472214011</v>
      </c>
      <c r="EZ43" s="34" cm="1">
        <f t="array" ref="EZ43">_xll.ASAssetStatistic($A43,"Exponential Normal Monthly VaR 99%",,,,"m",'PBA Summary'!$F$2,'PBA Summary'!$G$2)</f>
        <v>-1.5314267713073268E-3</v>
      </c>
      <c r="FA43" s="34" cm="1">
        <f t="array" ref="FA43">_xll.ASAssetStatistic($A43,"Exponential Normal Monthly VaR 97%",,,,"m",'PBA Summary'!$F$2,'PBA Summary'!$G$2)</f>
        <v>-1.0395909118650175E-4</v>
      </c>
      <c r="FB43" s="34" cm="1">
        <f t="array" ref="FB43">_xll.ASAssetStatistic($A43,"Exponential Normal Monthly VaR 95%",,,,"m",'PBA Summary'!$F$2,'PBA Summary'!$G$2)</f>
        <v>6.5194590938296403E-4</v>
      </c>
      <c r="FC43" s="34" cm="1">
        <f t="array" ref="FC43">_xll.ASAssetStatistic($A43,"Exponential Normal Monthly VaR 90%",,,,"m",'PBA Summary'!$F$2,'PBA Summary'!$G$2)</f>
        <v>1.8158938063785037E-3</v>
      </c>
      <c r="FD43" s="34" t="str" cm="1">
        <f t="array" ref="FD43">_xll.ASAssetStatistic($A43,"Exponential Normal weekly VaR 99%",,,,"m",'PBA Summary'!$F$2,'PBA Summary'!$G$2)</f>
        <v/>
      </c>
      <c r="FE43" s="34" t="str" cm="1">
        <f t="array" ref="FE43">_xll.ASAssetStatistic($A43,"Exponential Normal weekly VaR 97%",,,,"m",'PBA Summary'!$F$2,'PBA Summary'!$G$2)</f>
        <v/>
      </c>
      <c r="FF43" s="34" t="str" cm="1">
        <f t="array" ref="FF43">_xll.ASAssetStatistic($A43,"Exponential Normal weekly VaR 95%",,,,"m",'PBA Summary'!$F$2,'PBA Summary'!$G$2)</f>
        <v/>
      </c>
      <c r="FG43" s="34" t="str" cm="1">
        <f t="array" ref="FG43">_xll.ASAssetStatistic($A43,"Exponential Normal weekly VaR 90%",,,,"m",'PBA Summary'!$F$2,'PBA Summary'!$G$2)</f>
        <v/>
      </c>
      <c r="FH43" s="34" t="str" cm="1">
        <f t="array" ref="FH43">_xll.ASAssetStatistic($A43,"Exponential Normal daily VaR 99%",,,,"m",'PBA Summary'!$F$2,'PBA Summary'!$G$2)</f>
        <v/>
      </c>
      <c r="FI43" s="34" t="str" cm="1">
        <f t="array" ref="FI43">_xll.ASAssetStatistic($A43,"Exponential Normal daily VaR 97%",,,,"m",'PBA Summary'!$F$2,'PBA Summary'!$G$2)</f>
        <v/>
      </c>
      <c r="FJ43" s="34" t="str" cm="1">
        <f t="array" ref="FJ43">_xll.ASAssetStatistic($A43,"Exponential Normal daily VaR 95%",,,,"m",'PBA Summary'!$F$2,'PBA Summary'!$G$2)</f>
        <v/>
      </c>
      <c r="FK43" s="34" t="str" cm="1">
        <f t="array" ref="FK43">_xll.ASAssetStatistic($A43,"Exponential Normal daily VaR 90%",,,,"m",'PBA Summary'!$F$2,'PBA Summary'!$G$2)</f>
        <v/>
      </c>
      <c r="FL43" s="34" cm="1">
        <f t="array" ref="FL43">_xll.ASAssetStatistic($A43,"Bias Ratio",,,,"m",'PBA Summary'!$F$2,'PBA Summary'!$G$2)</f>
        <v>2</v>
      </c>
      <c r="FM43" s="11" t="str" cm="1">
        <f t="array" ref="FM43">_xll.ASAssetInfo($A43,"Manager's Biography")</f>
        <v/>
      </c>
      <c r="FN43" s="11" cm="1">
        <f t="array" ref="FN43">_xll.ASAssetInfo($A43,"Investment Min")</f>
        <v>100000</v>
      </c>
      <c r="FO43" s="11" t="str" cm="1">
        <f t="array" ref="FO43">_xll.ASAssetInfo($A43,"Auditor")</f>
        <v>PwC</v>
      </c>
      <c r="FP43" s="11" t="str" cm="1">
        <f t="array" ref="FP43">_xll.ASAssetInfo($A43,"Custodian")</f>
        <v/>
      </c>
      <c r="FQ43" s="11" t="str" cm="1">
        <f t="array" ref="FQ43">_xll.ASAssetInfo($A43,"Administrator")</f>
        <v>Vistra Mauritius Ltd</v>
      </c>
      <c r="FR43" s="14" t="str" cm="1">
        <f t="array" ref="FR43">_xll.ASAssetInfo($A43,"Proxy 1 Start Date")</f>
        <v/>
      </c>
      <c r="FS43" s="14" t="str" cm="1">
        <f t="array" ref="FS43">_xll.ASAssetInfo($A43,"Proxy 1 End Date")</f>
        <v/>
      </c>
      <c r="FT43" s="14" t="str" cm="1">
        <f t="array" ref="FT43">_xll.ASAssetInfo($A43,"Proxy 2 Start Date")</f>
        <v/>
      </c>
      <c r="FU43" s="14" t="str" cm="1">
        <f t="array" ref="FU43">_xll.ASAssetInfo($A43,"Proxy 2 End Date")</f>
        <v/>
      </c>
      <c r="FV43" s="14" t="str" cm="1">
        <f t="array" ref="FV43">_xll.ASAssetInfo($A43,"Proxy 3 Start Date")</f>
        <v/>
      </c>
      <c r="FW43" s="14" t="str" cm="1">
        <f t="array" ref="FW43">_xll.ASAssetInfo($A43,"Proxy 3 End Date")</f>
        <v/>
      </c>
      <c r="FX43" s="14" t="str" cm="1">
        <f t="array" ref="FX43">_xll.ASAssetInfo($A43,"Fund Domicile")</f>
        <v>MU</v>
      </c>
      <c r="FY43" s="14" t="str" cm="1">
        <f t="array" ref="FY43">_xll.ASAssetInfo($A43,"Fund Contact")</f>
        <v/>
      </c>
      <c r="FZ43" s="14" t="str" cm="1">
        <f t="array" ref="FZ43">_xll.ASAssetInfo($A43,"Fund Contact Email")</f>
        <v/>
      </c>
      <c r="GA43" s="14" t="str" cm="1">
        <f t="array" ref="GA43">_xll.ASAssetInfo($A43,"Fund Contact Number")</f>
        <v/>
      </c>
      <c r="GB43" s="14" t="str" cm="1">
        <f t="array" ref="GB43">_xll.ASAssetInfo($A43,"City")</f>
        <v>Singapore</v>
      </c>
      <c r="GC43" s="14" t="str" cm="1">
        <f t="array" ref="GC43">_xll.ASAssetInfo($A43,"Leverage")</f>
        <v>N</v>
      </c>
      <c r="GD43" s="14" t="str" cm="1">
        <f t="array" ref="GD43">_xll.ASAssetInfo($A43,"Lockup 1 Duration")</f>
        <v>12 Months</v>
      </c>
      <c r="GE43" s="14" t="str" cm="1">
        <f t="array" ref="GE43">_xll.ASAssetInfo($A43,"Lockup 2 Duration")</f>
        <v>0 Months</v>
      </c>
      <c r="GF43" s="14" t="str" cm="1">
        <f t="array" ref="GF43">_xll.ASAssetInfo($A43,"Lockup 3 Duration")</f>
        <v>0 Months</v>
      </c>
      <c r="GG43" s="31" t="str" cm="1">
        <f t="array" ref="GG43">_xll.ASAssetInfo($A43,"Fund Level Gate")</f>
        <v/>
      </c>
      <c r="GH43" s="31" t="str" cm="1">
        <f t="array" ref="GH43">_xll.ASAssetInfo($A43,"Fund Level Gate Frequency")</f>
        <v>Unknown</v>
      </c>
      <c r="GI43" s="35" cm="1">
        <f t="array" ref="GI43">_xll.ASAssetInfo($A43,"Payment 2 (%)")</f>
        <v>0</v>
      </c>
      <c r="GJ43" s="35" t="str" cm="1">
        <f t="array" ref="GJ43">_xll.ASAssetInfo($A43,"Payment 2 (days)")</f>
        <v/>
      </c>
      <c r="GK43" s="35" t="str" cm="1">
        <f t="array" ref="GK43">_xll.ASAssetInfo($A43,"Payment 2 (Paid After)")</f>
        <v>NAV Date</v>
      </c>
      <c r="GL43" s="35" cm="1">
        <f t="array" ref="GL43">_xll.ASAssetInfo($A43,"Payment 3 (%)")</f>
        <v>0</v>
      </c>
      <c r="GM43" s="36" t="str" cm="1">
        <f t="array" ref="GM43">_xll.ASAssetInfo($A43,"Payment 3 (Days)")</f>
        <v/>
      </c>
      <c r="GN43" s="35" t="str" cm="1">
        <f t="array" ref="GN43">_xll.ASAssetInfo($A43,"Payment 3 (Paid After)")</f>
        <v>NAV Date</v>
      </c>
      <c r="GO43" s="35" cm="1">
        <f t="array" ref="GO43">_xll.ASAssetInfo($A43,"Payment 4 (%)")</f>
        <v>0</v>
      </c>
      <c r="GP43" s="36" t="str" cm="1">
        <f t="array" ref="GP43">_xll.ASAssetInfo($A43,"Payment 4 (days)")</f>
        <v/>
      </c>
      <c r="GQ43" s="35" t="str" cm="1">
        <f t="array" ref="GQ43">_xll.ASAssetInfo($A43,"Payment 4 (Paid After)")</f>
        <v>NAV Date</v>
      </c>
      <c r="GR43" s="11" cm="1">
        <f t="array" ref="GR43">_xll.ASAssetInfo($A43,"Payment 1 (%)")</f>
        <v>1</v>
      </c>
      <c r="GS43" s="35" cm="1">
        <f t="array" ref="GS43">_xll.ASAssetInfo($A43,"Lockup 1 Fee")</f>
        <v>0.03</v>
      </c>
      <c r="GT43" s="35" cm="1">
        <f t="array" ref="GT43">_xll.ASAssetInfo($A43,"Lockup 2 Fee")</f>
        <v>0</v>
      </c>
      <c r="GU43" s="35" cm="1">
        <f t="array" ref="GU43">_xll.ASAssetInfo($A43,"Lockup 3 Fee")</f>
        <v>0</v>
      </c>
      <c r="GV43" s="35" t="str" cm="1">
        <f t="array" ref="GV43">_xll.ASAssetInfo($A43,"Lockup 1 type")</f>
        <v>Soft</v>
      </c>
      <c r="GW43" s="35" t="str" cm="1">
        <f t="array" ref="GW43">_xll.ASAssetInfo($A43,"Lockup 2 type")</f>
        <v>None</v>
      </c>
      <c r="GX43" s="35" t="str" cm="1">
        <f t="array" ref="GX43">_xll.ASAssetInfo($A43,"Lockup 3 type")</f>
        <v>None</v>
      </c>
      <c r="GY43" s="35" t="str" cm="1">
        <f t="array" ref="GY43">_xll.ASAssetInfo($A43,"Redemption 1 type")</f>
        <v>Calendar</v>
      </c>
      <c r="GZ43" s="35" t="str" cm="1">
        <f t="array" ref="GZ43">_xll.ASAssetInfo($A43,"Redemption 2 type")</f>
        <v>Calendar</v>
      </c>
      <c r="HA43" s="35" t="str" cm="1">
        <f t="array" ref="HA43">_xll.ASAssetInfo($A43,"Redemption 3 type")</f>
        <v>Calendar</v>
      </c>
      <c r="HB43" s="35" t="str" cm="1">
        <f t="array" ref="HB43">_xll.ASAssetInfo($A43,"Redemption 1 Fee")</f>
        <v/>
      </c>
      <c r="HC43" s="35" t="str" cm="1">
        <f t="array" ref="HC43">_xll.ASAssetInfo($A43,"Redemption 2 Fee")</f>
        <v/>
      </c>
      <c r="HD43" s="35" t="str" cm="1">
        <f t="array" ref="HD43">_xll.ASAssetInfo($A43,"Redemption 3 Fee")</f>
        <v/>
      </c>
      <c r="HE43" s="35" t="str" cm="1">
        <f t="array" ref="HE43">_xll.ASAssetInfo($A43,"Redemption 1 Frequency")</f>
        <v>Quarterly</v>
      </c>
      <c r="HF43" s="35" t="str" cm="1">
        <f t="array" ref="HF43">_xll.ASAssetInfo($A43,"Redemption 2 Frequency")</f>
        <v>Unknown</v>
      </c>
      <c r="HG43" s="35" t="str" cm="1">
        <f t="array" ref="HG43">_xll.ASAssetInfo($A43,"Redemption 3 Frequency")</f>
        <v>Unknown</v>
      </c>
      <c r="HH43" s="35" t="str" cm="1">
        <f t="array" ref="HH43">_xll.ASAssetInfo($A43,"Asset Calendar")</f>
        <v>[Default]</v>
      </c>
      <c r="HI43" s="16" cm="1">
        <f t="array" ref="HI43">_xll.ASAssetStatistic($A43,"Max Second Drawdown",,,,"m",'PBA Summary'!$F$2,'PBA Summary'!$G$2)</f>
        <v>0</v>
      </c>
      <c r="HJ43" s="37" t="str" cm="1">
        <f t="array" ref="HJ43">_xll.ASAssetStatistic($A43,"Date Max Second Drawdown",,,,"m",'PBA Summary'!$F$2,'PBA Summary'!$G$2)</f>
        <v/>
      </c>
      <c r="HK43" s="37"/>
      <c r="HL43" s="37" t="str" cm="1">
        <f t="array" ref="HL43">_xll.ASAssetInfo($A43,HL$1)</f>
        <v/>
      </c>
      <c r="HM43" s="34" t="str" cm="1">
        <f t="array" ref="HM43">_xll.ASAssetInfo($A43,HM$1)</f>
        <v/>
      </c>
      <c r="HN43" s="37" t="str" cm="1">
        <f t="array" ref="HN43">_xll.ASAssetInfo($A43,HN$1)</f>
        <v/>
      </c>
      <c r="HO43" s="15" cm="1">
        <f t="array" ref="HO43">_xll.ASAssetInfo($A43,HO$1)</f>
        <v>0</v>
      </c>
      <c r="HP43" s="15" t="str" cm="1">
        <f t="array" ref="HP43">_xll.ASAssetInfo($A43,HP$1)</f>
        <v/>
      </c>
      <c r="HQ43" s="34" t="str" cm="1">
        <f t="array" ref="HQ43">_xll.ASAssetInfo($A43,HQ$1)</f>
        <v/>
      </c>
      <c r="HR43" s="37" t="str" cm="1">
        <f t="array" ref="HR43">_xll.ASAssetInfo($A43,HR$1)</f>
        <v/>
      </c>
      <c r="HS43" s="37" t="str" cm="1">
        <f t="array" ref="HS43">_xll.ASAssetInfo($A43,HS$1)</f>
        <v/>
      </c>
      <c r="HT43" s="37" t="str" cm="1">
        <f t="array" ref="HT43">_xll.ASAssetInfo($A43,HT$1)</f>
        <v/>
      </c>
      <c r="HU43" s="37" t="str" cm="1">
        <f t="array" ref="HU43">_xll.ASAssetInfo($A43,HU$1)</f>
        <v>Asia Pacific</v>
      </c>
      <c r="HV43" s="37" t="str" cm="1">
        <f t="array" ref="HV43">_xll.ASAssetInfo($A43,HV$1)</f>
        <v/>
      </c>
      <c r="HW43" s="37" t="str" cm="1">
        <f t="array" ref="HW43">_xll.ASAssetInfo($A43,HW$1)</f>
        <v/>
      </c>
    </row>
    <row r="44" spans="1:231" s="11" customFormat="1" ht="45" x14ac:dyDescent="0.25">
      <c r="A44" t="s">
        <v>308</v>
      </c>
      <c r="B44" cm="1">
        <f t="array" ref="B44">_xll.ASPortfolioWeights('PBA Summary'!$C$2,"OR",$A44)</f>
        <v>0.10000019868342658</v>
      </c>
      <c r="C44" cm="1">
        <f t="array" ref="C44">_xll.ASAssetStatistic($A44,"Annualized Return since inception",,,,"m",_xll.ASAssetInfo($A44,"Start Date"),_xll.ASAssetInfo($A44,"Last Return Date"))</f>
        <v>0.10022398680773281</v>
      </c>
      <c r="D44" cm="1">
        <f t="array" ref="D44">_xll.ASAssetStatistic($A44,"Annualized Return",,,,"m",'PBA Summary'!$F$2,'PBA Summary'!$G$2)</f>
        <v>6.0132140807153123E-2</v>
      </c>
      <c r="E44" s="19" cm="1">
        <f t="array" ref="E44">_xll.ASAssetStatistic($A44,"Equilibrium Annual Return",,,,"m",'PBA Summary'!$F$2,'PBA Summary'!$G$2)</f>
        <v>3.9922679090055979E-2</v>
      </c>
      <c r="F44" cm="1">
        <f t="array" ref="F44">_xll.ASAssetStatistic($A44,"Annualized Volatility (Inception)",,,,"m",_xll.ASAssetInfo($A44,"Start Date"),_xll.ASAssetInfo($A44,"Last Return Date"))</f>
        <v>4.866907742853116E-2</v>
      </c>
      <c r="G44" cm="1">
        <f t="array" ref="G44">_xll.ASAssetStatistic($A44,"Annualized Volatility",,,,"m",'PBA Summary'!$F$2,'PBA Summary'!$G$2)</f>
        <v>1.9932228031148806E-2</v>
      </c>
      <c r="H44" s="20" cm="1">
        <f t="array" ref="H44">_xll.ASAssetStatistic($A44,"Skewness",,,,"m",'PBA Summary'!$F$2,'PBA Summary'!$G$2)</f>
        <v>0.61332306505383716</v>
      </c>
      <c r="I44" s="20" cm="1">
        <f t="array" ref="I44">_xll.ASAssetStatistic($A44,"Excess kurtosis",,,,"m",'PBA Summary'!$F$2,'PBA Summary'!$G$2)</f>
        <v>-3.1423355523063724E-2</v>
      </c>
      <c r="J44" s="19" cm="1">
        <f t="array" ref="J44">_xll.ASAssetStatistic($A44,"Return Last 1 month",,,,"m",'PBA Summary'!$F$2,'PBA Summary'!$G$2)</f>
        <v>-4.9999999999994493E-4</v>
      </c>
      <c r="K44" s="19" cm="1">
        <f t="array" ref="K44">_xll.ASAssetStatistic($A44,"Return Last 3 months",,,,"m",'PBA Summary'!$F$2,'PBA Summary'!$G$2)</f>
        <v>-3.8954214399999909E-3</v>
      </c>
      <c r="L44" s="19" cm="1">
        <f t="array" ref="L44">_xll.ASAssetStatistic($A44,"Return Last 1 year",,,,"m",'PBA Summary'!$F$2,'PBA Summary'!$G$2)</f>
        <v>6.0809653736267455E-2</v>
      </c>
      <c r="M44" s="19" cm="1">
        <f t="array" ref="M44">_xll.ASAssetStatistic($A44,"Year-to-date Return",,,,"m",'PBA Summary'!$F$2,'PBA Summary'!$G$2)</f>
        <v>-4.9999999999994493E-4</v>
      </c>
      <c r="N44" s="19" cm="1">
        <f t="array" ref="N44">_xll.ASAssetStatistic($A44,"Annualized Return",,,,"m",EOMONTH('PBA Summary'!$G$2,-2),'PBA Summary'!$G$2)</f>
        <v>-1.5490876121870945E-2</v>
      </c>
      <c r="O44" s="19" t="str" cm="1">
        <f t="array" ref="O44">_xll.ASAssetStatistic($A44,"Annualized Return Last 3 years",,,,"m",'PBA Summary'!$F$2,'PBA Summary'!$G$2)</f>
        <v/>
      </c>
      <c r="P44" s="19" t="str" cm="1">
        <f t="array" ref="P44">_xll.ASAssetStatistic($A44,"Annualized Return Last 5 years",,,,"m",'PBA Summary'!$F$2,'PBA Summary'!$G$2)</f>
        <v/>
      </c>
      <c r="Q44" s="19" cm="1">
        <f t="array" ref="Q44">_xll.ASAssetStatistic($A44,"Annualized Volatility Last 1 year",,,,"m",'PBA Summary'!$F$2,'PBA Summary'!$G$2)</f>
        <v>2.2090145890295641E-2</v>
      </c>
      <c r="R44" s="19" t="str" cm="1">
        <f t="array" ref="R44">_xll.ASAssetStatistic($A44,"Annualized Volatility Last 3 years",,,,"m",'PBA Summary'!$F$2,'PBA Summary'!$G$2)</f>
        <v/>
      </c>
      <c r="S44" s="19" t="str" cm="1">
        <f t="array" ref="S44">_xll.ASAssetStatistic($A44,"Annualized Volatility Last 5 years",,,,"m",'PBA Summary'!$F$2,'PBA Summary'!$G$2)</f>
        <v/>
      </c>
      <c r="T44" s="19" cm="1">
        <f t="array" ref="T44">_xll.ASAssetStatistic($A44,"Normal monthly VaR 99%",,,,"m",'PBA Summary'!$F$2,'PBA Summary'!$G$2)</f>
        <v>-8.4923295186255694E-3</v>
      </c>
      <c r="U44" s="19" cm="1">
        <f t="array" ref="U44">_xll.ASAssetStatistic($A44,"Modified monthly VaR 99%",,,,"m",'PBA Summary'!$F$2,'PBA Summary'!$G$2)</f>
        <v>-5.0405552453606844E-3</v>
      </c>
      <c r="V44" s="19" cm="1">
        <f t="array" ref="V44">_xll.ASAssetStatistic($A44,"Conditional monthly VaR 99%",,,,"m",'PBA Summary'!$F$2,'PBA Summary'!$G$2)</f>
        <v>-2.2000000000000001E-3</v>
      </c>
      <c r="W44" s="19" cm="1">
        <f t="array" ref="W44">_xll.ASAssetStatistic($A44,"Normal monthly VaR 97%",,,,"m",'PBA Summary'!$F$2,'PBA Summary'!$G$2)</f>
        <v>-5.9286376254218927E-3</v>
      </c>
      <c r="X44" s="19" cm="1">
        <f t="array" ref="X44">_xll.ASAssetStatistic($A44,"Modified monthly VaR 97%",,,,"m",'PBA Summary'!$F$2,'PBA Summary'!$G$2)</f>
        <v>-4.1939953007546762E-3</v>
      </c>
      <c r="Y44" s="19" cm="1">
        <f t="array" ref="Y44">_xll.ASAssetStatistic($A44,"Conditional monthly VaR 97%",,,,"m",'PBA Summary'!$F$2,'PBA Summary'!$G$2)</f>
        <v>-2.2000000000000001E-3</v>
      </c>
      <c r="Z44" s="19" cm="1">
        <f t="array" ref="Z44">_xll.ASAssetStatistic($A44,"Normal monthly VaR 95%",,,,"m",'PBA Summary'!$F$2,'PBA Summary'!$G$2)</f>
        <v>-4.5710534580325262E-3</v>
      </c>
      <c r="AA44" s="19" cm="1">
        <f t="array" ref="AA44">_xll.ASAssetStatistic($A44,"Modified monthly VaR 95%",,,,"m",'PBA Summary'!$F$2,'PBA Summary'!$G$2)</f>
        <v>-3.5308979777791622E-3</v>
      </c>
      <c r="AB44" s="19" cm="1">
        <f t="array" ref="AB44">_xll.ASAssetStatistic($A44,"Conditional monthly VaR 95%",,,,"m",'PBA Summary'!$F$2,'PBA Summary'!$G$2)</f>
        <v>-2.2000000000000001E-3</v>
      </c>
      <c r="AC44" s="66" cm="1">
        <f t="array" ref="AC44">_xll.ASAssetStatistic($A44,"Correlation to Benchmark 1","MSCI ACWI Index",,,"m",'PBA Summary'!$F$2,'PBA Summary'!$G$2)</f>
        <v>0.25235463058995211</v>
      </c>
      <c r="AD44" s="38" cm="1">
        <f t="array" ref="AD44">IF('PBA Summary'!$D$3="","",_xll.ASAssetStatistic($A44,"Correlation to Benchmark 1",'PBA Summary'!$D$3,,,"m",'PBA Summary'!$F$2,'PBA Summary'!$G$2))</f>
        <v>0.25048350946492759</v>
      </c>
      <c r="AE44" s="21" cm="1">
        <f t="array" ref="AE44">IF('PBA Summary'!$D$2="","",_xll.ASAssetStatistic($A44,"Bull correlation to Benchmark 1",'PBA Summary'!$D$2,,,"m",'PBA Summary'!$F$2,'PBA Summary'!$G$2))</f>
        <v>0.47611149669642944</v>
      </c>
      <c r="AF44" s="21" cm="1">
        <f t="array" ref="AF44">IF('PBA Summary'!$D$2="","",_xll.ASAssetStatistic($A44,"Bear correlation to Benchmark 1",'PBA Summary'!$D$2,,,"m",'PBA Summary'!$F$2,'PBA Summary'!$G$2))</f>
        <v>-0.55730035552378498</v>
      </c>
      <c r="AG44" s="21" cm="1">
        <f t="array" ref="AG44">IF('PBA Summary'!$D$3="","",_xll.ASAssetStatistic($A44,"Bull correlation to Benchmark 1",'PBA Summary'!$D$3,,,"m",'PBA Summary'!$F$2,'PBA Summary'!$G$2))</f>
        <v>0.47611149669642944</v>
      </c>
      <c r="AH44" s="21" cm="1">
        <f t="array" ref="AH44">IF('PBA Summary'!$D$3="","",_xll.ASAssetStatistic($A44,"Bear correlation to Benchmark 1",'PBA Summary'!$D$3,,,"m",'PBA Summary'!$F$2,'PBA Summary'!$G$2))</f>
        <v>-0.55730035552378498</v>
      </c>
      <c r="AI44" s="24" cm="1">
        <f t="array" ref="AI44">IF('PBA Summary'!$D$2="","",_xll.ASAssetStatistic($A44,"Beta to Benchmark 1",'PBA Summary'!$D$2,,,"m",'PBA Summary'!$F$2,'PBA Summary'!$G$2))</f>
        <v>3.2520612671235856E-2</v>
      </c>
      <c r="AJ44" s="24" t="str" cm="1">
        <f t="array" ref="AJ44">IF('PBA Summary'!$D$2="","",_xll.ASAssetStatistic($A44,"Beta to Benchmark 1 Last 3 years",'PBA Summary'!$D$2,,,"m",'PBA Summary'!$F$2,'PBA Summary'!$G$2))</f>
        <v/>
      </c>
      <c r="AK44" s="24" t="str" cm="1">
        <f t="array" ref="AK44">IF('PBA Summary'!$D$2="","",_xll.ASAssetStatistic($A44,"Beta to Benchmark 1 Last 5 years",'PBA Summary'!$D$2,,,"m",'PBA Summary'!$F$2,'PBA Summary'!$G$2))</f>
        <v/>
      </c>
      <c r="AL44" s="25" cm="1">
        <f t="array" ref="AL44">IF('PBA Summary'!$D$3="","",_xll.ASAssetStatistic($A44,"Beta to Benchmark 1",'PBA Summary'!$D$3,,,"m",'PBA Summary'!$F$2,'PBA Summary'!$G$2))</f>
        <v>3.2520612671235856E-2</v>
      </c>
      <c r="AM44" s="25" t="str" cm="1">
        <f t="array" ref="AM44">IF('PBA Summary'!$D$3="","",_xll.ASAssetStatistic($A44,"Beta to Benchmark 1 Last 3 years",'PBA Summary'!$D$3,,,"m",'PBA Summary'!$F$2,'PBA Summary'!$G$2))</f>
        <v/>
      </c>
      <c r="AN44" s="25" t="str" cm="1">
        <f t="array" ref="AN44">IF('PBA Summary'!$D$3="","",_xll.ASAssetStatistic($A44,"Beta to Benchmark 1 Last 5 years",'PBA Summary'!$D$3,,,"m",'PBA Summary'!$F$2,'PBA Summary'!$G$2))</f>
        <v/>
      </c>
      <c r="AO44" s="25" cm="1">
        <f t="array" ref="AO44">IF('PBA Summary'!$D$2="","",_xll.ASAssetStatistic($A44,"Bull Beta to Benchmark 1",'PBA Summary'!$D$2,,,"m",'PBA Summary'!$F$2,'PBA Summary'!$G$2))</f>
        <v>0.13527974407760049</v>
      </c>
      <c r="AP44" s="25" cm="1">
        <f t="array" ref="AP44">IF('PBA Summary'!$D$2="","",_xll.ASAssetStatistic($A44,"Bear Beta to Benchmark 1",'PBA Summary'!$D$2,,,"m",'PBA Summary'!$F$2,'PBA Summary'!$G$2))</f>
        <v>-6.2596968646784448E-2</v>
      </c>
      <c r="AQ44" s="25" cm="1">
        <f t="array" ref="AQ44">IF('PBA Summary'!$D$3="","",_xll.ASAssetStatistic($A44,"Bull Beta to Benchmark 1",'PBA Summary'!$D$3,,,"m",'PBA Summary'!$F$2,'PBA Summary'!$G$2))</f>
        <v>0.13527974407760049</v>
      </c>
      <c r="AR44" s="25" cm="1">
        <f t="array" ref="AR44">IF('PBA Summary'!$D$3="","",_xll.ASAssetStatistic($A44,"Bear Beta to Benchmark 1",'PBA Summary'!$D$3,,,"m",'PBA Summary'!$F$2,'PBA Summary'!$G$2))</f>
        <v>-6.2596968646784448E-2</v>
      </c>
      <c r="AS44" s="25" cm="1">
        <f t="array" ref="AS44">_xll.ASAssetStatistic($A44,"Annual Sharpe Ratio (Rf)",,,'PBA Summary'!$H$2,"m",'PBA Summary'!$F$2,'PBA Summary'!$G$2)</f>
        <v>2.8914048503302947</v>
      </c>
      <c r="AT44" s="25" t="str" cm="1">
        <f t="array" ref="AT44">_xll.ASAssetStatistic($A44,"Annual Sharpe Ratio (Rf) Last 3 years",,,'PBA Summary'!$H$2,"m",'PBA Summary'!$F$2,'PBA Summary'!$G$2)</f>
        <v/>
      </c>
      <c r="AU44" s="25" t="str" cm="1">
        <f t="array" ref="AU44">_xll.ASAssetStatistic($A44,"Annual Sharpe Ratio (Rf) Last 5 years",,,'PBA Summary'!$H$2,"m",'PBA Summary'!$F$2,'PBA Summary'!$G$2)</f>
        <v/>
      </c>
      <c r="AV44" s="18" cm="1">
        <f t="array" ref="AV44">_xll.ASAssetStatistic($A44,"Ann. Downside Deviation (vs 0%)",,,'PBA Summary'!$H$2,"m",'PBA Summary'!$F$2,'PBA Summary'!$G$2)</f>
        <v>2.9516097302997222E-3</v>
      </c>
      <c r="AW44" s="18" cm="1">
        <f t="array" ref="AW44">_xll.ASAssetStatistic($A44,"Ann. Downside Deviation (vs Rf)",,,'PBA Summary'!$H$2,"m",'PBA Summary'!$F$2,'PBA Summary'!$G$2)</f>
        <v>3.2987237650082481E-3</v>
      </c>
      <c r="AX44" s="39" cm="1">
        <f t="array" ref="AX44">_xll.ASAssetStatistic($A44,"Annual Treynor ratio",,,'PBA Summary'!$H$2,"m",'PBA Summary'!$F$2,'PBA Summary'!$G$2)</f>
        <v>1.773218775451993</v>
      </c>
      <c r="AY44" s="26" cm="1">
        <f t="array" ref="AY44">_xll.ASAssetStatistic($A44,"Annual Sortino Ratio (vs 0%)",,,'PBA Summary'!$H$2,"m",'PBA Summary'!$F$2,'PBA Summary'!$G$2)</f>
        <v>20.372659769300526</v>
      </c>
      <c r="AZ44" s="26" cm="1">
        <f t="array" ref="AZ44">_xll.ASAssetStatistic($A44,"Annual Sortino Ratio (vs Rf)",,,'PBA Summary'!$H$2,"m",'PBA Summary'!$F$2,'PBA Summary'!$G$2)</f>
        <v>17.471041806681566</v>
      </c>
      <c r="BA44" s="26" cm="1">
        <f t="array" ref="BA44">_xll.ASAssetStatistic($A44,"Sterling ratio",,,'PBA Summary'!$H$2,"m",'PBA Summary'!$F$2,'PBA Summary'!$G$2)</f>
        <v>0.57877565703778189</v>
      </c>
      <c r="BB44" s="26" cm="1">
        <f t="array" ref="BB44">_xll.ASAssetStatistic($A44,"Calmar ratio",,,'PBA Summary'!$H$2,"m",'PBA Summary'!$F$2,'PBA Summary'!$G$2)</f>
        <v>15.43662007650444</v>
      </c>
      <c r="BC44" s="26" cm="1">
        <f t="array" ref="BC44">_xll.ASAssetStatistic($A44,"Hurst index",,,'PBA Summary'!$H$2,"m",'PBA Summary'!$F$2,'PBA Summary'!$G$2)</f>
        <v>0.64661192835603276</v>
      </c>
      <c r="BD44" s="26" cm="1">
        <f t="array" ref="BD44">_xll.ASAssetStatistic($A44,"Omega (Threshold 1)",,,'PBA Summary'!$H$2,"m",'PBA Summary'!$F$2,'PBA Summary'!$G$2)</f>
        <v>13.032786885245903</v>
      </c>
      <c r="BE44" s="26" cm="1">
        <f t="array" ref="BE44">_xll.ASAssetStatistic($A44,"Omega (Threshold 2)",,,'PBA Summary'!$H$2,"m",'PBA Summary'!$F$2,'PBA Summary'!$G$2)</f>
        <v>0.95567867036011089</v>
      </c>
      <c r="BF44" s="26" cm="1">
        <f t="array" ref="BF44">_xll.ASAssetStatistic($A44,"Omega (Threshold 3)",,,'PBA Summary'!$H$2,"m",'PBA Summary'!$F$2,'PBA Summary'!$G$2)</f>
        <v>0.10514018691588781</v>
      </c>
      <c r="BG44" s="26" cm="1">
        <f t="array" ref="BG44">_xll.ASAssetStatistic($A44,"Omega (Threshold 4)",,,'PBA Summary'!$H$2,"m",'PBA Summary'!$F$2,'PBA Summary'!$G$2)</f>
        <v>1.749837977965004E-2</v>
      </c>
      <c r="BH44" s="26" cm="1">
        <f t="array" ref="BH44">_xll.ASAssetStatistic($A44,"Omega (Threshold 5)",,,'PBA Summary'!$H$2,"m",'PBA Summary'!$F$2,'PBA Summary'!$G$2)</f>
        <v>0</v>
      </c>
      <c r="BI44" s="26" t="str" cm="1">
        <f t="array" ref="BI44">_xll.ASAssetStatistic($A44,"Autocorrelated (illiquid)",,,'PBA Summary'!$H$2,"m",'PBA Summary'!$F$2,'PBA Summary'!$G$2)</f>
        <v>Yes</v>
      </c>
      <c r="BJ44" s="27" cm="1">
        <f t="array" ref="BJ44">_xll.ASAssetStatistic($A44,"% months in Run Up",,,'PBA Summary'!$H$2,"m",'PBA Summary'!$F$2,'PBA Summary'!$G$2)</f>
        <v>0.73333333333333339</v>
      </c>
      <c r="BK44" s="27" cm="1">
        <f t="array" ref="BK44">_xll.ASAssetStatistic($A44,"% months in Drawdown",,,'PBA Summary'!$H$2,"m",'PBA Summary'!$F$2,'PBA Summary'!$G$2)</f>
        <v>0.26666666666666666</v>
      </c>
      <c r="BL44" s="18" cm="1">
        <f t="array" ref="BL44">IF('PBA Summary'!$D$2="","",_xll.ASAssetStatistic($A44,"Bull Beta to Benchmark 1",'PBA Summary'!$D$2,,,"m",'PBA Summary'!$F$2,'PBA Summary'!$G$2))</f>
        <v>0.13527974407760049</v>
      </c>
      <c r="BM44" s="18" cm="1">
        <f t="array" ref="BM44">IF('PBA Summary'!$D$2="","",_xll.ASAssetStatistic($A44,"Average return during bear Benchmark 1",'PBA Summary'!$D$2,,,"m",'PBA Summary'!$F$2,'PBA Summary'!$G$2))</f>
        <v>2.9999999999999996E-3</v>
      </c>
      <c r="BN44" s="18" cm="1">
        <f t="array" ref="BN44">IF('PBA Summary'!$D$3="","",_xll.ASAssetStatistic($A44,"Average return during bull Benchmark 1",'PBA Summary'!$D$3,,,"m",'PBA Summary'!$F$2,'PBA Summary'!$G$2))</f>
        <v>5.5818181818181817E-3</v>
      </c>
      <c r="BO44" s="18" cm="1">
        <f t="array" ref="BO44">IF('PBA Summary'!$D$3="","",_xll.ASAssetStatistic($A44,"Average return during bear Benchmark 1",'PBA Summary'!$D$3,,,"m",'PBA Summary'!$F$2,'PBA Summary'!$G$2))</f>
        <v>2.9999999999999996E-3</v>
      </c>
      <c r="BP44" s="27" cm="1">
        <f t="array" ref="BP44">_xll.ASAssetStatistic($A44,"Maximum consecutive gain",,,'PBA Summary'!$H$2,"m",'PBA Summary'!$F$2,'PBA Summary'!$G$2)</f>
        <v>7.6389595218981476E-2</v>
      </c>
      <c r="BQ44" s="27" cm="1">
        <f t="array" ref="BQ44">_xll.ASAssetStatistic($A44,"Maximum consecutive loss",,,'PBA Summary'!$H$2,"m",'PBA Summary'!$F$2,'PBA Summary'!$G$2)</f>
        <v>-3.8954214399999909E-3</v>
      </c>
      <c r="BR44" s="27" cm="1">
        <f t="array" ref="BR44">_xll.ASAssetStatistic($A44,"Max monthly gain",,,'PBA Summary'!$H$2,"m",'PBA Summary'!$F$2,'PBA Summary'!$G$2)</f>
        <v>1.77E-2</v>
      </c>
      <c r="BS44" s="27" cm="1">
        <f t="array" ref="BS44">_xll.ASAssetStatistic($A44,"Max monthly loss",,,'PBA Summary'!$H$2,"m",'PBA Summary'!$F$2,'PBA Summary'!$G$2)</f>
        <v>-2.2000000000000001E-3</v>
      </c>
      <c r="BT44" s="27" cm="1">
        <f t="array" ref="BT44">_xll.ASAssetStatistic($A44,"Max drawdown",,,'PBA Summary'!$H$2,"m",'PBA Summary'!$F$2,'PBA Summary'!$G$2)</f>
        <v>-3.895421440000213E-3</v>
      </c>
      <c r="BU44" s="28" cm="1">
        <f t="array" ref="BU44">_xll.ASAssetStatistic($A44,"Date Max drawdown",,,'PBA Summary'!$H$2,"m",'PBA Summary'!$F$2,'PBA Summary'!$G$2)</f>
        <v>43861</v>
      </c>
      <c r="BV44" s="28" cm="1">
        <f t="array" ref="BV44">_xll.ASAssetStatistic($A44,"Start Date Max Drawdown",,,'PBA Summary'!$H$2,"m",'PBA Summary'!$F$2,'PBA Summary'!$G$2)</f>
        <v>43799</v>
      </c>
      <c r="BW44" s="28" t="str" cm="1">
        <f t="array" ref="BW44">_xll.ASAssetStatistic($A44,"End Date Max Drawdown",,,'PBA Summary'!$H$2,"m",'PBA Summary'!$F$2,'PBA Summary'!$G$2)</f>
        <v/>
      </c>
      <c r="BX44" s="29" cm="1">
        <f t="array" ref="BX44">_xll.ASAssetStatistic($A44,"Max Time-under-water (months)",,,'PBA Summary'!$H$2,"m",'PBA Summary'!$F$2,'PBA Summary'!$G$2)</f>
        <v>3</v>
      </c>
      <c r="BY44" s="27" cm="1">
        <f t="array" ref="BY44">_xll.ASAssetStatistic($A44,"Max possible drawdown 99%",,,'PBA Summary'!$H$2,"m",'PBA Summary'!$F$2,'PBA Summary'!$G$2)</f>
        <v>-9.1540856600636506E-3</v>
      </c>
      <c r="BZ44" s="27" cm="1">
        <f t="array" ref="BZ44">_xll.ASAssetStatistic($A44,"Max possible drawdown 99.9%",,,'PBA Summary'!$H$2,"m",'PBA Summary'!$F$2,'PBA Summary'!$G$2)</f>
        <v>-1.6152803603430944E-2</v>
      </c>
      <c r="CA44" s="30" cm="1">
        <f t="array" ref="CA44">_xll.ASAssetStatistic($A44,"Max Possible Time-under-water 99% (months)",,,'PBA Summary'!$H$2,"m",'PBA Summary'!$F$2,'PBA Summary'!$G$2)</f>
        <v>7.4829038093163343</v>
      </c>
      <c r="CB44" s="30" cm="1">
        <f t="array" ref="CB44">_xll.ASAssetStatistic($A44,"Max Possible Time-under-water 99.9% (months)",,,'PBA Summary'!$H$2,"m",'PBA Summary'!$F$2,'PBA Summary'!$G$2)</f>
        <v>13.203926651305949</v>
      </c>
      <c r="CC44" s="17" cm="1">
        <f t="array" ref="CC44">_xll.ASPortfolioReturnAttribution('PBA Summary'!$C$2,"OR",A44,"Last 1m",'PBA Summary'!$F$2,'PBA Summary'!$G$2)</f>
        <v>-5.0000092938002037E-5</v>
      </c>
      <c r="CD44" s="11" t="str" cm="1">
        <f t="array" ref="CD44">_xll.ASAssetInfo($A44,"Strategy")</f>
        <v>Funds - Structured Credit</v>
      </c>
      <c r="CE44" s="14" cm="1">
        <f t="array" ref="CE44">_xll.ASAssetInfo($A44,"Start Date")</f>
        <v>42400</v>
      </c>
      <c r="CF44" s="14" t="str" cm="1">
        <f t="array" ref="CF44">_xll.ASAssetRatings($A44,"Quantitative",0,0,0,0,0,'PBA Summary'!$F$2,'PBA Summary'!$G$2)</f>
        <v/>
      </c>
      <c r="CG44" s="14" t="str" cm="1">
        <f t="array" ref="CG44">_xll.ASAssetRatings($A44,"Qualitative",0,0,0,0,0,'PBA Summary'!$F$2,'PBA Summary'!$G$2)</f>
        <v/>
      </c>
      <c r="CH44" s="14" t="str" cm="1">
        <f t="array" ref="CH44">_xll.ASAssetRatings($A44,"Final",0,0,0,0,0,'PBA Summary'!$F$2,'PBA Summary'!$G$2)</f>
        <v/>
      </c>
      <c r="CI44" s="14" cm="1">
        <f t="array" ref="CI44">_xll.ASAssetInfo($A44,"Last Return Date")</f>
        <v>44104</v>
      </c>
      <c r="CJ44" s="14" t="str" cm="1">
        <f t="array" ref="CJ44">_xll.ASAssetInfo($A44,"Company Name")</f>
        <v>Orchard Global Asset Management LLP</v>
      </c>
      <c r="CK44" s="14" t="str" cm="1">
        <f t="array" ref="CK44">_xll.ASAssetInfo($A44,"Manager Name")</f>
        <v/>
      </c>
      <c r="CL44" s="14" t="str" cm="1">
        <f t="array" ref="CL44">_xll.ASAssetInfo($A44,"Address")</f>
        <v/>
      </c>
      <c r="CM44" s="14" t="str" cm="1">
        <f t="array" ref="CM44">_xll.ASAssetInfo($A44,"Phone Number")</f>
        <v/>
      </c>
      <c r="CN44" s="14" t="str" cm="1">
        <f t="array" ref="CN44">_xll.ASAssetInfo($A44,"Email")</f>
        <v/>
      </c>
      <c r="CO44" s="14" t="str" cm="1">
        <f t="array" ref="CO44">_xll.ASAssetInfo($A44,"Asset Type")</f>
        <v>Fixed Income</v>
      </c>
      <c r="CP44" s="14" t="str" cm="1">
        <f t="array" ref="CP44">_xll.ASAssetInfo($A44,"Proprietary ID")</f>
        <v/>
      </c>
      <c r="CQ44" s="14" t="str" cm="1">
        <f t="array" ref="CQ44">_xll.ASAssetInfo($A44,"Country")</f>
        <v>[Not Classified]</v>
      </c>
      <c r="CR44" s="14" t="str" cm="1">
        <f t="array" ref="CR44">_xll.ASAssetInfo($A44,"Currency")</f>
        <v>USD</v>
      </c>
      <c r="CS44" s="14" t="str" cm="1">
        <f t="array" ref="CS44">_xll.ASAssetInfo($A44,"Sub-Strategy")</f>
        <v/>
      </c>
      <c r="CT44" s="31" cm="1">
        <f t="array" ref="CT44">_xll.ASAssetInfo($A44,"Fund AUM (m)")</f>
        <v>458</v>
      </c>
      <c r="CU44" s="31" t="str" cm="1">
        <f t="array" ref="CU44">_xll.ASAssetInfo($A44,"Status")</f>
        <v>Open</v>
      </c>
      <c r="CV44" s="31" t="str" cm="1">
        <f t="array" ref="CV44">_xll.ASAssetInfo($A44,"Redemption 1 Frequency")</f>
        <v>Quarterly</v>
      </c>
      <c r="CW44" s="31" t="str" cm="1">
        <f t="array" ref="CW44">_xll.ASAssetInfo($A44,"Redemption 2 Frequency")</f>
        <v>Unknown</v>
      </c>
      <c r="CX44" s="31" t="str" cm="1">
        <f t="array" ref="CX44">_xll.ASAssetInfo($A44,"Redemption 3 Frequency")</f>
        <v>Unknown</v>
      </c>
      <c r="CY44" s="31" t="str" cm="1">
        <f t="array" ref="CY44">_xll.ASAssetInfo($A44,"Notice Period")</f>
        <v>90 Days</v>
      </c>
      <c r="CZ44" s="15" cm="1">
        <f t="array" ref="CZ44">_xll.ASAssetInfo($A44,"Performance Fee")</f>
        <v>0.2</v>
      </c>
      <c r="DA44" s="15" cm="1">
        <f t="array" ref="DA44">_xll.ASAssetInfo($A44,"Management Fee")</f>
        <v>0.02</v>
      </c>
      <c r="DB44" s="15" t="str" cm="1">
        <f t="array" ref="DB44">_xll.ASAssetInfo($A44,"ISIN")</f>
        <v>KYG677381231</v>
      </c>
      <c r="DC44" s="16" t="str" cm="1">
        <f t="array" ref="DC44">_xll.ASAssetStatistic($A44,"Return during " &amp;YEAR(EOMONTH('PBA Summary'!$G$2,-60)),,,,"M",DATE(YEAR(EOMONTH('PBA Summary'!$G$2,-60)),1,31),DATE(YEAR(EOMONTH('PBA Summary'!$G$2,-60)),12,31))</f>
        <v/>
      </c>
      <c r="DD44" s="16" cm="1">
        <f t="array" ref="DD44">_xll.ASAssetStatistic($A44,"Return during " &amp;YEAR(EOMONTH('PBA Summary'!$G$2,-48)),,,,"M",DATE(YEAR(EOMONTH('PBA Summary'!$G$2,-48)),1,31),DATE(YEAR(EOMONTH('PBA Summary'!$G$2,-48)),12,31))</f>
        <v>0.12970514118798904</v>
      </c>
      <c r="DE44" s="16" cm="1">
        <f t="array" ref="DE44">_xll.ASAssetStatistic($A44,"Return during " &amp;YEAR(EOMONTH('PBA Summary'!$G$2,-36)),,,,"M",DATE(YEAR(EOMONTH('PBA Summary'!$G$2,-36)),1,31),DATE(YEAR(EOMONTH('PBA Summary'!$G$2,-36)),12,31))</f>
        <v>8.4702167376417892E-2</v>
      </c>
      <c r="DF44" s="16" cm="1">
        <f t="array" ref="DF44">_xll.ASAssetStatistic($A44,"Return during " &amp;YEAR(EOMONTH('PBA Summary'!$G$2,-24)),,,,"M",DATE(YEAR(EOMONTH('PBA Summary'!$G$2,-24)),1,31),DATE(YEAR(EOMONTH('PBA Summary'!$G$2,-24)),12,31))</f>
        <v>5.0614741161779664E-2</v>
      </c>
      <c r="DG44" s="16" cm="1">
        <f t="array" ref="DG44">_xll.ASAssetStatistic($A44,"Return during " &amp;YEAR(EOMONTH('PBA Summary'!$G$2,-12)),,,,"M",DATE(YEAR(EOMONTH('PBA Summary'!$G$2,-12)),1,31),DATE(YEAR(EOMONTH('PBA Summary'!$G$2,-12)),12,31))</f>
        <v>6.9618778424622496E-2</v>
      </c>
      <c r="DH44" s="11" t="str" cm="1">
        <f t="array" ref="DH44">_xll.ASAssetInfo($A44,"Prime Broker")</f>
        <v>N.A.</v>
      </c>
      <c r="DI44" s="16" cm="1">
        <f t="array" ref="DI44">_xll.ASAssetStatistic($A44,"Return",,,,"m",'PBA Summary'!$F$2,'PBA Summary'!$G$2)</f>
        <v>7.5721879326632102E-2</v>
      </c>
      <c r="DJ44" s="33" cm="1">
        <f t="array" ref="DJ44">IF('PBA Summary'!$D$2="","",_xll.ASAssetStatistic($A44,"Ann. Information Ratio vs Benchmark 1",'PBA Summary'!$D$2,,,"m",'PBA Summary'!$F$2,'PBA Summary'!$G$2))</f>
        <v>-0.74896867644655651</v>
      </c>
      <c r="DK44" s="33" cm="1">
        <f t="array" ref="DK44">IF('PBA Summary'!$D$3="","",_xll.ASAssetStatistic($A44,"Ann. Information Ratio vs Benchmark 1",'PBA Summary'!$D$3,,,"m",'PBA Summary'!$F$2,'PBA Summary'!$G$2))</f>
        <v>-0.74896867644655651</v>
      </c>
      <c r="DL44" s="33" cm="1">
        <f t="array" ref="DL44">IF('PBA Summary'!$D$2="","",_xll.ASAssetStatistic($A44,"Ann. Tracking Error vs Benchmark 1",'PBA Summary'!$D$2,,,"m",'PBA Summary'!$F$2,'PBA Summary'!$G$2))</f>
        <v>0.14977955280018826</v>
      </c>
      <c r="DM44" s="33" cm="1">
        <f t="array" ref="DM44">IF('PBA Summary'!$D$3="","",_xll.ASAssetStatistic($A44,"Ann. Tracking Error vs Benchmark 1",'PBA Summary'!$D$3,,,"m",'PBA Summary'!$F$2,'PBA Summary'!$G$2))</f>
        <v>0.14977955280018826</v>
      </c>
      <c r="DN44" s="33" cm="1">
        <f t="array" ref="DN44">IF('PBA Summary'!$D$2="","",_xll.ASAssetStatistic($A44,"R² vs Benchmark 1",'PBA Summary'!$D$2,,,"m",'PBA Summary'!$F$2,'PBA Summary'!$G$2))</f>
        <v>6.2741988513866476E-2</v>
      </c>
      <c r="DO44" s="33" cm="1">
        <f t="array" ref="DO44">IF('PBA Summary'!$D$3="","",_xll.ASAssetStatistic($A44,"R² vs Benchmark 1",'PBA Summary'!$D$3,,,"m",'PBA Summary'!$F$2,'PBA Summary'!$G$2))</f>
        <v>6.2741988513866476E-2</v>
      </c>
      <c r="DP44" s="11" t="str" cm="1">
        <f t="array" ref="DP44">_xll.ASAssetInfo($A44,"On-/Offshore")</f>
        <v>Unknown</v>
      </c>
      <c r="DQ44" s="16" cm="1">
        <f t="array" ref="DQ44">_xll.ASAssetStatistic($A44,"Quarter-to-date",,,,"m",'PBA Summary'!$F$2,'PBA Summary'!$G$2)</f>
        <v>-4.9999999999994493E-4</v>
      </c>
      <c r="DR44" s="16" cm="1">
        <f t="array" ref="DR44">_xll.ASAssetStatistic($A44,"Annualized Return Since inception",,,,"m",'PBA Summary'!$F$2,'PBA Summary'!$G$2)</f>
        <v>0.10022398680773281</v>
      </c>
      <c r="DS44" s="16" cm="1">
        <f t="array" ref="DS44">IF('PBA Summary'!$D$2="","",_xll.ASAssetStatistic($A44,"Ann. Bear Market Return vs Benchmark 1",'PBA Summary'!$D$2,,,"m",'PBA Summary'!$F$2,'PBA Summary'!$G$2))</f>
        <v>3.6498635468675822E-2</v>
      </c>
      <c r="DT44" s="16" cm="1">
        <f t="array" ref="DT44">IF('PBA Summary'!$D$2="","",_xll.ASAssetStatistic($A44,"Ann. Bull Market Return vs Benchmark 1",'PBA Summary'!$D$2,,,"m",'PBA Summary'!$F$2,'PBA Summary'!$G$2))</f>
        <v>6.8859107726359392E-2</v>
      </c>
      <c r="DU44" s="16" cm="1">
        <f t="array" ref="DU44">IF('PBA Summary'!$D$3="","",_xll.ASAssetStatistic($A44,"Ann. Bear Market Return vs Benchmark 1",'PBA Summary'!$D$3,,,"m",'PBA Summary'!$F$2,'PBA Summary'!$G$2))</f>
        <v>3.6498635468675822E-2</v>
      </c>
      <c r="DV44" s="16" cm="1">
        <f t="array" ref="DV44">IF('PBA Summary'!$D$3="","",_xll.ASAssetStatistic($A44,"Ann. Bull Market Return vs Benchmark 1",'PBA Summary'!$D$3,,,"m",'PBA Summary'!$F$2,'PBA Summary'!$G$2))</f>
        <v>6.8859107726359392E-2</v>
      </c>
      <c r="DW44" s="17" cm="1">
        <f t="array" ref="DW44">_xll.ASAssetStatistic($A44,"Average Positive Return",,,,"m",'PBA Summary'!$F$2,'PBA Summary'!$G$2)</f>
        <v>7.2272727272727271E-3</v>
      </c>
      <c r="DX44" s="17" cm="1">
        <f t="array" ref="DX44">_xll.ASAssetStatistic($A44,"Average Negative Return",,,,"m",'PBA Summary'!$F$2,'PBA Summary'!$G$2)</f>
        <v>-1.5249999999999999E-3</v>
      </c>
      <c r="DY44" s="16" cm="1">
        <f t="array" ref="DY44">IF('PBA Summary'!$D$2="","",_xll.ASAssetStatistic($A44,"Outperformance vs Benchmark 1",'PBA Summary'!$D$2,,,"m",'PBA Summary'!$F$2,'PBA Summary'!$G$2))</f>
        <v>-0.14412176548208655</v>
      </c>
      <c r="DZ44" s="16" cm="1">
        <f t="array" ref="DZ44">IF('PBA Summary'!$D$3="","",_xll.ASAssetStatistic($A44,"Outperformance vs Benchmark 1",'PBA Summary'!$D$3,,,"m",'PBA Summary'!$F$2,'PBA Summary'!$G$2))</f>
        <v>-0.14412176548208655</v>
      </c>
      <c r="EA44" s="16" cm="1">
        <f t="array" ref="EA44">IF('PBA Summary'!$D$2="","",_xll.ASAssetStatistic($A44,"Annual Outperformance vs Benchmark 1",'PBA Summary'!$D$2,,,"m",'PBA Summary'!$F$2,'PBA Summary'!$G$2))</f>
        <v>-0.11218019341951413</v>
      </c>
      <c r="EB44" s="16" cm="1">
        <f t="array" ref="EB44">IF('PBA Summary'!$D$3="","",_xll.ASAssetStatistic($A44,"Annual Outperformance vs Benchmark 1",'PBA Summary'!$D$3,,,"m",'PBA Summary'!$F$2,'PBA Summary'!$G$2))</f>
        <v>-0.11218019341951413</v>
      </c>
      <c r="EC44" s="32" cm="1">
        <f t="array" ref="EC44">_xll.ASAssetStatistic($A44,"Rachev Ratio 99%",,,,"m",'PBA Summary'!$F$2,'PBA Summary'!$G$2)</f>
        <v>-8.045454545454545</v>
      </c>
      <c r="ED44" s="32" cm="1">
        <f t="array" ref="ED44">_xll.ASAssetStatistic($A44,"Rachev Ratio 97%",,,,"m",'PBA Summary'!$F$2,'PBA Summary'!$G$2)</f>
        <v>-8.045454545454545</v>
      </c>
      <c r="EE44" s="32" cm="1">
        <f t="array" ref="EE44">_xll.ASAssetStatistic($A44,"Rachev Ratio 95%",,,,"m",'PBA Summary'!$F$2,'PBA Summary'!$G$2)</f>
        <v>-8.045454545454545</v>
      </c>
      <c r="EF44" s="32" cm="1">
        <f t="array" ref="EF44">_xll.ASAssetStatistic($A44,"Rachev Ratio 90%",,,,"m",'PBA Summary'!$F$2,'PBA Summary'!$G$2)</f>
        <v>-7.2499999999999991</v>
      </c>
      <c r="EG44" s="34" cm="1">
        <f t="array" ref="EG44">IF('PBA Summary'!$D$2="","",_xll.ASAssetStatistic($A44,"Annual Up Capture vs Benchmark 1",'PBA Summary'!$D$2,,,"m",'PBA Summary'!$F$2,'PBA Summary'!$G$2))</f>
        <v>0.13602931180617761</v>
      </c>
      <c r="EH44" s="34" cm="1">
        <f t="array" ref="EH44">IF('PBA Summary'!$D$3="","",_xll.ASAssetStatistic($A44,"Annual Up Capture vs Benchmark 1",'PBA Summary'!$D$3,,,"m",'PBA Summary'!$F$2,'PBA Summary'!$G$2))</f>
        <v>0.13602931180617761</v>
      </c>
      <c r="EI44" s="34" cm="1">
        <f t="array" ref="EI44">IF('PBA Summary'!$D$2="","",_xll.ASAssetStatistic($A44,"Annual Down Capture vs Benchmark 1",'PBA Summary'!$D$2,,,"m",'PBA Summary'!$F$2,'PBA Summary'!$G$2))</f>
        <v>-8.8691460284530607E-2</v>
      </c>
      <c r="EJ44" s="34" cm="1">
        <f t="array" ref="EJ44">IF('PBA Summary'!$D$3="","",_xll.ASAssetStatistic($A44,"Annual Down Capture vs Benchmark 1",'PBA Summary'!$D$3,,,"m",'PBA Summary'!$F$2,'PBA Summary'!$G$2))</f>
        <v>-8.8691460284530607E-2</v>
      </c>
      <c r="EK44" s="16" cm="1">
        <f t="array" ref="EK44">IF('PBA Summary'!$D$2="","",_xll.ASAssetStatistic($A44,"Ann. Tracking Error vs Benchmark 1",'PBA Summary'!$D$2,,,"m",'PBA Summary'!$F$2,'PBA Summary'!$G$2))</f>
        <v>0.14977955280018826</v>
      </c>
      <c r="EL44" s="16" cm="1">
        <f t="array" ref="EL44">IF('PBA Summary'!$D$3="","",_xll.ASAssetStatistic($A44,"Ann. Tracking Error vs Benchmark 1",'PBA Summary'!$D$3,,,"m",'PBA Summary'!$F$2,'PBA Summary'!$G$2))</f>
        <v>0.14977955280018826</v>
      </c>
      <c r="EM44" s="16" cm="1">
        <f t="array" ref="EM44">IF('PBA Summary'!$D$2="","",_xll.ASAssetStatistic($A44,"Annual Jensen Alpha vs Benchmark 1 (Rf)",'PBA Summary'!$D$2,,,"m",'PBA Summary'!$F$2,'PBA Summary'!$G$2))</f>
        <v>5.2109739658969229E-2</v>
      </c>
      <c r="EN44" s="16" cm="1">
        <f t="array" ref="EN44">IF('PBA Summary'!$D$3="","",_xll.ASAssetStatistic($A44,"Annual Jensen Alpha vs Benchmark 1 (Rf)",'PBA Summary'!$D$3,,,"m",'PBA Summary'!$F$2,'PBA Summary'!$G$2))</f>
        <v>5.2109739658969229E-2</v>
      </c>
      <c r="EO44" s="33" cm="1">
        <f t="array" ref="EO44">IF('PBA Summary'!$D$2="","",_xll.ASAssetStatistic($A44,"Ann. Information Ratio vs Benchmark 1",'PBA Summary'!$D$2,,,"m",'PBA Summary'!$F$2,'PBA Summary'!$G$2))</f>
        <v>-0.74896867644655651</v>
      </c>
      <c r="EP44" s="33" cm="1">
        <f t="array" ref="EP44">IF('PBA Summary'!$D$3="","",_xll.ASAssetStatistic($A44,"Ann. Information Ratio vs Benchmark 1",'PBA Summary'!$D$3,,,"m",'PBA Summary'!$F$2,'PBA Summary'!$G$2))</f>
        <v>-0.74896867644655651</v>
      </c>
      <c r="EQ44" s="17" cm="1">
        <f t="array" ref="EQ44">IF('PBA Summary'!$D$2="","",_xll.ASAssetStatistic($A44,"Alpha Monthly vs Benchmark 1",'PBA Summary'!$D$2,,,"m",'PBA Summary'!$F$2,'PBA Summary'!$G$2))</f>
        <v>4.4293462429627469E-3</v>
      </c>
      <c r="ER44" s="17" cm="1">
        <f t="array" ref="ER44">IF('PBA Summary'!$D$3="","",_xll.ASAssetStatistic($A44,"Alpha Monthly vs Benchmark 1",'PBA Summary'!$D$3,,,"m",'PBA Summary'!$F$2,'PBA Summary'!$G$2))</f>
        <v>4.4293462429627469E-3</v>
      </c>
      <c r="ES44" s="11" cm="1">
        <f t="array" ref="ES44">_xll.ASAssetInfo($A44,"Company AUM (m)")</f>
        <v>5119</v>
      </c>
      <c r="ET44" s="16" cm="1">
        <f t="array" ref="ET44">_xll.ASAssetStatistic($A44,"Exponential Annualized Volatility",,,,"m",'PBA Summary'!$F$2,'PBA Summary'!$G$2)</f>
        <v>2.0763439345570445E-2</v>
      </c>
      <c r="EU44" s="16" cm="1">
        <f t="array" ref="EU44">_xll.ASAssetStatistic($A44,"Exponential Annualized Volatility Last 1 year",,,,"m",'PBA Summary'!$F$2,'PBA Summary'!$G$2)</f>
        <v>2.1783696577647296E-2</v>
      </c>
      <c r="EV44" s="16" t="str" cm="1">
        <f t="array" ref="EV44">_xll.ASAssetStatistic($A44,"Exponential Annualized Volatility Last 3 years",,,,"m",'PBA Summary'!$F$2,'PBA Summary'!$G$2)</f>
        <v/>
      </c>
      <c r="EW44" s="34" cm="1">
        <f t="array" ref="EW44">IF('PBA Summary'!$D$2="","",_xll.ASAssetStatistic($A44,"Exponential Correlation to Benchmark 1",'PBA Summary'!$D$2,,,"m",'PBA Summary'!$F$2,'PBA Summary'!$G$2))</f>
        <v>0.17401095166194874</v>
      </c>
      <c r="EX44" s="34" cm="1">
        <f t="array" ref="EX44">IF('PBA Summary'!$D$3="","",_xll.ASAssetStatistic($A44,"Exponential Correlation to Benchmark 1",'PBA Summary'!$D$3,,,"m",'PBA Summary'!$F$2,'PBA Summary'!$G$2))</f>
        <v>0.17401095166194874</v>
      </c>
      <c r="EY44" s="34" cm="1">
        <f t="array" ref="EY44">_xll.ASAssetStatistic($A44,"Exponential Annual Sharpe Ratio (Rf)",,,,"m",'PBA Summary'!$F$2,'PBA Summary'!$G$2)</f>
        <v>2.0387384793383467</v>
      </c>
      <c r="EZ44" s="34" cm="1">
        <f t="array" ref="EZ44">_xll.ASAssetStatistic($A44,"Exponential Normal Monthly VaR 99%",,,,"m",'PBA Summary'!$F$2,'PBA Summary'!$G$2)</f>
        <v>-1.0282570282467075E-2</v>
      </c>
      <c r="FA44" s="34" cm="1">
        <f t="array" ref="FA44">_xll.ASAssetStatistic($A44,"Exponential Normal Monthly VaR 97%",,,,"m",'PBA Summary'!$F$2,'PBA Summary'!$G$2)</f>
        <v>-7.6119676262021013E-3</v>
      </c>
      <c r="FB44" s="34" cm="1">
        <f t="array" ref="FB44">_xll.ASAssetStatistic($A44,"Exponential Normal Monthly VaR 95%",,,,"m",'PBA Summary'!$F$2,'PBA Summary'!$G$2)</f>
        <v>-6.1977696513422272E-3</v>
      </c>
      <c r="FC44" s="34" cm="1">
        <f t="array" ref="FC44">_xll.ASAssetStatistic($A44,"Exponential Normal Monthly VaR 90%",,,,"m",'PBA Summary'!$F$2,'PBA Summary'!$G$2)</f>
        <v>-4.0201775497772981E-3</v>
      </c>
      <c r="FD44" s="34" t="str" cm="1">
        <f t="array" ref="FD44">_xll.ASAssetStatistic($A44,"Exponential Normal weekly VaR 99%",,,,"m",'PBA Summary'!$F$2,'PBA Summary'!$G$2)</f>
        <v/>
      </c>
      <c r="FE44" s="34" t="str" cm="1">
        <f t="array" ref="FE44">_xll.ASAssetStatistic($A44,"Exponential Normal weekly VaR 97%",,,,"m",'PBA Summary'!$F$2,'PBA Summary'!$G$2)</f>
        <v/>
      </c>
      <c r="FF44" s="34" t="str" cm="1">
        <f t="array" ref="FF44">_xll.ASAssetStatistic($A44,"Exponential Normal weekly VaR 95%",,,,"m",'PBA Summary'!$F$2,'PBA Summary'!$G$2)</f>
        <v/>
      </c>
      <c r="FG44" s="34" t="str" cm="1">
        <f t="array" ref="FG44">_xll.ASAssetStatistic($A44,"Exponential Normal weekly VaR 90%",,,,"m",'PBA Summary'!$F$2,'PBA Summary'!$G$2)</f>
        <v/>
      </c>
      <c r="FH44" s="34" t="str" cm="1">
        <f t="array" ref="FH44">_xll.ASAssetStatistic($A44,"Exponential Normal daily VaR 99%",,,,"m",'PBA Summary'!$F$2,'PBA Summary'!$G$2)</f>
        <v/>
      </c>
      <c r="FI44" s="34" t="str" cm="1">
        <f t="array" ref="FI44">_xll.ASAssetStatistic($A44,"Exponential Normal daily VaR 97%",,,,"m",'PBA Summary'!$F$2,'PBA Summary'!$G$2)</f>
        <v/>
      </c>
      <c r="FJ44" s="34" t="str" cm="1">
        <f t="array" ref="FJ44">_xll.ASAssetStatistic($A44,"Exponential Normal daily VaR 95%",,,,"m",'PBA Summary'!$F$2,'PBA Summary'!$G$2)</f>
        <v/>
      </c>
      <c r="FK44" s="34" t="str" cm="1">
        <f t="array" ref="FK44">_xll.ASAssetStatistic($A44,"Exponential Normal daily VaR 90%",,,,"m",'PBA Summary'!$F$2,'PBA Summary'!$G$2)</f>
        <v/>
      </c>
      <c r="FL44" s="34" cm="1">
        <f t="array" ref="FL44">_xll.ASAssetStatistic($A44,"Bias Ratio",,,,"m",'PBA Summary'!$F$2,'PBA Summary'!$G$2)</f>
        <v>1</v>
      </c>
      <c r="FM44" s="11" t="str" cm="1">
        <f t="array" ref="FM44">_xll.ASAssetInfo($A44,"Manager's Biography")</f>
        <v/>
      </c>
      <c r="FN44" s="11" cm="1">
        <f t="array" ref="FN44">_xll.ASAssetInfo($A44,"Investment Min")</f>
        <v>1000000</v>
      </c>
      <c r="FO44" s="11" t="str" cm="1">
        <f t="array" ref="FO44">_xll.ASAssetInfo($A44,"Auditor")</f>
        <v>PriceWaterhouse Cooper</v>
      </c>
      <c r="FP44" s="11" t="str" cm="1">
        <f t="array" ref="FP44">_xll.ASAssetInfo($A44,"Custodian")</f>
        <v>State Street Bank and Trust Company</v>
      </c>
      <c r="FQ44" s="11" t="str" cm="1">
        <f t="array" ref="FQ44">_xll.ASAssetInfo($A44,"Administrator")</f>
        <v>SS&amp;C Fund Services (Ireland) Limited</v>
      </c>
      <c r="FR44" s="14" t="str" cm="1">
        <f t="array" ref="FR44">_xll.ASAssetInfo($A44,"Proxy 1 Start Date")</f>
        <v/>
      </c>
      <c r="FS44" s="14" t="str" cm="1">
        <f t="array" ref="FS44">_xll.ASAssetInfo($A44,"Proxy 1 End Date")</f>
        <v/>
      </c>
      <c r="FT44" s="14" t="str" cm="1">
        <f t="array" ref="FT44">_xll.ASAssetInfo($A44,"Proxy 2 Start Date")</f>
        <v/>
      </c>
      <c r="FU44" s="14" t="str" cm="1">
        <f t="array" ref="FU44">_xll.ASAssetInfo($A44,"Proxy 2 End Date")</f>
        <v/>
      </c>
      <c r="FV44" s="14" t="str" cm="1">
        <f t="array" ref="FV44">_xll.ASAssetInfo($A44,"Proxy 3 Start Date")</f>
        <v/>
      </c>
      <c r="FW44" s="14" t="str" cm="1">
        <f t="array" ref="FW44">_xll.ASAssetInfo($A44,"Proxy 3 End Date")</f>
        <v/>
      </c>
      <c r="FX44" s="14" t="str" cm="1">
        <f t="array" ref="FX44">_xll.ASAssetInfo($A44,"Fund Domicile")</f>
        <v>Cayman Islands</v>
      </c>
      <c r="FY44" s="14" t="str" cm="1">
        <f t="array" ref="FY44">_xll.ASAssetInfo($A44,"Fund Contact")</f>
        <v/>
      </c>
      <c r="FZ44" s="14" t="str" cm="1">
        <f t="array" ref="FZ44">_xll.ASAssetInfo($A44,"Fund Contact Email")</f>
        <v/>
      </c>
      <c r="GA44" s="14" t="str" cm="1">
        <f t="array" ref="GA44">_xll.ASAssetInfo($A44,"Fund Contact Number")</f>
        <v/>
      </c>
      <c r="GB44" s="14" t="str" cm="1">
        <f t="array" ref="GB44">_xll.ASAssetInfo($A44,"City")</f>
        <v/>
      </c>
      <c r="GC44" s="14" t="str" cm="1">
        <f t="array" ref="GC44">_xll.ASAssetInfo($A44,"Leverage")</f>
        <v>3x</v>
      </c>
      <c r="GD44" s="14" t="str" cm="1">
        <f t="array" ref="GD44">_xll.ASAssetInfo($A44,"Lockup 1 Duration")</f>
        <v>12 Months</v>
      </c>
      <c r="GE44" s="14" t="str" cm="1">
        <f t="array" ref="GE44">_xll.ASAssetInfo($A44,"Lockup 2 Duration")</f>
        <v>0 Months</v>
      </c>
      <c r="GF44" s="14" t="str" cm="1">
        <f t="array" ref="GF44">_xll.ASAssetInfo($A44,"Lockup 3 Duration")</f>
        <v>0 Months</v>
      </c>
      <c r="GG44" s="31" t="str" cm="1">
        <f t="array" ref="GG44">_xll.ASAssetInfo($A44,"Fund Level Gate")</f>
        <v/>
      </c>
      <c r="GH44" s="31" t="str" cm="1">
        <f t="array" ref="GH44">_xll.ASAssetInfo($A44,"Fund Level Gate Frequency")</f>
        <v>Unknown</v>
      </c>
      <c r="GI44" s="35" cm="1">
        <f t="array" ref="GI44">_xll.ASAssetInfo($A44,"Payment 2 (%)")</f>
        <v>0</v>
      </c>
      <c r="GJ44" s="35" t="str" cm="1">
        <f t="array" ref="GJ44">_xll.ASAssetInfo($A44,"Payment 2 (days)")</f>
        <v/>
      </c>
      <c r="GK44" s="35" t="str" cm="1">
        <f t="array" ref="GK44">_xll.ASAssetInfo($A44,"Payment 2 (Paid After)")</f>
        <v>NAV Date</v>
      </c>
      <c r="GL44" s="35" cm="1">
        <f t="array" ref="GL44">_xll.ASAssetInfo($A44,"Payment 3 (%)")</f>
        <v>0</v>
      </c>
      <c r="GM44" s="36" t="str" cm="1">
        <f t="array" ref="GM44">_xll.ASAssetInfo($A44,"Payment 3 (Days)")</f>
        <v/>
      </c>
      <c r="GN44" s="35" t="str" cm="1">
        <f t="array" ref="GN44">_xll.ASAssetInfo($A44,"Payment 3 (Paid After)")</f>
        <v>NAV Date</v>
      </c>
      <c r="GO44" s="35" cm="1">
        <f t="array" ref="GO44">_xll.ASAssetInfo($A44,"Payment 4 (%)")</f>
        <v>0</v>
      </c>
      <c r="GP44" s="36" t="str" cm="1">
        <f t="array" ref="GP44">_xll.ASAssetInfo($A44,"Payment 4 (days)")</f>
        <v/>
      </c>
      <c r="GQ44" s="35" t="str" cm="1">
        <f t="array" ref="GQ44">_xll.ASAssetInfo($A44,"Payment 4 (Paid After)")</f>
        <v>NAV Date</v>
      </c>
      <c r="GR44" s="11" cm="1">
        <f t="array" ref="GR44">_xll.ASAssetInfo($A44,"Payment 1 (%)")</f>
        <v>1</v>
      </c>
      <c r="GS44" s="35" cm="1">
        <f t="array" ref="GS44">_xll.ASAssetInfo($A44,"Lockup 1 Fee")</f>
        <v>0.02</v>
      </c>
      <c r="GT44" s="35" cm="1">
        <f t="array" ref="GT44">_xll.ASAssetInfo($A44,"Lockup 2 Fee")</f>
        <v>0</v>
      </c>
      <c r="GU44" s="35" cm="1">
        <f t="array" ref="GU44">_xll.ASAssetInfo($A44,"Lockup 3 Fee")</f>
        <v>0</v>
      </c>
      <c r="GV44" s="35" t="str" cm="1">
        <f t="array" ref="GV44">_xll.ASAssetInfo($A44,"Lockup 1 type")</f>
        <v>Soft</v>
      </c>
      <c r="GW44" s="35" t="str" cm="1">
        <f t="array" ref="GW44">_xll.ASAssetInfo($A44,"Lockup 2 type")</f>
        <v>None</v>
      </c>
      <c r="GX44" s="35" t="str" cm="1">
        <f t="array" ref="GX44">_xll.ASAssetInfo($A44,"Lockup 3 type")</f>
        <v>None</v>
      </c>
      <c r="GY44" s="35" t="str" cm="1">
        <f t="array" ref="GY44">_xll.ASAssetInfo($A44,"Redemption 1 type")</f>
        <v>Calendar</v>
      </c>
      <c r="GZ44" s="35" t="str" cm="1">
        <f t="array" ref="GZ44">_xll.ASAssetInfo($A44,"Redemption 2 type")</f>
        <v>Calendar</v>
      </c>
      <c r="HA44" s="35" t="str" cm="1">
        <f t="array" ref="HA44">_xll.ASAssetInfo($A44,"Redemption 3 type")</f>
        <v>Calendar</v>
      </c>
      <c r="HB44" s="35" t="str" cm="1">
        <f t="array" ref="HB44">_xll.ASAssetInfo($A44,"Redemption 1 Fee")</f>
        <v/>
      </c>
      <c r="HC44" s="35" t="str" cm="1">
        <f t="array" ref="HC44">_xll.ASAssetInfo($A44,"Redemption 2 Fee")</f>
        <v/>
      </c>
      <c r="HD44" s="35" t="str" cm="1">
        <f t="array" ref="HD44">_xll.ASAssetInfo($A44,"Redemption 3 Fee")</f>
        <v/>
      </c>
      <c r="HE44" s="35" t="str" cm="1">
        <f t="array" ref="HE44">_xll.ASAssetInfo($A44,"Redemption 1 Frequency")</f>
        <v>Quarterly</v>
      </c>
      <c r="HF44" s="35" t="str" cm="1">
        <f t="array" ref="HF44">_xll.ASAssetInfo($A44,"Redemption 2 Frequency")</f>
        <v>Unknown</v>
      </c>
      <c r="HG44" s="35" t="str" cm="1">
        <f t="array" ref="HG44">_xll.ASAssetInfo($A44,"Redemption 3 Frequency")</f>
        <v>Unknown</v>
      </c>
      <c r="HH44" s="35" t="str" cm="1">
        <f t="array" ref="HH44">_xll.ASAssetInfo($A44,"Asset Calendar")</f>
        <v>[Default]</v>
      </c>
      <c r="HI44" s="16" cm="1">
        <f t="array" ref="HI44">_xll.ASAssetStatistic($A44,"Max Second Drawdown",,,,"m",'PBA Summary'!$F$2,'PBA Summary'!$G$2)</f>
        <v>-2.1999999999999797E-3</v>
      </c>
      <c r="HJ44" s="37" cm="1">
        <f t="array" ref="HJ44">_xll.ASAssetStatistic($A44,"Date Max Second Drawdown",,,,"m",'PBA Summary'!$F$2,'PBA Summary'!$G$2)</f>
        <v>43738</v>
      </c>
      <c r="HK44" s="37"/>
      <c r="HL44" s="37" t="str" cm="1">
        <f t="array" ref="HL44">_xll.ASAssetInfo($A44,HL$1)</f>
        <v/>
      </c>
      <c r="HM44" s="34" t="str" cm="1">
        <f t="array" ref="HM44">_xll.ASAssetInfo($A44,HM$1)</f>
        <v/>
      </c>
      <c r="HN44" s="37" t="str" cm="1">
        <f t="array" ref="HN44">_xll.ASAssetInfo($A44,HN$1)</f>
        <v/>
      </c>
      <c r="HO44" s="15" cm="1">
        <f t="array" ref="HO44">_xll.ASAssetInfo($A44,HO$1)</f>
        <v>0</v>
      </c>
      <c r="HP44" s="15" t="str" cm="1">
        <f t="array" ref="HP44">_xll.ASAssetInfo($A44,HP$1)</f>
        <v/>
      </c>
      <c r="HQ44" s="34" t="str" cm="1">
        <f t="array" ref="HQ44">_xll.ASAssetInfo($A44,HQ$1)</f>
        <v/>
      </c>
      <c r="HR44" s="37" t="str" cm="1">
        <f t="array" ref="HR44">_xll.ASAssetInfo($A44,HR$1)</f>
        <v/>
      </c>
      <c r="HS44" s="37" t="str" cm="1">
        <f t="array" ref="HS44">_xll.ASAssetInfo($A44,HS$1)</f>
        <v/>
      </c>
      <c r="HT44" s="37" t="str" cm="1">
        <f t="array" ref="HT44">_xll.ASAssetInfo($A44,HT$1)</f>
        <v/>
      </c>
      <c r="HU44" s="37" t="str" cm="1">
        <f t="array" ref="HU44">_xll.ASAssetInfo($A44,HU$1)</f>
        <v>Global</v>
      </c>
      <c r="HV44" s="37" t="str" cm="1">
        <f t="array" ref="HV44">_xll.ASAssetInfo($A44,HV$1)</f>
        <v/>
      </c>
      <c r="HW44" s="37" t="str" cm="1">
        <f t="array" ref="HW44">_xll.ASAssetInfo($A44,HW$1)</f>
        <v/>
      </c>
    </row>
    <row r="45" spans="1:231" s="11" customFormat="1" ht="135" x14ac:dyDescent="0.25">
      <c r="A45" t="s">
        <v>309</v>
      </c>
      <c r="B45" cm="1">
        <f t="array" ref="B45">_xll.ASPortfolioWeights('PBA Summary'!$C$2,"OR",$A45)</f>
        <v>0</v>
      </c>
      <c r="C45" cm="1">
        <f t="array" ref="C45">_xll.ASAssetStatistic($A45,"Annualized Return since inception",,,,"m",_xll.ASAssetInfo($A45,"Start Date"),_xll.ASAssetInfo($A45,"Last Return Date"))</f>
        <v>6.0326551746412438E-2</v>
      </c>
      <c r="D45" cm="1">
        <f t="array" ref="D45">_xll.ASAssetStatistic($A45,"Annualized Return",,,,"m",'PBA Summary'!$F$2,'PBA Summary'!$G$2)</f>
        <v>8.3650027682233397E-2</v>
      </c>
      <c r="E45" s="19" cm="1">
        <f t="array" ref="E45">_xll.ASAssetStatistic($A45,"Equilibrium Annual Return",,,,"m",'PBA Summary'!$F$2,'PBA Summary'!$G$2)</f>
        <v>8.3068608347641071E-2</v>
      </c>
      <c r="F45" cm="1">
        <f t="array" ref="F45">_xll.ASAssetStatistic($A45,"Annualized Volatility (Inception)",,,,"m",_xll.ASAssetInfo($A45,"Start Date"),_xll.ASAssetInfo($A45,"Last Return Date"))</f>
        <v>4.7960235383576071E-2</v>
      </c>
      <c r="G45" cm="1">
        <f t="array" ref="G45">_xll.ASAssetStatistic($A45,"Annualized Volatility",,,,"m",'PBA Summary'!$F$2,'PBA Summary'!$G$2)</f>
        <v>2.3356168847438557E-2</v>
      </c>
      <c r="H45" s="20" cm="1">
        <f t="array" ref="H45">_xll.ASAssetStatistic($A45,"Skewness",,,,"m",'PBA Summary'!$F$2,'PBA Summary'!$G$2)</f>
        <v>-0.12552656320045316</v>
      </c>
      <c r="I45" s="20" cm="1">
        <f t="array" ref="I45">_xll.ASAssetStatistic($A45,"Excess kurtosis",,,,"m",'PBA Summary'!$F$2,'PBA Summary'!$G$2)</f>
        <v>1.719884394223431</v>
      </c>
      <c r="J45" s="19" cm="1">
        <f t="array" ref="J45">_xll.ASAssetStatistic($A45,"Return Last 1 month",,,,"m",'PBA Summary'!$F$2,'PBA Summary'!$G$2)</f>
        <v>4.4785668586053706E-3</v>
      </c>
      <c r="K45" s="19" cm="1">
        <f t="array" ref="K45">_xll.ASAssetStatistic($A45,"Return Last 3 months",,,,"m",'PBA Summary'!$F$2,'PBA Summary'!$G$2)</f>
        <v>2.2135416666666741E-2</v>
      </c>
      <c r="L45" s="19" cm="1">
        <f t="array" ref="L45">_xll.ASAssetStatistic($A45,"Return Last 1 year",,,,"m",'PBA Summary'!$F$2,'PBA Summary'!$G$2)</f>
        <v>7.3871409028727353E-2</v>
      </c>
      <c r="M45" s="19" cm="1">
        <f t="array" ref="M45">_xll.ASAssetStatistic($A45,"Year-to-date Return",,,,"m",'PBA Summary'!$F$2,'PBA Summary'!$G$2)</f>
        <v>4.4785668586053706E-3</v>
      </c>
      <c r="N45" s="19" cm="1">
        <f t="array" ref="N45">_xll.ASAssetStatistic($A45,"Annualized Return",,,,"m",EOMONTH('PBA Summary'!$G$2,-2),'PBA Summary'!$G$2)</f>
        <v>9.1525150120925547E-2</v>
      </c>
      <c r="O45" s="19" t="str" cm="1">
        <f t="array" ref="O45">_xll.ASAssetStatistic($A45,"Annualized Return Last 3 years",,,,"m",'PBA Summary'!$F$2,'PBA Summary'!$G$2)</f>
        <v/>
      </c>
      <c r="P45" s="19" t="str" cm="1">
        <f t="array" ref="P45">_xll.ASAssetStatistic($A45,"Annualized Return Last 5 years",,,,"m",'PBA Summary'!$F$2,'PBA Summary'!$G$2)</f>
        <v/>
      </c>
      <c r="Q45" s="19" cm="1">
        <f t="array" ref="Q45">_xll.ASAssetStatistic($A45,"Annualized Volatility Last 1 year",,,,"m",'PBA Summary'!$F$2,'PBA Summary'!$G$2)</f>
        <v>1.9986096316463843E-2</v>
      </c>
      <c r="R45" s="19" t="str" cm="1">
        <f t="array" ref="R45">_xll.ASAssetStatistic($A45,"Annualized Volatility Last 3 years",,,,"m",'PBA Summary'!$F$2,'PBA Summary'!$G$2)</f>
        <v/>
      </c>
      <c r="S45" s="19" t="str" cm="1">
        <f t="array" ref="S45">_xll.ASAssetStatistic($A45,"Annualized Volatility Last 5 years",,,,"m",'PBA Summary'!$F$2,'PBA Summary'!$G$2)</f>
        <v/>
      </c>
      <c r="T45" s="19" cm="1">
        <f t="array" ref="T45">_xll.ASAssetStatistic($A45,"Normal monthly VaR 99%",,,,"m",'PBA Summary'!$F$2,'PBA Summary'!$G$2)</f>
        <v>-8.9469143760393145E-3</v>
      </c>
      <c r="U45" s="19" cm="1">
        <f t="array" ref="U45">_xll.ASAssetStatistic($A45,"Modified monthly VaR 99%",,,,"m",'PBA Summary'!$F$2,'PBA Summary'!$G$2)</f>
        <v>-1.2240277609642414E-2</v>
      </c>
      <c r="V45" s="19" cm="1">
        <f t="array" ref="V45">_xll.ASAssetStatistic($A45,"Conditional monthly VaR 99%",,,,"m",'PBA Summary'!$F$2,'PBA Summary'!$G$2)</f>
        <v>-8.5022890778286841E-3</v>
      </c>
      <c r="W45" s="19" cm="1">
        <f t="array" ref="W45">_xll.ASAssetStatistic($A45,"Normal monthly VaR 97%",,,,"m",'PBA Summary'!$F$2,'PBA Summary'!$G$2)</f>
        <v>-5.9428337164712545E-3</v>
      </c>
      <c r="X45" s="19" cm="1">
        <f t="array" ref="X45">_xll.ASAssetStatistic($A45,"Modified monthly VaR 97%",,,,"m",'PBA Summary'!$F$2,'PBA Summary'!$G$2)</f>
        <v>-6.7775778985771458E-3</v>
      </c>
      <c r="Y45" s="19" cm="1">
        <f t="array" ref="Y45">_xll.ASAssetStatistic($A45,"Conditional monthly VaR 97%",,,,"m",'PBA Summary'!$F$2,'PBA Summary'!$G$2)</f>
        <v>-8.5022890778286841E-3</v>
      </c>
      <c r="Z45" s="19" cm="1">
        <f t="array" ref="Z45">_xll.ASAssetStatistic($A45,"Normal monthly VaR 95%",,,,"m",'PBA Summary'!$F$2,'PBA Summary'!$G$2)</f>
        <v>-4.3520449201257519E-3</v>
      </c>
      <c r="AA45" s="19" cm="1">
        <f t="array" ref="AA45">_xll.ASAssetStatistic($A45,"Modified monthly VaR 95%",,,,"m",'PBA Summary'!$F$2,'PBA Summary'!$G$2)</f>
        <v>-4.3566116851160462E-3</v>
      </c>
      <c r="AB45" s="19" cm="1">
        <f t="array" ref="AB45">_xll.ASAssetStatistic($A45,"Conditional monthly VaR 95%",,,,"m",'PBA Summary'!$F$2,'PBA Summary'!$G$2)</f>
        <v>-8.5022890778286841E-3</v>
      </c>
      <c r="AC45" s="66" cm="1">
        <f t="array" ref="AC45">_xll.ASAssetStatistic($A45,"Correlation to Benchmark 1","MSCI ACWI Index",,,"m",'PBA Summary'!$F$2,'PBA Summary'!$G$2)</f>
        <v>0.54124624508899999</v>
      </c>
      <c r="AD45" s="38" cm="1">
        <f t="array" ref="AD45">IF('PBA Summary'!$D$3="","",_xll.ASAssetStatistic($A45,"Correlation to Benchmark 1",'PBA Summary'!$D$3,,,"m",'PBA Summary'!$F$2,'PBA Summary'!$G$2))</f>
        <v>0.4303255099153524</v>
      </c>
      <c r="AE45" s="21" cm="1">
        <f t="array" ref="AE45">IF('PBA Summary'!$D$2="","",_xll.ASAssetStatistic($A45,"Bull correlation to Benchmark 1",'PBA Summary'!$D$2,,,"m",'PBA Summary'!$F$2,'PBA Summary'!$G$2))</f>
        <v>0.80379751507542463</v>
      </c>
      <c r="AF45" s="21" cm="1">
        <f t="array" ref="AF45">IF('PBA Summary'!$D$2="","",_xll.ASAssetStatistic($A45,"Bear correlation to Benchmark 1",'PBA Summary'!$D$2,,,"m",'PBA Summary'!$F$2,'PBA Summary'!$G$2))</f>
        <v>-0.60326756671079507</v>
      </c>
      <c r="AG45" s="21" cm="1">
        <f t="array" ref="AG45">IF('PBA Summary'!$D$3="","",_xll.ASAssetStatistic($A45,"Bull correlation to Benchmark 1",'PBA Summary'!$D$3,,,"m",'PBA Summary'!$F$2,'PBA Summary'!$G$2))</f>
        <v>0.80379751507542463</v>
      </c>
      <c r="AH45" s="21" cm="1">
        <f t="array" ref="AH45">IF('PBA Summary'!$D$3="","",_xll.ASAssetStatistic($A45,"Bear correlation to Benchmark 1",'PBA Summary'!$D$3,,,"m",'PBA Summary'!$F$2,'PBA Summary'!$G$2))</f>
        <v>-0.60326756671079507</v>
      </c>
      <c r="AI45" s="24" cm="1">
        <f t="array" ref="AI45">IF('PBA Summary'!$D$2="","",_xll.ASAssetStatistic($A45,"Beta to Benchmark 1",'PBA Summary'!$D$2,,,"m",'PBA Summary'!$F$2,'PBA Summary'!$G$2))</f>
        <v>6.5466998596178966E-2</v>
      </c>
      <c r="AJ45" s="24" t="str" cm="1">
        <f t="array" ref="AJ45">IF('PBA Summary'!$D$2="","",_xll.ASAssetStatistic($A45,"Beta to Benchmark 1 Last 3 years",'PBA Summary'!$D$2,,,"m",'PBA Summary'!$F$2,'PBA Summary'!$G$2))</f>
        <v/>
      </c>
      <c r="AK45" s="24" t="str" cm="1">
        <f t="array" ref="AK45">IF('PBA Summary'!$D$2="","",_xll.ASAssetStatistic($A45,"Beta to Benchmark 1 Last 5 years",'PBA Summary'!$D$2,,,"m",'PBA Summary'!$F$2,'PBA Summary'!$G$2))</f>
        <v/>
      </c>
      <c r="AL45" s="25" cm="1">
        <f t="array" ref="AL45">IF('PBA Summary'!$D$3="","",_xll.ASAssetStatistic($A45,"Beta to Benchmark 1",'PBA Summary'!$D$3,,,"m",'PBA Summary'!$F$2,'PBA Summary'!$G$2))</f>
        <v>6.5466998596178966E-2</v>
      </c>
      <c r="AM45" s="25" t="str" cm="1">
        <f t="array" ref="AM45">IF('PBA Summary'!$D$3="","",_xll.ASAssetStatistic($A45,"Beta to Benchmark 1 Last 3 years",'PBA Summary'!$D$3,,,"m",'PBA Summary'!$F$2,'PBA Summary'!$G$2))</f>
        <v/>
      </c>
      <c r="AN45" s="25" t="str" cm="1">
        <f t="array" ref="AN45">IF('PBA Summary'!$D$3="","",_xll.ASAssetStatistic($A45,"Beta to Benchmark 1 Last 5 years",'PBA Summary'!$D$3,,,"m",'PBA Summary'!$F$2,'PBA Summary'!$G$2))</f>
        <v/>
      </c>
      <c r="AO45" s="25" cm="1">
        <f t="array" ref="AO45">IF('PBA Summary'!$D$2="","",_xll.ASAssetStatistic($A45,"Bull Beta to Benchmark 1",'PBA Summary'!$D$2,,,"m",'PBA Summary'!$F$2,'PBA Summary'!$G$2))</f>
        <v>0.22350637680026558</v>
      </c>
      <c r="AP45" s="25" cm="1">
        <f t="array" ref="AP45">IF('PBA Summary'!$D$2="","",_xll.ASAssetStatistic($A45,"Bear Beta to Benchmark 1",'PBA Summary'!$D$2,,,"m",'PBA Summary'!$F$2,'PBA Summary'!$G$2))</f>
        <v>-0.11025934888160498</v>
      </c>
      <c r="AQ45" s="25" cm="1">
        <f t="array" ref="AQ45">IF('PBA Summary'!$D$3="","",_xll.ASAssetStatistic($A45,"Bull Beta to Benchmark 1",'PBA Summary'!$D$3,,,"m",'PBA Summary'!$F$2,'PBA Summary'!$G$2))</f>
        <v>0.22350637680026558</v>
      </c>
      <c r="AR45" s="25" cm="1">
        <f t="array" ref="AR45">IF('PBA Summary'!$D$3="","",_xll.ASAssetStatistic($A45,"Bear Beta to Benchmark 1",'PBA Summary'!$D$3,,,"m",'PBA Summary'!$F$2,'PBA Summary'!$G$2))</f>
        <v>-0.11025934888160498</v>
      </c>
      <c r="AS45" s="25" cm="1">
        <f t="array" ref="AS45">_xll.ASAssetStatistic($A45,"Annual Sharpe Ratio (Rf)",,,'PBA Summary'!$H$2,"m",'PBA Summary'!$F$2,'PBA Summary'!$G$2)</f>
        <v>3.4744579991822171</v>
      </c>
      <c r="AT45" s="25" t="str" cm="1">
        <f t="array" ref="AT45">_xll.ASAssetStatistic($A45,"Annual Sharpe Ratio (Rf) Last 3 years",,,'PBA Summary'!$H$2,"m",'PBA Summary'!$F$2,'PBA Summary'!$G$2)</f>
        <v/>
      </c>
      <c r="AU45" s="25" t="str" cm="1">
        <f t="array" ref="AU45">_xll.ASAssetStatistic($A45,"Annual Sharpe Ratio (Rf) Last 5 years",,,'PBA Summary'!$H$2,"m",'PBA Summary'!$F$2,'PBA Summary'!$G$2)</f>
        <v/>
      </c>
      <c r="AV45" s="18" cm="1">
        <f t="array" ref="AV45">_xll.ASAssetStatistic($A45,"Ann. Downside Deviation (vs 0%)",,,'PBA Summary'!$H$2,"m",'PBA Summary'!$F$2,'PBA Summary'!$G$2)</f>
        <v>7.6307196467711117E-3</v>
      </c>
      <c r="AW45" s="18" cm="1">
        <f t="array" ref="AW45">_xll.ASAssetStatistic($A45,"Ann. Downside Deviation (vs Rf)",,,'PBA Summary'!$H$2,"m",'PBA Summary'!$F$2,'PBA Summary'!$G$2)</f>
        <v>7.8334216882308943E-3</v>
      </c>
      <c r="AX45" s="39" cm="1">
        <f t="array" ref="AX45">_xll.ASAssetStatistic($A45,"Annual Treynor ratio",,,'PBA Summary'!$H$2,"m",'PBA Summary'!$F$2,'PBA Summary'!$G$2)</f>
        <v>8.5557273130506655</v>
      </c>
      <c r="AY45" s="26" cm="1">
        <f t="array" ref="AY45">_xll.ASAssetStatistic($A45,"Annual Sortino Ratio (vs 0%)",,,'PBA Summary'!$H$2,"m",'PBA Summary'!$F$2,'PBA Summary'!$G$2)</f>
        <v>10.962272440139948</v>
      </c>
      <c r="AZ45" s="26" cm="1">
        <f t="array" ref="AZ45">_xll.ASAssetStatistic($A45,"Annual Sortino Ratio (vs Rf)",,,'PBA Summary'!$H$2,"m",'PBA Summary'!$F$2,'PBA Summary'!$G$2)</f>
        <v>10.359461154013321</v>
      </c>
      <c r="BA45" s="26" cm="1">
        <f t="array" ref="BA45">_xll.ASAssetStatistic($A45,"Sterling ratio",,,'PBA Summary'!$H$2,"m",'PBA Summary'!$F$2,'PBA Summary'!$G$2)</f>
        <v>0.77095173192365851</v>
      </c>
      <c r="BB45" s="26" cm="1">
        <f t="array" ref="BB45">_xll.ASAssetStatistic($A45,"Calmar ratio",,,'PBA Summary'!$H$2,"m",'PBA Summary'!$F$2,'PBA Summary'!$G$2)</f>
        <v>9.8385301789332793</v>
      </c>
      <c r="BC45" s="26" cm="1">
        <f t="array" ref="BC45">_xll.ASAssetStatistic($A45,"Hurst index",,,'PBA Summary'!$H$2,"m",'PBA Summary'!$F$2,'PBA Summary'!$G$2)</f>
        <v>0.48883442464235233</v>
      </c>
      <c r="BD45" s="26" cm="1">
        <f t="array" ref="BD45">_xll.ASAssetStatistic($A45,"Omega (Threshold 1)",,,'PBA Summary'!$H$2,"m",'PBA Summary'!$F$2,'PBA Summary'!$G$2)</f>
        <v>11.978301392883457</v>
      </c>
      <c r="BE45" s="26" cm="1">
        <f t="array" ref="BE45">_xll.ASAssetStatistic($A45,"Omega (Threshold 2)",,,'PBA Summary'!$H$2,"m",'PBA Summary'!$F$2,'PBA Summary'!$G$2)</f>
        <v>2.1083701744576833</v>
      </c>
      <c r="BF45" s="26" cm="1">
        <f t="array" ref="BF45">_xll.ASAssetStatistic($A45,"Omega (Threshold 3)",,,'PBA Summary'!$H$2,"m",'PBA Summary'!$F$2,'PBA Summary'!$G$2)</f>
        <v>0.27470150083829264</v>
      </c>
      <c r="BG45" s="26" cm="1">
        <f t="array" ref="BG45">_xll.ASAssetStatistic($A45,"Omega (Threshold 4)",,,'PBA Summary'!$H$2,"m",'PBA Summary'!$F$2,'PBA Summary'!$G$2)</f>
        <v>4.5810132863910454E-2</v>
      </c>
      <c r="BH45" s="26" cm="1">
        <f t="array" ref="BH45">_xll.ASAssetStatistic($A45,"Omega (Threshold 5)",,,'PBA Summary'!$H$2,"m",'PBA Summary'!$F$2,'PBA Summary'!$G$2)</f>
        <v>4.7515057978547567E-3</v>
      </c>
      <c r="BI45" s="26" t="str" cm="1">
        <f t="array" ref="BI45">_xll.ASAssetStatistic($A45,"Autocorrelated (illiquid)",,,'PBA Summary'!$H$2,"m",'PBA Summary'!$F$2,'PBA Summary'!$G$2)</f>
        <v>Yes</v>
      </c>
      <c r="BJ45" s="27" cm="1">
        <f t="array" ref="BJ45">_xll.ASAssetStatistic($A45,"% months in Run Up",,,'PBA Summary'!$H$2,"m",'PBA Summary'!$F$2,'PBA Summary'!$G$2)</f>
        <v>0.8666666666666667</v>
      </c>
      <c r="BK45" s="27" cm="1">
        <f t="array" ref="BK45">_xll.ASAssetStatistic($A45,"% months in Drawdown",,,'PBA Summary'!$H$2,"m",'PBA Summary'!$F$2,'PBA Summary'!$G$2)</f>
        <v>0.13333333333333333</v>
      </c>
      <c r="BL45" s="18" cm="1">
        <f t="array" ref="BL45">IF('PBA Summary'!$D$2="","",_xll.ASAssetStatistic($A45,"Bull Beta to Benchmark 1",'PBA Summary'!$D$2,,,"m",'PBA Summary'!$F$2,'PBA Summary'!$G$2))</f>
        <v>0.22350637680026558</v>
      </c>
      <c r="BM45" s="18" cm="1">
        <f t="array" ref="BM45">IF('PBA Summary'!$D$2="","",_xll.ASAssetStatistic($A45,"Average return during bear Benchmark 1",'PBA Summary'!$D$2,,,"m",'PBA Summary'!$F$2,'PBA Summary'!$G$2))</f>
        <v>2.4534194348139471E-3</v>
      </c>
      <c r="BN45" s="18" cm="1">
        <f t="array" ref="BN45">IF('PBA Summary'!$D$3="","",_xll.ASAssetStatistic($A45,"Average return during bull Benchmark 1",'PBA Summary'!$D$3,,,"m",'PBA Summary'!$F$2,'PBA Summary'!$G$2))</f>
        <v>8.2962011318702105E-3</v>
      </c>
      <c r="BO45" s="18" cm="1">
        <f t="array" ref="BO45">IF('PBA Summary'!$D$3="","",_xll.ASAssetStatistic($A45,"Average return during bear Benchmark 1",'PBA Summary'!$D$3,,,"m",'PBA Summary'!$F$2,'PBA Summary'!$G$2))</f>
        <v>2.4534194348139471E-3</v>
      </c>
      <c r="BP45" s="27" cm="1">
        <f t="array" ref="BP45">_xll.ASAssetStatistic($A45,"Maximum consecutive gain",,,'PBA Summary'!$H$2,"m",'PBA Summary'!$F$2,'PBA Summary'!$G$2)</f>
        <v>7.7519379844961156E-2</v>
      </c>
      <c r="BQ45" s="27" cm="1">
        <f t="array" ref="BQ45">_xll.ASAssetStatistic($A45,"Maximum consecutive loss",,,'PBA Summary'!$H$2,"m",'PBA Summary'!$F$2,'PBA Summary'!$G$2)</f>
        <v>-8.5022890778286841E-3</v>
      </c>
      <c r="BR45" s="27" cm="1">
        <f t="array" ref="BR45">_xll.ASAssetStatistic($A45,"Max monthly gain",,,'PBA Summary'!$H$2,"m",'PBA Summary'!$F$2,'PBA Summary'!$G$2)</f>
        <v>2.0949720670391025E-2</v>
      </c>
      <c r="BS45" s="27" cm="1">
        <f t="array" ref="BS45">_xll.ASAssetStatistic($A45,"Max monthly loss",,,'PBA Summary'!$H$2,"m",'PBA Summary'!$F$2,'PBA Summary'!$G$2)</f>
        <v>-8.5022890778286841E-3</v>
      </c>
      <c r="BT45" s="27" cm="1">
        <f t="array" ref="BT45">_xll.ASAssetStatistic($A45,"Max drawdown",,,'PBA Summary'!$H$2,"m",'PBA Summary'!$F$2,'PBA Summary'!$G$2)</f>
        <v>-8.5022890778287952E-3</v>
      </c>
      <c r="BU45" s="28" cm="1">
        <f t="array" ref="BU45">_xll.ASAssetStatistic($A45,"Date Max drawdown",,,'PBA Summary'!$H$2,"m",'PBA Summary'!$F$2,'PBA Summary'!$G$2)</f>
        <v>43708</v>
      </c>
      <c r="BV45" s="28" cm="1">
        <f t="array" ref="BV45">_xll.ASAssetStatistic($A45,"Start Date Max Drawdown",,,'PBA Summary'!$H$2,"m",'PBA Summary'!$F$2,'PBA Summary'!$G$2)</f>
        <v>43708</v>
      </c>
      <c r="BW45" s="28" cm="1">
        <f t="array" ref="BW45">_xll.ASAssetStatistic($A45,"End Date Max Drawdown",,,'PBA Summary'!$H$2,"m",'PBA Summary'!$F$2,'PBA Summary'!$G$2)</f>
        <v>43738</v>
      </c>
      <c r="BX45" s="29" cm="1">
        <f t="array" ref="BX45">_xll.ASAssetStatistic($A45,"Max Time-under-water (months)",,,'PBA Summary'!$H$2,"m",'PBA Summary'!$F$2,'PBA Summary'!$G$2)</f>
        <v>2</v>
      </c>
      <c r="BY45" s="27" cm="1">
        <f t="array" ref="BY45">_xll.ASAssetStatistic($A45,"Max possible drawdown 99%",,,'PBA Summary'!$H$2,"m",'PBA Summary'!$F$2,'PBA Summary'!$G$2)</f>
        <v>-9.1279270947484201E-3</v>
      </c>
      <c r="BZ45" s="27" cm="1">
        <f t="array" ref="BZ45">_xll.ASAssetStatistic($A45,"Max possible drawdown 99.9%",,,'PBA Summary'!$H$2,"m",'PBA Summary'!$F$2,'PBA Summary'!$G$2)</f>
        <v>-1.6106645616300909E-2</v>
      </c>
      <c r="CA45" s="30" cm="1">
        <f t="array" ref="CA45">_xll.ASAssetStatistic($A45,"Max Possible Time-under-water 99% (months)",,,'PBA Summary'!$H$2,"m",'PBA Summary'!$F$2,'PBA Summary'!$G$2)</f>
        <v>5.4186740215928353</v>
      </c>
      <c r="CB45" s="30" cm="1">
        <f t="array" ref="CB45">_xll.ASAssetStatistic($A45,"Max Possible Time-under-water 99.9% (months)",,,'PBA Summary'!$H$2,"m",'PBA Summary'!$F$2,'PBA Summary'!$G$2)</f>
        <v>9.5614986042411338</v>
      </c>
      <c r="CC45" s="17" cm="1">
        <f t="array" ref="CC45">_xll.ASPortfolioReturnAttribution('PBA Summary'!$C$2,"OR",A45,"Last 1m",'PBA Summary'!$F$2,'PBA Summary'!$G$2)</f>
        <v>0</v>
      </c>
      <c r="CD45" s="11" t="str" cm="1">
        <f t="array" ref="CD45">_xll.ASAssetInfo($A45,"Strategy")</f>
        <v>Funds - Multi Sector Credit</v>
      </c>
      <c r="CE45" s="14" cm="1">
        <f t="array" ref="CE45">_xll.ASAssetInfo($A45,"Start Date")</f>
        <v>41274</v>
      </c>
      <c r="CF45" s="14" t="str" cm="1">
        <f t="array" ref="CF45">_xll.ASAssetRatings($A45,"Quantitative",0,0,0,0,0,'PBA Summary'!$F$2,'PBA Summary'!$G$2)</f>
        <v/>
      </c>
      <c r="CG45" s="14" t="str" cm="1">
        <f t="array" ref="CG45">_xll.ASAssetRatings($A45,"Qualitative",0,0,0,0,0,'PBA Summary'!$F$2,'PBA Summary'!$G$2)</f>
        <v/>
      </c>
      <c r="CH45" s="14" t="str" cm="1">
        <f t="array" ref="CH45">_xll.ASAssetRatings($A45,"Final",0,0,0,0,0,'PBA Summary'!$F$2,'PBA Summary'!$G$2)</f>
        <v/>
      </c>
      <c r="CI45" s="14" cm="1">
        <f t="array" ref="CI45">_xll.ASAssetInfo($A45,"Last Return Date")</f>
        <v>44135</v>
      </c>
      <c r="CJ45" s="14" t="str" cm="1">
        <f t="array" ref="CJ45">_xll.ASAssetInfo($A45,"Company Name")</f>
        <v>PIMCO Funds: Global Investors Series plc</v>
      </c>
      <c r="CK45" s="14" t="str" cm="1">
        <f t="array" ref="CK45">_xll.ASAssetInfo($A45,"Manager Name")</f>
        <v>Daniel J Ivascyn</v>
      </c>
      <c r="CL45" s="14" t="str" cm="1">
        <f t="array" ref="CL45">_xll.ASAssetInfo($A45,"Address")</f>
        <v>PIMCO Funds Global Investors Series. 30 Herbert Street. Dublin 2. Ireland</v>
      </c>
      <c r="CM45" s="14" t="str" cm="1">
        <f t="array" ref="CM45">_xll.ASAssetInfo($A45,"Phone Number")</f>
        <v>353-1-241-7100 Tel</v>
      </c>
      <c r="CN45" s="14" t="str" cm="1">
        <f t="array" ref="CN45">_xll.ASAssetInfo($A45,"Email")</f>
        <v/>
      </c>
      <c r="CO45" s="14" t="str" cm="1">
        <f t="array" ref="CO45">_xll.ASAssetInfo($A45,"Asset Type")</f>
        <v>Fixed Income</v>
      </c>
      <c r="CP45" s="14" t="str" cm="1">
        <f t="array" ref="CP45">_xll.ASAssetInfo($A45,"Proprietary ID")</f>
        <v>PIMINIA ID</v>
      </c>
      <c r="CQ45" s="14" t="str" cm="1">
        <f t="array" ref="CQ45">_xll.ASAssetInfo($A45,"Country")</f>
        <v>Ireland</v>
      </c>
      <c r="CR45" s="14" t="str" cm="1">
        <f t="array" ref="CR45">_xll.ASAssetInfo($A45,"Currency")</f>
        <v>USD</v>
      </c>
      <c r="CS45" s="14" t="str" cm="1">
        <f t="array" ref="CS45">_xll.ASAssetInfo($A45,"Sub-Strategy")</f>
        <v>Multi Setor Credit</v>
      </c>
      <c r="CT45" s="31" cm="1">
        <f t="array" ref="CT45">_xll.ASAssetInfo($A45,"Fund AUM (m)")</f>
        <v>57004.4765625</v>
      </c>
      <c r="CU45" s="31" t="str" cm="1">
        <f t="array" ref="CU45">_xll.ASAssetInfo($A45,"Status")</f>
        <v>Unknown</v>
      </c>
      <c r="CV45" s="31" t="str" cm="1">
        <f t="array" ref="CV45">_xll.ASAssetInfo($A45,"Redemption 1 Frequency")</f>
        <v>Daily</v>
      </c>
      <c r="CW45" s="31" t="str" cm="1">
        <f t="array" ref="CW45">_xll.ASAssetInfo($A45,"Redemption 2 Frequency")</f>
        <v>Unknown</v>
      </c>
      <c r="CX45" s="31" t="str" cm="1">
        <f t="array" ref="CX45">_xll.ASAssetInfo($A45,"Redemption 3 Frequency")</f>
        <v>Unknown</v>
      </c>
      <c r="CY45" s="31" t="str" cm="1">
        <f t="array" ref="CY45">_xll.ASAssetInfo($A45,"Notice Period")</f>
        <v/>
      </c>
      <c r="CZ45" s="15" cm="1">
        <f t="array" ref="CZ45">_xll.ASAssetInfo($A45,"Performance Fee")</f>
        <v>0</v>
      </c>
      <c r="DA45" s="15" cm="1">
        <f t="array" ref="DA45">_xll.ASAssetInfo($A45,"Management Fee")</f>
        <v>5.5000000000000005E-3</v>
      </c>
      <c r="DB45" s="15" t="str" cm="1">
        <f t="array" ref="DB45">_xll.ASAssetInfo($A45,"ISIN")</f>
        <v>IE00B87KCF77</v>
      </c>
      <c r="DC45" s="16" cm="1">
        <f t="array" ref="DC45">_xll.ASAssetStatistic($A45,"Return during " &amp;YEAR(EOMONTH('PBA Summary'!$G$2,-60)),,,,"M",DATE(YEAR(EOMONTH('PBA Summary'!$G$2,-60)),1,31),DATE(YEAR(EOMONTH('PBA Summary'!$G$2,-60)),12,31))</f>
        <v>2.9313232830818325E-2</v>
      </c>
      <c r="DD45" s="16" cm="1">
        <f t="array" ref="DD45">_xll.ASAssetStatistic($A45,"Return during " &amp;YEAR(EOMONTH('PBA Summary'!$G$2,-48)),,,,"M",DATE(YEAR(EOMONTH('PBA Summary'!$G$2,-48)),1,31),DATE(YEAR(EOMONTH('PBA Summary'!$G$2,-48)),12,31))</f>
        <v>8.2994304312449474E-2</v>
      </c>
      <c r="DE45" s="16" cm="1">
        <f t="array" ref="DE45">_xll.ASAssetStatistic($A45,"Return during " &amp;YEAR(EOMONTH('PBA Summary'!$G$2,-36)),,,,"M",DATE(YEAR(EOMONTH('PBA Summary'!$G$2,-36)),1,31),DATE(YEAR(EOMONTH('PBA Summary'!$G$2,-36)),12,31))</f>
        <v>7.3628850488355768E-2</v>
      </c>
      <c r="DF45" s="16" cm="1">
        <f t="array" ref="DF45">_xll.ASAssetStatistic($A45,"Return during " &amp;YEAR(EOMONTH('PBA Summary'!$G$2,-24)),,,,"M",DATE(YEAR(EOMONTH('PBA Summary'!$G$2,-24)),1,31),DATE(YEAR(EOMONTH('PBA Summary'!$G$2,-24)),12,31))</f>
        <v>2.0993701889431282E-3</v>
      </c>
      <c r="DG45" s="16" cm="1">
        <f t="array" ref="DG45">_xll.ASAssetStatistic($A45,"Return during " &amp;YEAR(EOMONTH('PBA Summary'!$G$2,-12)),,,,"M",DATE(YEAR(EOMONTH('PBA Summary'!$G$2,-12)),1,31),DATE(YEAR(EOMONTH('PBA Summary'!$G$2,-12)),12,31))</f>
        <v>9.1480446927373782E-2</v>
      </c>
      <c r="DH45" s="11" t="str" cm="1">
        <f t="array" ref="DH45">_xll.ASAssetInfo($A45,"Prime Broker")</f>
        <v/>
      </c>
      <c r="DI45" s="16" cm="1">
        <f t="array" ref="DI45">_xll.ASAssetStatistic($A45,"Return",,,,"m",'PBA Summary'!$F$2,'PBA Summary'!$G$2)</f>
        <v>0.10563380281690082</v>
      </c>
      <c r="DJ45" s="33" cm="1">
        <f t="array" ref="DJ45">IF('PBA Summary'!$D$2="","",_xll.ASAssetStatistic($A45,"Ann. Information Ratio vs Benchmark 1",'PBA Summary'!$D$2,,,"m",'PBA Summary'!$F$2,'PBA Summary'!$G$2))</f>
        <v>-0.61140509677072896</v>
      </c>
      <c r="DK45" s="33" cm="1">
        <f t="array" ref="DK45">IF('PBA Summary'!$D$3="","",_xll.ASAssetStatistic($A45,"Ann. Information Ratio vs Benchmark 1",'PBA Summary'!$D$3,,,"m",'PBA Summary'!$F$2,'PBA Summary'!$G$2))</f>
        <v>-0.61140509677072896</v>
      </c>
      <c r="DL45" s="33" cm="1">
        <f t="array" ref="DL45">IF('PBA Summary'!$D$2="","",_xll.ASAssetStatistic($A45,"Ann. Tracking Error vs Benchmark 1",'PBA Summary'!$D$2,,,"m",'PBA Summary'!$F$2,'PBA Summary'!$G$2))</f>
        <v>0.14501401282508669</v>
      </c>
      <c r="DM45" s="33" cm="1">
        <f t="array" ref="DM45">IF('PBA Summary'!$D$3="","",_xll.ASAssetStatistic($A45,"Ann. Tracking Error vs Benchmark 1",'PBA Summary'!$D$3,,,"m",'PBA Summary'!$F$2,'PBA Summary'!$G$2))</f>
        <v>0.14501401282508669</v>
      </c>
      <c r="DN45" s="33" cm="1">
        <f t="array" ref="DN45">IF('PBA Summary'!$D$2="","",_xll.ASAssetStatistic($A45,"R² vs Benchmark 1",'PBA Summary'!$D$2,,,"m",'PBA Summary'!$F$2,'PBA Summary'!$G$2))</f>
        <v>0.18518004448390807</v>
      </c>
      <c r="DO45" s="33" cm="1">
        <f t="array" ref="DO45">IF('PBA Summary'!$D$3="","",_xll.ASAssetStatistic($A45,"R² vs Benchmark 1",'PBA Summary'!$D$3,,,"m",'PBA Summary'!$F$2,'PBA Summary'!$G$2))</f>
        <v>0.18518004448390807</v>
      </c>
      <c r="DP45" s="11" t="str" cm="1">
        <f t="array" ref="DP45">_xll.ASAssetInfo($A45,"On-/Offshore")</f>
        <v>Unknown</v>
      </c>
      <c r="DQ45" s="16" cm="1">
        <f t="array" ref="DQ45">_xll.ASAssetStatistic($A45,"Quarter-to-date",,,,"m",'PBA Summary'!$F$2,'PBA Summary'!$G$2)</f>
        <v>4.4785668586053706E-3</v>
      </c>
      <c r="DR45" s="16" cm="1">
        <f t="array" ref="DR45">_xll.ASAssetStatistic($A45,"Annualized Return Since inception",,,,"m",'PBA Summary'!$F$2,'PBA Summary'!$G$2)</f>
        <v>6.0326551746412438E-2</v>
      </c>
      <c r="DS45" s="16" cm="1">
        <f t="array" ref="DS45">IF('PBA Summary'!$D$2="","",_xll.ASAssetStatistic($A45,"Ann. Bear Market Return vs Benchmark 1",'PBA Summary'!$D$2,,,"m",'PBA Summary'!$F$2,'PBA Summary'!$G$2))</f>
        <v>2.9573002836271511E-2</v>
      </c>
      <c r="DT45" s="16" cm="1">
        <f t="array" ref="DT45">IF('PBA Summary'!$D$2="","",_xll.ASAssetStatistic($A45,"Ann. Bull Market Return vs Benchmark 1",'PBA Summary'!$D$2,,,"m",'PBA Summary'!$F$2,'PBA Summary'!$G$2))</f>
        <v>0.10401093194468136</v>
      </c>
      <c r="DU45" s="16" cm="1">
        <f t="array" ref="DU45">IF('PBA Summary'!$D$3="","",_xll.ASAssetStatistic($A45,"Ann. Bear Market Return vs Benchmark 1",'PBA Summary'!$D$3,,,"m",'PBA Summary'!$F$2,'PBA Summary'!$G$2))</f>
        <v>2.9573002836271511E-2</v>
      </c>
      <c r="DV45" s="16" cm="1">
        <f t="array" ref="DV45">IF('PBA Summary'!$D$3="","",_xll.ASAssetStatistic($A45,"Ann. Bull Market Return vs Benchmark 1",'PBA Summary'!$D$3,,,"m",'PBA Summary'!$F$2,'PBA Summary'!$G$2))</f>
        <v>0.10401093194468136</v>
      </c>
      <c r="DW45" s="17" cm="1">
        <f t="array" ref="DW45">_xll.ASAssetStatistic($A45,"Average Positive Return",,,,"m",'PBA Summary'!$F$2,'PBA Summary'!$G$2)</f>
        <v>8.482954201520735E-3</v>
      </c>
      <c r="DX45" s="17" cm="1">
        <f t="array" ref="DX45">_xll.ASAssetStatistic($A45,"Average Negative Return",,,,"m",'PBA Summary'!$F$2,'PBA Summary'!$G$2)</f>
        <v>-4.6032572149707351E-3</v>
      </c>
      <c r="DY45" s="16" cm="1">
        <f t="array" ref="DY45">IF('PBA Summary'!$D$2="","",_xll.ASAssetStatistic($A45,"Outperformance vs Benchmark 1",'PBA Summary'!$D$2,,,"m",'PBA Summary'!$F$2,'PBA Summary'!$G$2))</f>
        <v>-0.11420984199181783</v>
      </c>
      <c r="DZ45" s="16" cm="1">
        <f t="array" ref="DZ45">IF('PBA Summary'!$D$3="","",_xll.ASAssetStatistic($A45,"Outperformance vs Benchmark 1",'PBA Summary'!$D$3,,,"m",'PBA Summary'!$F$2,'PBA Summary'!$G$2))</f>
        <v>-0.11420984199181783</v>
      </c>
      <c r="EA45" s="16" cm="1">
        <f t="array" ref="EA45">IF('PBA Summary'!$D$2="","",_xll.ASAssetStatistic($A45,"Annual Outperformance vs Benchmark 1",'PBA Summary'!$D$2,,,"m",'PBA Summary'!$F$2,'PBA Summary'!$G$2))</f>
        <v>-8.8662306544433855E-2</v>
      </c>
      <c r="EB45" s="16" cm="1">
        <f t="array" ref="EB45">IF('PBA Summary'!$D$3="","",_xll.ASAssetStatistic($A45,"Annual Outperformance vs Benchmark 1",'PBA Summary'!$D$3,,,"m",'PBA Summary'!$F$2,'PBA Summary'!$G$2))</f>
        <v>-8.8662306544433855E-2</v>
      </c>
      <c r="EC45" s="32" cm="1">
        <f t="array" ref="EC45">_xll.ASAssetStatistic($A45,"Rachev Ratio 99%",,,,"m",'PBA Summary'!$F$2,'PBA Summary'!$G$2)</f>
        <v>-2.4640094542329027</v>
      </c>
      <c r="ED45" s="32" cm="1">
        <f t="array" ref="ED45">_xll.ASAssetStatistic($A45,"Rachev Ratio 97%",,,,"m",'PBA Summary'!$F$2,'PBA Summary'!$G$2)</f>
        <v>-2.4640094542329027</v>
      </c>
      <c r="EE45" s="32" cm="1">
        <f t="array" ref="EE45">_xll.ASAssetStatistic($A45,"Rachev Ratio 95%",,,,"m",'PBA Summary'!$F$2,'PBA Summary'!$G$2)</f>
        <v>-2.4640094542329027</v>
      </c>
      <c r="EF45" s="32" cm="1">
        <f t="array" ref="EF45">_xll.ASAssetStatistic($A45,"Rachev Ratio 90%",,,,"m",'PBA Summary'!$F$2,'PBA Summary'!$G$2)</f>
        <v>-3.7921503185065917</v>
      </c>
      <c r="EG45" s="34" cm="1">
        <f t="array" ref="EG45">IF('PBA Summary'!$D$2="","",_xll.ASAssetStatistic($A45,"Annual Up Capture vs Benchmark 1",'PBA Summary'!$D$2,,,"m",'PBA Summary'!$F$2,'PBA Summary'!$G$2))</f>
        <v>0.20547079333324114</v>
      </c>
      <c r="EH45" s="34" cm="1">
        <f t="array" ref="EH45">IF('PBA Summary'!$D$3="","",_xll.ASAssetStatistic($A45,"Annual Up Capture vs Benchmark 1",'PBA Summary'!$D$3,,,"m",'PBA Summary'!$F$2,'PBA Summary'!$G$2))</f>
        <v>0.20547079333324114</v>
      </c>
      <c r="EI45" s="34" cm="1">
        <f t="array" ref="EI45">IF('PBA Summary'!$D$2="","",_xll.ASAssetStatistic($A45,"Annual Down Capture vs Benchmark 1",'PBA Summary'!$D$2,,,"m",'PBA Summary'!$F$2,'PBA Summary'!$G$2))</f>
        <v>-7.1862215473740401E-2</v>
      </c>
      <c r="EJ45" s="34" cm="1">
        <f t="array" ref="EJ45">IF('PBA Summary'!$D$3="","",_xll.ASAssetStatistic($A45,"Annual Down Capture vs Benchmark 1",'PBA Summary'!$D$3,,,"m",'PBA Summary'!$F$2,'PBA Summary'!$G$2))</f>
        <v>-7.1862215473740401E-2</v>
      </c>
      <c r="EK45" s="16" cm="1">
        <f t="array" ref="EK45">IF('PBA Summary'!$D$2="","",_xll.ASAssetStatistic($A45,"Ann. Tracking Error vs Benchmark 1",'PBA Summary'!$D$2,,,"m",'PBA Summary'!$F$2,'PBA Summary'!$G$2))</f>
        <v>0.14501401282508669</v>
      </c>
      <c r="EL45" s="16" cm="1">
        <f t="array" ref="EL45">IF('PBA Summary'!$D$3="","",_xll.ASAssetStatistic($A45,"Ann. Tracking Error vs Benchmark 1",'PBA Summary'!$D$3,,,"m",'PBA Summary'!$F$2,'PBA Summary'!$G$2))</f>
        <v>0.14501401282508669</v>
      </c>
      <c r="EM45" s="16" cm="1">
        <f t="array" ref="EM45">IF('PBA Summary'!$D$2="","",_xll.ASAssetStatistic($A45,"Annual Jensen Alpha vs Benchmark 1 (Rf)",'PBA Summary'!$D$2,,,"m",'PBA Summary'!$F$2,'PBA Summary'!$G$2))</f>
        <v>7.0032923835802299E-2</v>
      </c>
      <c r="EN45" s="16" cm="1">
        <f t="array" ref="EN45">IF('PBA Summary'!$D$3="","",_xll.ASAssetStatistic($A45,"Annual Jensen Alpha vs Benchmark 1 (Rf)",'PBA Summary'!$D$3,,,"m",'PBA Summary'!$F$2,'PBA Summary'!$G$2))</f>
        <v>7.0032923835802299E-2</v>
      </c>
      <c r="EO45" s="33" cm="1">
        <f t="array" ref="EO45">IF('PBA Summary'!$D$2="","",_xll.ASAssetStatistic($A45,"Ann. Information Ratio vs Benchmark 1",'PBA Summary'!$D$2,,,"m",'PBA Summary'!$F$2,'PBA Summary'!$G$2))</f>
        <v>-0.61140509677072896</v>
      </c>
      <c r="EP45" s="33" cm="1">
        <f t="array" ref="EP45">IF('PBA Summary'!$D$3="","",_xll.ASAssetStatistic($A45,"Ann. Information Ratio vs Benchmark 1",'PBA Summary'!$D$3,,,"m",'PBA Summary'!$F$2,'PBA Summary'!$G$2))</f>
        <v>-0.61140509677072896</v>
      </c>
      <c r="EQ45" s="17" cm="1">
        <f t="array" ref="EQ45">IF('PBA Summary'!$D$2="","",_xll.ASAssetStatistic($A45,"Alpha Monthly vs Benchmark 1",'PBA Summary'!$D$2,,,"m",'PBA Summary'!$F$2,'PBA Summary'!$G$2))</f>
        <v>5.8040771218480702E-3</v>
      </c>
      <c r="ER45" s="17" cm="1">
        <f t="array" ref="ER45">IF('PBA Summary'!$D$3="","",_xll.ASAssetStatistic($A45,"Alpha Monthly vs Benchmark 1",'PBA Summary'!$D$3,,,"m",'PBA Summary'!$F$2,'PBA Summary'!$G$2))</f>
        <v>5.8040771218480702E-3</v>
      </c>
      <c r="ES45" s="11" t="str" cm="1">
        <f t="array" ref="ES45">_xll.ASAssetInfo($A45,"Company AUM (m)")</f>
        <v/>
      </c>
      <c r="ET45" s="16" cm="1">
        <f t="array" ref="ET45">_xll.ASAssetStatistic($A45,"Exponential Annualized Volatility",,,,"m",'PBA Summary'!$F$2,'PBA Summary'!$G$2)</f>
        <v>2.220447629593375E-2</v>
      </c>
      <c r="EU45" s="16" cm="1">
        <f t="array" ref="EU45">_xll.ASAssetStatistic($A45,"Exponential Annualized Volatility Last 1 year",,,,"m",'PBA Summary'!$F$2,'PBA Summary'!$G$2)</f>
        <v>2.0389303328389494E-2</v>
      </c>
      <c r="EV45" s="16" t="str" cm="1">
        <f t="array" ref="EV45">_xll.ASAssetStatistic($A45,"Exponential Annualized Volatility Last 3 years",,,,"m",'PBA Summary'!$F$2,'PBA Summary'!$G$2)</f>
        <v/>
      </c>
      <c r="EW45" s="34" cm="1">
        <f t="array" ref="EW45">IF('PBA Summary'!$D$2="","",_xll.ASAssetStatistic($A45,"Exponential Correlation to Benchmark 1",'PBA Summary'!$D$2,,,"m",'PBA Summary'!$F$2,'PBA Summary'!$G$2))</f>
        <v>0.44254216656734535</v>
      </c>
      <c r="EX45" s="34" cm="1">
        <f t="array" ref="EX45">IF('PBA Summary'!$D$3="","",_xll.ASAssetStatistic($A45,"Exponential Correlation to Benchmark 1",'PBA Summary'!$D$3,,,"m",'PBA Summary'!$F$2,'PBA Summary'!$G$2))</f>
        <v>0.44254216656734535</v>
      </c>
      <c r="EY45" s="34" cm="1">
        <f t="array" ref="EY45">_xll.ASAssetStatistic($A45,"Exponential Annual Sharpe Ratio (Rf)",,,,"m",'PBA Summary'!$F$2,'PBA Summary'!$G$2)</f>
        <v>3.4461488349948444</v>
      </c>
      <c r="EZ45" s="34" cm="1">
        <f t="array" ref="EZ45">_xll.ASAssetStatistic($A45,"Exponential Normal Monthly VaR 99%",,,,"m",'PBA Summary'!$F$2,'PBA Summary'!$G$2)</f>
        <v>-8.5537219360191392E-3</v>
      </c>
      <c r="FA45" s="34" cm="1">
        <f t="array" ref="FA45">_xll.ASAssetStatistic($A45,"Exponential Normal Monthly VaR 97%",,,,"m",'PBA Summary'!$F$2,'PBA Summary'!$G$2)</f>
        <v>-5.6977724764926321E-3</v>
      </c>
      <c r="FB45" s="34" cm="1">
        <f t="array" ref="FB45">_xll.ASAssetStatistic($A45,"Exponential Normal Monthly VaR 95%",,,,"m",'PBA Summary'!$F$2,'PBA Summary'!$G$2)</f>
        <v>-4.1854254665435013E-3</v>
      </c>
      <c r="FC45" s="34" cm="1">
        <f t="array" ref="FC45">_xll.ASAssetStatistic($A45,"Exponential Normal Monthly VaR 90%",,,,"m",'PBA Summary'!$F$2,'PBA Summary'!$G$2)</f>
        <v>-1.8567027825664734E-3</v>
      </c>
      <c r="FD45" s="34" t="str" cm="1">
        <f t="array" ref="FD45">_xll.ASAssetStatistic($A45,"Exponential Normal weekly VaR 99%",,,,"m",'PBA Summary'!$F$2,'PBA Summary'!$G$2)</f>
        <v/>
      </c>
      <c r="FE45" s="34" t="str" cm="1">
        <f t="array" ref="FE45">_xll.ASAssetStatistic($A45,"Exponential Normal weekly VaR 97%",,,,"m",'PBA Summary'!$F$2,'PBA Summary'!$G$2)</f>
        <v/>
      </c>
      <c r="FF45" s="34" t="str" cm="1">
        <f t="array" ref="FF45">_xll.ASAssetStatistic($A45,"Exponential Normal weekly VaR 95%",,,,"m",'PBA Summary'!$F$2,'PBA Summary'!$G$2)</f>
        <v/>
      </c>
      <c r="FG45" s="34" t="str" cm="1">
        <f t="array" ref="FG45">_xll.ASAssetStatistic($A45,"Exponential Normal weekly VaR 90%",,,,"m",'PBA Summary'!$F$2,'PBA Summary'!$G$2)</f>
        <v/>
      </c>
      <c r="FH45" s="34" t="str" cm="1">
        <f t="array" ref="FH45">_xll.ASAssetStatistic($A45,"Exponential Normal daily VaR 99%",,,,"m",'PBA Summary'!$F$2,'PBA Summary'!$G$2)</f>
        <v/>
      </c>
      <c r="FI45" s="34" t="str" cm="1">
        <f t="array" ref="FI45">_xll.ASAssetStatistic($A45,"Exponential Normal daily VaR 97%",,,,"m",'PBA Summary'!$F$2,'PBA Summary'!$G$2)</f>
        <v/>
      </c>
      <c r="FJ45" s="34" t="str" cm="1">
        <f t="array" ref="FJ45">_xll.ASAssetStatistic($A45,"Exponential Normal daily VaR 95%",,,,"m",'PBA Summary'!$F$2,'PBA Summary'!$G$2)</f>
        <v/>
      </c>
      <c r="FK45" s="34" t="str" cm="1">
        <f t="array" ref="FK45">_xll.ASAssetStatistic($A45,"Exponential Normal daily VaR 90%",,,,"m",'PBA Summary'!$F$2,'PBA Summary'!$G$2)</f>
        <v/>
      </c>
      <c r="FL45" s="34" cm="1">
        <f t="array" ref="FL45">_xll.ASAssetStatistic($A45,"Bias Ratio",,,,"m",'PBA Summary'!$F$2,'PBA Summary'!$G$2)</f>
        <v>2.5</v>
      </c>
      <c r="FM45" s="11" t="str" cm="1">
        <f t="array" ref="FM45">_xll.ASAssetInfo($A45,"Manager's Biography")</f>
        <v/>
      </c>
      <c r="FN45" s="11" cm="1">
        <f t="array" ref="FN45">_xll.ASAssetInfo($A45,"Investment Min")</f>
        <v>5000000</v>
      </c>
      <c r="FO45" s="11" t="str" cm="1">
        <f t="array" ref="FO45">_xll.ASAssetInfo($A45,"Auditor")</f>
        <v>PricewaterhouseCoopers/Ireland</v>
      </c>
      <c r="FP45" s="11" t="str" cm="1">
        <f t="array" ref="FP45">_xll.ASAssetInfo($A45,"Custodian")</f>
        <v>State Street Custodial Services Ireland Ltd</v>
      </c>
      <c r="FQ45" s="11" t="str" cm="1">
        <f t="array" ref="FQ45">_xll.ASAssetInfo($A45,"Administrator")</f>
        <v>State Street Fund Services Ireland Ltd</v>
      </c>
      <c r="FR45" s="14" t="str" cm="1">
        <f t="array" ref="FR45">_xll.ASAssetInfo($A45,"Proxy 1 Start Date")</f>
        <v/>
      </c>
      <c r="FS45" s="14" t="str" cm="1">
        <f t="array" ref="FS45">_xll.ASAssetInfo($A45,"Proxy 1 End Date")</f>
        <v/>
      </c>
      <c r="FT45" s="14" t="str" cm="1">
        <f t="array" ref="FT45">_xll.ASAssetInfo($A45,"Proxy 2 Start Date")</f>
        <v/>
      </c>
      <c r="FU45" s="14" t="str" cm="1">
        <f t="array" ref="FU45">_xll.ASAssetInfo($A45,"Proxy 2 End Date")</f>
        <v/>
      </c>
      <c r="FV45" s="14" t="str" cm="1">
        <f t="array" ref="FV45">_xll.ASAssetInfo($A45,"Proxy 3 Start Date")</f>
        <v/>
      </c>
      <c r="FW45" s="14" t="str" cm="1">
        <f t="array" ref="FW45">_xll.ASAssetInfo($A45,"Proxy 3 End Date")</f>
        <v/>
      </c>
      <c r="FX45" s="14" t="str" cm="1">
        <f t="array" ref="FX45">_xll.ASAssetInfo($A45,"Fund Domicile")</f>
        <v>IE</v>
      </c>
      <c r="FY45" s="14" t="str" cm="1">
        <f t="array" ref="FY45">_xll.ASAssetInfo($A45,"Fund Contact")</f>
        <v/>
      </c>
      <c r="FZ45" s="14" t="str" cm="1">
        <f t="array" ref="FZ45">_xll.ASAssetInfo($A45,"Fund Contact Email")</f>
        <v/>
      </c>
      <c r="GA45" s="14" t="str" cm="1">
        <f t="array" ref="GA45">_xll.ASAssetInfo($A45,"Fund Contact Number")</f>
        <v/>
      </c>
      <c r="GB45" s="14" t="str" cm="1">
        <f t="array" ref="GB45">_xll.ASAssetInfo($A45,"City")</f>
        <v>Dublin</v>
      </c>
      <c r="GC45" s="14" t="str" cm="1">
        <f t="array" ref="GC45">_xll.ASAssetInfo($A45,"Leverage")</f>
        <v>N</v>
      </c>
      <c r="GD45" s="14" t="str" cm="1">
        <f t="array" ref="GD45">_xll.ASAssetInfo($A45,"Lockup 1 Duration")</f>
        <v>0 Months</v>
      </c>
      <c r="GE45" s="14" t="str" cm="1">
        <f t="array" ref="GE45">_xll.ASAssetInfo($A45,"Lockup 2 Duration")</f>
        <v>0 Months</v>
      </c>
      <c r="GF45" s="14" t="str" cm="1">
        <f t="array" ref="GF45">_xll.ASAssetInfo($A45,"Lockup 3 Duration")</f>
        <v>0 Months</v>
      </c>
      <c r="GG45" s="31" t="str" cm="1">
        <f t="array" ref="GG45">_xll.ASAssetInfo($A45,"Fund Level Gate")</f>
        <v/>
      </c>
      <c r="GH45" s="31" t="str" cm="1">
        <f t="array" ref="GH45">_xll.ASAssetInfo($A45,"Fund Level Gate Frequency")</f>
        <v>Unknown</v>
      </c>
      <c r="GI45" s="35" cm="1">
        <f t="array" ref="GI45">_xll.ASAssetInfo($A45,"Payment 2 (%)")</f>
        <v>0</v>
      </c>
      <c r="GJ45" s="35" t="str" cm="1">
        <f t="array" ref="GJ45">_xll.ASAssetInfo($A45,"Payment 2 (days)")</f>
        <v/>
      </c>
      <c r="GK45" s="35" t="str" cm="1">
        <f t="array" ref="GK45">_xll.ASAssetInfo($A45,"Payment 2 (Paid After)")</f>
        <v>NAV Date</v>
      </c>
      <c r="GL45" s="35" cm="1">
        <f t="array" ref="GL45">_xll.ASAssetInfo($A45,"Payment 3 (%)")</f>
        <v>0</v>
      </c>
      <c r="GM45" s="36" t="str" cm="1">
        <f t="array" ref="GM45">_xll.ASAssetInfo($A45,"Payment 3 (Days)")</f>
        <v/>
      </c>
      <c r="GN45" s="35" t="str" cm="1">
        <f t="array" ref="GN45">_xll.ASAssetInfo($A45,"Payment 3 (Paid After)")</f>
        <v>NAV Date</v>
      </c>
      <c r="GO45" s="35" cm="1">
        <f t="array" ref="GO45">_xll.ASAssetInfo($A45,"Payment 4 (%)")</f>
        <v>0</v>
      </c>
      <c r="GP45" s="36" t="str" cm="1">
        <f t="array" ref="GP45">_xll.ASAssetInfo($A45,"Payment 4 (days)")</f>
        <v/>
      </c>
      <c r="GQ45" s="35" t="str" cm="1">
        <f t="array" ref="GQ45">_xll.ASAssetInfo($A45,"Payment 4 (Paid After)")</f>
        <v>NAV Date</v>
      </c>
      <c r="GR45" s="11" cm="1">
        <f t="array" ref="GR45">_xll.ASAssetInfo($A45,"Payment 1 (%)")</f>
        <v>1</v>
      </c>
      <c r="GS45" s="35" cm="1">
        <f t="array" ref="GS45">_xll.ASAssetInfo($A45,"Lockup 1 Fee")</f>
        <v>0</v>
      </c>
      <c r="GT45" s="35" cm="1">
        <f t="array" ref="GT45">_xll.ASAssetInfo($A45,"Lockup 2 Fee")</f>
        <v>0</v>
      </c>
      <c r="GU45" s="35" cm="1">
        <f t="array" ref="GU45">_xll.ASAssetInfo($A45,"Lockup 3 Fee")</f>
        <v>0</v>
      </c>
      <c r="GV45" s="35" t="str" cm="1">
        <f t="array" ref="GV45">_xll.ASAssetInfo($A45,"Lockup 1 type")</f>
        <v>None</v>
      </c>
      <c r="GW45" s="35" t="str" cm="1">
        <f t="array" ref="GW45">_xll.ASAssetInfo($A45,"Lockup 2 type")</f>
        <v>None</v>
      </c>
      <c r="GX45" s="35" t="str" cm="1">
        <f t="array" ref="GX45">_xll.ASAssetInfo($A45,"Lockup 3 type")</f>
        <v>None</v>
      </c>
      <c r="GY45" s="35" t="str" cm="1">
        <f t="array" ref="GY45">_xll.ASAssetInfo($A45,"Redemption 1 type")</f>
        <v>Calendar</v>
      </c>
      <c r="GZ45" s="35" t="str" cm="1">
        <f t="array" ref="GZ45">_xll.ASAssetInfo($A45,"Redemption 2 type")</f>
        <v>Calendar</v>
      </c>
      <c r="HA45" s="35" t="str" cm="1">
        <f t="array" ref="HA45">_xll.ASAssetInfo($A45,"Redemption 3 type")</f>
        <v>Calendar</v>
      </c>
      <c r="HB45" s="35" t="str" cm="1">
        <f t="array" ref="HB45">_xll.ASAssetInfo($A45,"Redemption 1 Fee")</f>
        <v/>
      </c>
      <c r="HC45" s="35" t="str" cm="1">
        <f t="array" ref="HC45">_xll.ASAssetInfo($A45,"Redemption 2 Fee")</f>
        <v/>
      </c>
      <c r="HD45" s="35" t="str" cm="1">
        <f t="array" ref="HD45">_xll.ASAssetInfo($A45,"Redemption 3 Fee")</f>
        <v/>
      </c>
      <c r="HE45" s="35" t="str" cm="1">
        <f t="array" ref="HE45">_xll.ASAssetInfo($A45,"Redemption 1 Frequency")</f>
        <v>Daily</v>
      </c>
      <c r="HF45" s="35" t="str" cm="1">
        <f t="array" ref="HF45">_xll.ASAssetInfo($A45,"Redemption 2 Frequency")</f>
        <v>Unknown</v>
      </c>
      <c r="HG45" s="35" t="str" cm="1">
        <f t="array" ref="HG45">_xll.ASAssetInfo($A45,"Redemption 3 Frequency")</f>
        <v>Unknown</v>
      </c>
      <c r="HH45" s="35" t="str" cm="1">
        <f t="array" ref="HH45">_xll.ASAssetInfo($A45,"Asset Calendar")</f>
        <v>[Default]</v>
      </c>
      <c r="HI45" s="16" cm="1">
        <f t="array" ref="HI45">_xll.ASAssetStatistic($A45,"Max Second Drawdown",,,,"m",'PBA Summary'!$F$2,'PBA Summary'!$G$2)</f>
        <v>-7.0422535211278614E-4</v>
      </c>
      <c r="HJ45" s="37" cm="1">
        <f t="array" ref="HJ45">_xll.ASAssetStatistic($A45,"Date Max Second Drawdown",,,,"m",'PBA Summary'!$F$2,'PBA Summary'!$G$2)</f>
        <v>43434</v>
      </c>
      <c r="HK45" s="37"/>
      <c r="HL45" s="37" t="str" cm="1">
        <f t="array" ref="HL45">_xll.ASAssetInfo($A45,HL$1)</f>
        <v/>
      </c>
      <c r="HM45" s="34" t="str" cm="1">
        <f t="array" ref="HM45">_xll.ASAssetInfo($A45,HM$1)</f>
        <v/>
      </c>
      <c r="HN45" s="37" t="str" cm="1">
        <f t="array" ref="HN45">_xll.ASAssetInfo($A45,HN$1)</f>
        <v/>
      </c>
      <c r="HO45" s="15" cm="1">
        <f t="array" ref="HO45">_xll.ASAssetInfo($A45,HO$1)</f>
        <v>0</v>
      </c>
      <c r="HP45" s="15" cm="1">
        <f t="array" ref="HP45">_xll.ASAssetInfo($A45,HP$1)</f>
        <v>4.82E-2</v>
      </c>
      <c r="HQ45" s="34" t="str" cm="1">
        <f t="array" ref="HQ45">_xll.ASAssetInfo($A45,HQ$1)</f>
        <v/>
      </c>
      <c r="HR45" s="37" t="str" cm="1">
        <f t="array" ref="HR45">_xll.ASAssetInfo($A45,HR$1)</f>
        <v/>
      </c>
      <c r="HS45" s="37" t="str" cm="1">
        <f t="array" ref="HS45">_xll.ASAssetInfo($A45,HS$1)</f>
        <v/>
      </c>
      <c r="HT45" s="37" t="str" cm="1">
        <f t="array" ref="HT45">_xll.ASAssetInfo($A45,HT$1)</f>
        <v>A-</v>
      </c>
      <c r="HU45" s="37" t="str" cm="1">
        <f t="array" ref="HU45">_xll.ASAssetInfo($A45,HU$1)</f>
        <v>Global</v>
      </c>
      <c r="HV45" s="37" t="str" cm="1">
        <f t="array" ref="HV45">_xll.ASAssetInfo($A45,HV$1)</f>
        <v/>
      </c>
      <c r="HW45" s="37" t="str" cm="1">
        <f t="array" ref="HW45">_xll.ASAssetInfo($A45,HW$1)</f>
        <v/>
      </c>
    </row>
    <row r="46" spans="1:231" s="11" customFormat="1" ht="135" x14ac:dyDescent="0.25">
      <c r="A46" t="s">
        <v>278</v>
      </c>
      <c r="B46" cm="1">
        <f t="array" ref="B46">_xll.ASPortfolioWeights('PBA Summary'!$C$2,"OR",$A46)</f>
        <v>2.3710161837829868E-2</v>
      </c>
      <c r="C46" cm="1">
        <f t="array" ref="C46">_xll.ASAssetStatistic($A46,"Annualized Return since inception",,,,"m",_xll.ASAssetInfo($A46,"Start Date"),_xll.ASAssetInfo($A46,"Last Return Date"))</f>
        <v>0.15356840458438059</v>
      </c>
      <c r="D46" cm="1">
        <f t="array" ref="D46">_xll.ASAssetStatistic($A46,"Annualized Return",,,,"m",'PBA Summary'!$F$2,'PBA Summary'!$G$2)</f>
        <v>0.11269668844289682</v>
      </c>
      <c r="E46" s="19" cm="1">
        <f t="array" ref="E46">_xll.ASAssetStatistic($A46,"Equilibrium Annual Return",,,,"m",'PBA Summary'!$F$2,'PBA Summary'!$G$2)</f>
        <v>0.11427772569631123</v>
      </c>
      <c r="F46" cm="1">
        <f t="array" ref="F46">_xll.ASAssetStatistic($A46,"Annualized Volatility (Inception)",,,,"m",_xll.ASAssetInfo($A46,"Start Date"),_xll.ASAssetInfo($A46,"Last Return Date"))</f>
        <v>0.22581076993007818</v>
      </c>
      <c r="G46" cm="1">
        <f t="array" ref="G46">_xll.ASAssetStatistic($A46,"Annualized Volatility",,,,"m",'PBA Summary'!$F$2,'PBA Summary'!$G$2)</f>
        <v>0.20669115928431614</v>
      </c>
      <c r="H46" s="20" cm="1">
        <f t="array" ref="H46">_xll.ASAssetStatistic($A46,"Skewness",,,,"m",'PBA Summary'!$F$2,'PBA Summary'!$G$2)</f>
        <v>1.3579634261934779</v>
      </c>
      <c r="I46" s="20" cm="1">
        <f t="array" ref="I46">_xll.ASAssetStatistic($A46,"Excess kurtosis",,,,"m",'PBA Summary'!$F$2,'PBA Summary'!$G$2)</f>
        <v>2.1407318235798809</v>
      </c>
      <c r="J46" s="19" cm="1">
        <f t="array" ref="J46">_xll.ASAssetStatistic($A46,"Return Last 1 month",,,,"m",'PBA Summary'!$F$2,'PBA Summary'!$G$2)</f>
        <v>8.7803085966200678E-2</v>
      </c>
      <c r="K46" s="19" cm="1">
        <f t="array" ref="K46">_xll.ASAssetStatistic($A46,"Return Last 3 months",,,,"m",'PBA Summary'!$F$2,'PBA Summary'!$G$2)</f>
        <v>1.770063584808268E-2</v>
      </c>
      <c r="L46" s="19" cm="1">
        <f t="array" ref="L46">_xll.ASAssetStatistic($A46,"Return Last 1 year",,,,"m",'PBA Summary'!$F$2,'PBA Summary'!$G$2)</f>
        <v>9.2116182572612892E-2</v>
      </c>
      <c r="M46" s="19" cm="1">
        <f t="array" ref="M46">_xll.ASAssetStatistic($A46,"Year-to-date Return",,,,"m",'PBA Summary'!$F$2,'PBA Summary'!$G$2)</f>
        <v>8.7803085966200678E-2</v>
      </c>
      <c r="N46" s="19" cm="1">
        <f t="array" ref="N46">_xll.ASAssetStatistic($A46,"Annualized Return",,,,"m",EOMONTH('PBA Summary'!$G$2,-2),'PBA Summary'!$G$2)</f>
        <v>7.2704699936161798E-2</v>
      </c>
      <c r="O46" s="19" t="str" cm="1">
        <f t="array" ref="O46">_xll.ASAssetStatistic($A46,"Annualized Return Last 3 years",,,,"m",'PBA Summary'!$F$2,'PBA Summary'!$G$2)</f>
        <v/>
      </c>
      <c r="P46" s="19" t="str" cm="1">
        <f t="array" ref="P46">_xll.ASAssetStatistic($A46,"Annualized Return Last 5 years",,,,"m",'PBA Summary'!$F$2,'PBA Summary'!$G$2)</f>
        <v/>
      </c>
      <c r="Q46" s="19" cm="1">
        <f t="array" ref="Q46">_xll.ASAssetStatistic($A46,"Annualized Volatility Last 1 year",,,,"m",'PBA Summary'!$F$2,'PBA Summary'!$G$2)</f>
        <v>0.22106677378251854</v>
      </c>
      <c r="R46" s="19" t="str" cm="1">
        <f t="array" ref="R46">_xll.ASAssetStatistic($A46,"Annualized Volatility Last 3 years",,,,"m",'PBA Summary'!$F$2,'PBA Summary'!$G$2)</f>
        <v/>
      </c>
      <c r="S46" s="19" t="str" cm="1">
        <f t="array" ref="S46">_xll.ASAssetStatistic($A46,"Annualized Volatility Last 5 years",,,,"m",'PBA Summary'!$F$2,'PBA Summary'!$G$2)</f>
        <v/>
      </c>
      <c r="T46" s="19" cm="1">
        <f t="array" ref="T46">_xll.ASAssetStatistic($A46,"Normal monthly VaR 99%",,,,"m",'PBA Summary'!$F$2,'PBA Summary'!$G$2)</f>
        <v>-0.12828995312510738</v>
      </c>
      <c r="U46" s="19" cm="1">
        <f t="array" ref="U46">_xll.ASAssetStatistic($A46,"Modified monthly VaR 99%",,,,"m",'PBA Summary'!$F$2,'PBA Summary'!$G$2)</f>
        <v>-5.7164612116648347E-2</v>
      </c>
      <c r="V46" s="19" cm="1">
        <f t="array" ref="V46">_xll.ASAssetStatistic($A46,"Conditional monthly VaR 99%",,,,"m",'PBA Summary'!$F$2,'PBA Summary'!$G$2)</f>
        <v>-6.5294306851077843E-2</v>
      </c>
      <c r="W46" s="19" cm="1">
        <f t="array" ref="W46">_xll.ASAssetStatistic($A46,"Normal monthly VaR 97%",,,,"m",'PBA Summary'!$F$2,'PBA Summary'!$G$2)</f>
        <v>-0.1017052457544116</v>
      </c>
      <c r="X46" s="19" cm="1">
        <f t="array" ref="X46">_xll.ASAssetStatistic($A46,"Modified monthly VaR 97%",,,,"m",'PBA Summary'!$F$2,'PBA Summary'!$G$2)</f>
        <v>-6.0892466691608443E-2</v>
      </c>
      <c r="Y46" s="19" cm="1">
        <f t="array" ref="Y46">_xll.ASAssetStatistic($A46,"Conditional monthly VaR 97%",,,,"m",'PBA Summary'!$F$2,'PBA Summary'!$G$2)</f>
        <v>-6.5294306851077843E-2</v>
      </c>
      <c r="Z46" s="19" cm="1">
        <f t="array" ref="Z46">_xll.ASAssetStatistic($A46,"Normal monthly VaR 95%",,,,"m",'PBA Summary'!$F$2,'PBA Summary'!$G$2)</f>
        <v>-8.7627509690724359E-2</v>
      </c>
      <c r="AA46" s="19" cm="1">
        <f t="array" ref="AA46">_xll.ASAssetStatistic($A46,"Modified monthly VaR 95%",,,,"m",'PBA Summary'!$F$2,'PBA Summary'!$G$2)</f>
        <v>-5.9951214854221682E-2</v>
      </c>
      <c r="AB46" s="19" cm="1">
        <f t="array" ref="AB46">_xll.ASAssetStatistic($A46,"Conditional monthly VaR 95%",,,,"m",'PBA Summary'!$F$2,'PBA Summary'!$G$2)</f>
        <v>-6.5294306851077843E-2</v>
      </c>
      <c r="AC46" s="66" cm="1">
        <f t="array" ref="AC46">_xll.ASAssetStatistic($A46,"Correlation to Benchmark 1","MSCI ACWI Index",,,"m",'PBA Summary'!$F$2,'PBA Summary'!$G$2)</f>
        <v>-0.60658986376981605</v>
      </c>
      <c r="AD46" s="38" cm="1">
        <f t="array" ref="AD46">IF('PBA Summary'!$D$3="","",_xll.ASAssetStatistic($A46,"Correlation to Benchmark 1",'PBA Summary'!$D$3,,,"m",'PBA Summary'!$F$2,'PBA Summary'!$G$2))</f>
        <v>-0.5658216854449325</v>
      </c>
      <c r="AE46" s="21" cm="1">
        <f t="array" ref="AE46">IF('PBA Summary'!$D$2="","",_xll.ASAssetStatistic($A46,"Bull correlation to Benchmark 1",'PBA Summary'!$D$2,,,"m",'PBA Summary'!$F$2,'PBA Summary'!$G$2))</f>
        <v>-5.5078269278120186E-2</v>
      </c>
      <c r="AF46" s="21" cm="1">
        <f t="array" ref="AF46">IF('PBA Summary'!$D$2="","",_xll.ASAssetStatistic($A46,"Bear correlation to Benchmark 1",'PBA Summary'!$D$2,,,"m",'PBA Summary'!$F$2,'PBA Summary'!$G$2))</f>
        <v>0.56503477983108896</v>
      </c>
      <c r="AG46" s="21" cm="1">
        <f t="array" ref="AG46">IF('PBA Summary'!$D$3="","",_xll.ASAssetStatistic($A46,"Bull correlation to Benchmark 1",'PBA Summary'!$D$3,,,"m",'PBA Summary'!$F$2,'PBA Summary'!$G$2))</f>
        <v>-5.5078269278120186E-2</v>
      </c>
      <c r="AH46" s="21" cm="1">
        <f t="array" ref="AH46">IF('PBA Summary'!$D$3="","",_xll.ASAssetStatistic($A46,"Bear correlation to Benchmark 1",'PBA Summary'!$D$3,,,"m",'PBA Summary'!$F$2,'PBA Summary'!$G$2))</f>
        <v>0.56503477983108896</v>
      </c>
      <c r="AI46" s="24" cm="1">
        <f t="array" ref="AI46">IF('PBA Summary'!$D$2="","",_xll.ASAssetStatistic($A46,"Beta to Benchmark 1",'PBA Summary'!$D$2,,,"m",'PBA Summary'!$F$2,'PBA Summary'!$G$2))</f>
        <v>-0.76177237900189176</v>
      </c>
      <c r="AJ46" s="24" t="str" cm="1">
        <f t="array" ref="AJ46">IF('PBA Summary'!$D$2="","",_xll.ASAssetStatistic($A46,"Beta to Benchmark 1 Last 3 years",'PBA Summary'!$D$2,,,"m",'PBA Summary'!$F$2,'PBA Summary'!$G$2))</f>
        <v/>
      </c>
      <c r="AK46" s="24" t="str" cm="1">
        <f t="array" ref="AK46">IF('PBA Summary'!$D$2="","",_xll.ASAssetStatistic($A46,"Beta to Benchmark 1 Last 5 years",'PBA Summary'!$D$2,,,"m",'PBA Summary'!$F$2,'PBA Summary'!$G$2))</f>
        <v/>
      </c>
      <c r="AL46" s="25" cm="1">
        <f t="array" ref="AL46">IF('PBA Summary'!$D$3="","",_xll.ASAssetStatistic($A46,"Beta to Benchmark 1",'PBA Summary'!$D$3,,,"m",'PBA Summary'!$F$2,'PBA Summary'!$G$2))</f>
        <v>-0.76177237900189176</v>
      </c>
      <c r="AM46" s="25" t="str" cm="1">
        <f t="array" ref="AM46">IF('PBA Summary'!$D$3="","",_xll.ASAssetStatistic($A46,"Beta to Benchmark 1 Last 3 years",'PBA Summary'!$D$3,,,"m",'PBA Summary'!$F$2,'PBA Summary'!$G$2))</f>
        <v/>
      </c>
      <c r="AN46" s="25" t="str" cm="1">
        <f t="array" ref="AN46">IF('PBA Summary'!$D$3="","",_xll.ASAssetStatistic($A46,"Beta to Benchmark 1 Last 5 years",'PBA Summary'!$D$3,,,"m",'PBA Summary'!$F$2,'PBA Summary'!$G$2))</f>
        <v/>
      </c>
      <c r="AO46" s="25" cm="1">
        <f t="array" ref="AO46">IF('PBA Summary'!$D$2="","",_xll.ASAssetStatistic($A46,"Bull Beta to Benchmark 1",'PBA Summary'!$D$2,,,"m",'PBA Summary'!$F$2,'PBA Summary'!$G$2))</f>
        <v>-6.4551880736842468E-2</v>
      </c>
      <c r="AP46" s="25" cm="1">
        <f t="array" ref="AP46">IF('PBA Summary'!$D$2="","",_xll.ASAssetStatistic($A46,"Bear Beta to Benchmark 1",'PBA Summary'!$D$2,,,"m",'PBA Summary'!$F$2,'PBA Summary'!$G$2))</f>
        <v>0.74943618551564428</v>
      </c>
      <c r="AQ46" s="25" cm="1">
        <f t="array" ref="AQ46">IF('PBA Summary'!$D$3="","",_xll.ASAssetStatistic($A46,"Bull Beta to Benchmark 1",'PBA Summary'!$D$3,,,"m",'PBA Summary'!$F$2,'PBA Summary'!$G$2))</f>
        <v>-6.4551880736842468E-2</v>
      </c>
      <c r="AR46" s="25" cm="1">
        <f t="array" ref="AR46">IF('PBA Summary'!$D$3="","",_xll.ASAssetStatistic($A46,"Bear Beta to Benchmark 1",'PBA Summary'!$D$3,,,"m",'PBA Summary'!$F$2,'PBA Summary'!$G$2))</f>
        <v>0.74943618551564428</v>
      </c>
      <c r="AS46" s="25" cm="1">
        <f t="array" ref="AS46">_xll.ASAssetStatistic($A46,"Annual Sharpe Ratio (Rf)",,,'PBA Summary'!$H$2,"m",'PBA Summary'!$F$2,'PBA Summary'!$G$2)</f>
        <v>0.53314659816346877</v>
      </c>
      <c r="AT46" s="25" t="str" cm="1">
        <f t="array" ref="AT46">_xll.ASAssetStatistic($A46,"Annual Sharpe Ratio (Rf) Last 3 years",,,'PBA Summary'!$H$2,"m",'PBA Summary'!$F$2,'PBA Summary'!$G$2)</f>
        <v/>
      </c>
      <c r="AU46" s="25" t="str" cm="1">
        <f t="array" ref="AU46">_xll.ASAssetStatistic($A46,"Annual Sharpe Ratio (Rf) Last 5 years",,,'PBA Summary'!$H$2,"m",'PBA Summary'!$F$2,'PBA Summary'!$G$2)</f>
        <v/>
      </c>
      <c r="AV46" s="18" cm="1">
        <f t="array" ref="AV46">_xll.ASAssetStatistic($A46,"Ann. Downside Deviation (vs 0%)",,,'PBA Summary'!$H$2,"m",'PBA Summary'!$F$2,'PBA Summary'!$G$2)</f>
        <v>8.7187321650420868E-2</v>
      </c>
      <c r="AW46" s="18" cm="1">
        <f t="array" ref="AW46">_xll.ASAssetStatistic($A46,"Ann. Downside Deviation (vs Rf)",,,'PBA Summary'!$H$2,"m",'PBA Summary'!$F$2,'PBA Summary'!$G$2)</f>
        <v>8.7621881349780759E-2</v>
      </c>
      <c r="AX46" s="39" cm="1">
        <f t="array" ref="AX46">_xll.ASAssetStatistic($A46,"Annual Treynor ratio",,,'PBA Summary'!$H$2,"m",'PBA Summary'!$F$2,'PBA Summary'!$G$2)</f>
        <v>9.2605358279947134E-2</v>
      </c>
      <c r="AY46" s="26" cm="1">
        <f t="array" ref="AY46">_xll.ASAssetStatistic($A46,"Annual Sortino Ratio (vs 0%)",,,'PBA Summary'!$H$2,"m",'PBA Summary'!$F$2,'PBA Summary'!$G$2)</f>
        <v>1.292581149524884</v>
      </c>
      <c r="AZ46" s="26" cm="1">
        <f t="array" ref="AZ46">_xll.ASAssetStatistic($A46,"Annual Sortino Ratio (vs Rf)",,,'PBA Summary'!$H$2,"m",'PBA Summary'!$F$2,'PBA Summary'!$G$2)</f>
        <v>1.2576389224399203</v>
      </c>
      <c r="BA46" s="26" cm="1">
        <f t="array" ref="BA46">_xll.ASAssetStatistic($A46,"Sterling ratio",,,'PBA Summary'!$H$2,"m",'PBA Summary'!$F$2,'PBA Summary'!$G$2)</f>
        <v>0.50204041319524995</v>
      </c>
      <c r="BB46" s="26" cm="1">
        <f t="array" ref="BB46">_xll.ASAssetStatistic($A46,"Calmar ratio",,,'PBA Summary'!$H$2,"m",'PBA Summary'!$F$2,'PBA Summary'!$G$2)</f>
        <v>0.90535918441592589</v>
      </c>
      <c r="BC46" s="26" cm="1">
        <f t="array" ref="BC46">_xll.ASAssetStatistic($A46,"Hurst index",,,'PBA Summary'!$H$2,"m",'PBA Summary'!$F$2,'PBA Summary'!$G$2)</f>
        <v>0.38854185802493307</v>
      </c>
      <c r="BD46" s="26" cm="1">
        <f t="array" ref="BD46">_xll.ASAssetStatistic($A46,"Omega (Threshold 1)",,,'PBA Summary'!$H$2,"m",'PBA Summary'!$F$2,'PBA Summary'!$G$2)</f>
        <v>1.6941725122688993</v>
      </c>
      <c r="BE46" s="26" cm="1">
        <f t="array" ref="BE46">_xll.ASAssetStatistic($A46,"Omega (Threshold 2)",,,'PBA Summary'!$H$2,"m",'PBA Summary'!$F$2,'PBA Summary'!$G$2)</f>
        <v>1.2997285546433368</v>
      </c>
      <c r="BF46" s="26" cm="1">
        <f t="array" ref="BF46">_xll.ASAssetStatistic($A46,"Omega (Threshold 3)",,,'PBA Summary'!$H$2,"m",'PBA Summary'!$F$2,'PBA Summary'!$G$2)</f>
        <v>1.0237095084664456</v>
      </c>
      <c r="BG46" s="26" cm="1">
        <f t="array" ref="BG46">_xll.ASAssetStatistic($A46,"Omega (Threshold 4)",,,'PBA Summary'!$H$2,"m",'PBA Summary'!$F$2,'PBA Summary'!$G$2)</f>
        <v>0.82109679918937351</v>
      </c>
      <c r="BH46" s="26" cm="1">
        <f t="array" ref="BH46">_xll.ASAssetStatistic($A46,"Omega (Threshold 5)",,,'PBA Summary'!$H$2,"m",'PBA Summary'!$F$2,'PBA Summary'!$G$2)</f>
        <v>0.66604405240210196</v>
      </c>
      <c r="BI46" s="26" t="str" cm="1">
        <f t="array" ref="BI46">_xll.ASAssetStatistic($A46,"Autocorrelated (illiquid)",,,'PBA Summary'!$H$2,"m",'PBA Summary'!$F$2,'PBA Summary'!$G$2)</f>
        <v>No</v>
      </c>
      <c r="BJ46" s="27" cm="1">
        <f t="array" ref="BJ46">_xll.ASAssetStatistic($A46,"% months in Run Up",,,'PBA Summary'!$H$2,"m",'PBA Summary'!$F$2,'PBA Summary'!$G$2)</f>
        <v>0.4</v>
      </c>
      <c r="BK46" s="27" cm="1">
        <f t="array" ref="BK46">_xll.ASAssetStatistic($A46,"% months in Drawdown",,,'PBA Summary'!$H$2,"m",'PBA Summary'!$F$2,'PBA Summary'!$G$2)</f>
        <v>0.6</v>
      </c>
      <c r="BL46" s="18" cm="1">
        <f t="array" ref="BL46">IF('PBA Summary'!$D$2="","",_xll.ASAssetStatistic($A46,"Bull Beta to Benchmark 1",'PBA Summary'!$D$2,,,"m",'PBA Summary'!$F$2,'PBA Summary'!$G$2))</f>
        <v>-6.4551880736842468E-2</v>
      </c>
      <c r="BM46" s="18" cm="1">
        <f t="array" ref="BM46">IF('PBA Summary'!$D$2="","",_xll.ASAssetStatistic($A46,"Average return during bear Benchmark 1",'PBA Summary'!$D$2,,,"m",'PBA Summary'!$F$2,'PBA Summary'!$G$2))</f>
        <v>8.9744434674857765E-2</v>
      </c>
      <c r="BN46" s="18" cm="1">
        <f t="array" ref="BN46">IF('PBA Summary'!$D$3="","",_xll.ASAssetStatistic($A46,"Average return during bull Benchmark 1",'PBA Summary'!$D$3,,,"m",'PBA Summary'!$F$2,'PBA Summary'!$G$2))</f>
        <v>-1.8295279687540956E-2</v>
      </c>
      <c r="BO46" s="18" cm="1">
        <f t="array" ref="BO46">IF('PBA Summary'!$D$3="","",_xll.ASAssetStatistic($A46,"Average return during bear Benchmark 1",'PBA Summary'!$D$3,,,"m",'PBA Summary'!$F$2,'PBA Summary'!$G$2))</f>
        <v>8.9744434674857765E-2</v>
      </c>
      <c r="BP46" s="27" cm="1">
        <f t="array" ref="BP46">_xll.ASAssetStatistic($A46,"Maximum consecutive gain",,,'PBA Summary'!$H$2,"m",'PBA Summary'!$F$2,'PBA Summary'!$G$2)</f>
        <v>0.19381779783047026</v>
      </c>
      <c r="BQ46" s="27" cm="1">
        <f t="array" ref="BQ46">_xll.ASAssetStatistic($A46,"Maximum consecutive loss",,,'PBA Summary'!$H$2,"m",'PBA Summary'!$F$2,'PBA Summary'!$G$2)</f>
        <v>-6.6612066612066201E-2</v>
      </c>
      <c r="BR46" s="27" cm="1">
        <f t="array" ref="BR46">_xll.ASAssetStatistic($A46,"Max monthly gain",,,'PBA Summary'!$H$2,"m",'PBA Summary'!$F$2,'PBA Summary'!$G$2)</f>
        <v>0.16496487119437986</v>
      </c>
      <c r="BS46" s="27" cm="1">
        <f t="array" ref="BS46">_xll.ASAssetStatistic($A46,"Max monthly loss",,,'PBA Summary'!$H$2,"m",'PBA Summary'!$F$2,'PBA Summary'!$G$2)</f>
        <v>-6.5294306851077843E-2</v>
      </c>
      <c r="BT46" s="27" cm="1">
        <f t="array" ref="BT46">_xll.ASAssetStatistic($A46,"Max drawdown",,,'PBA Summary'!$H$2,"m",'PBA Summary'!$F$2,'PBA Summary'!$G$2)</f>
        <v>-0.12447732389836064</v>
      </c>
      <c r="BU46" s="28" cm="1">
        <f t="array" ref="BU46">_xll.ASAssetStatistic($A46,"Date Max drawdown",,,'PBA Summary'!$H$2,"m",'PBA Summary'!$F$2,'PBA Summary'!$G$2)</f>
        <v>43830</v>
      </c>
      <c r="BV46" s="28" cm="1">
        <f t="array" ref="BV46">_xll.ASAssetStatistic($A46,"Start Date Max Drawdown",,,'PBA Summary'!$H$2,"m",'PBA Summary'!$F$2,'PBA Summary'!$G$2)</f>
        <v>43738</v>
      </c>
      <c r="BW46" s="28" t="str" cm="1">
        <f t="array" ref="BW46">_xll.ASAssetStatistic($A46,"End Date Max Drawdown",,,'PBA Summary'!$H$2,"m",'PBA Summary'!$F$2,'PBA Summary'!$G$2)</f>
        <v/>
      </c>
      <c r="BX46" s="29" cm="1">
        <f t="array" ref="BX46">_xll.ASAssetStatistic($A46,"Max Time-under-water (months)",,,'PBA Summary'!$H$2,"m",'PBA Summary'!$F$2,'PBA Summary'!$G$2)</f>
        <v>7</v>
      </c>
      <c r="BY46" s="27" cm="1">
        <f t="array" ref="BY46">_xll.ASAssetStatistic($A46,"Max possible drawdown 99%",,,'PBA Summary'!$H$2,"m",'PBA Summary'!$F$2,'PBA Summary'!$G$2)</f>
        <v>-0.45806780335901531</v>
      </c>
      <c r="BZ46" s="27" cm="1">
        <f t="array" ref="BZ46">_xll.ASAssetStatistic($A46,"Max possible drawdown 99.9%",,,'PBA Summary'!$H$2,"m",'PBA Summary'!$F$2,'PBA Summary'!$G$2)</f>
        <v>-0.80828162849655427</v>
      </c>
      <c r="CA46" s="30" cm="1">
        <f t="array" ref="CA46">_xll.ASAssetStatistic($A46,"Max Possible Time-under-water 99% (months)",,,'PBA Summary'!$H$2,"m",'PBA Summary'!$F$2,'PBA Summary'!$G$2)</f>
        <v>174.24793681330192</v>
      </c>
      <c r="CB46" s="30" cm="1">
        <f t="array" ref="CB46">_xll.ASAssetStatistic($A46,"Max Possible Time-under-water 99.9% (months)",,,'PBA Summary'!$H$2,"m",'PBA Summary'!$F$2,'PBA Summary'!$G$2)</f>
        <v>307.46846885292757</v>
      </c>
      <c r="CC46" s="17" cm="1">
        <f t="array" ref="CC46">_xll.ASPortfolioReturnAttribution('PBA Summary'!$C$2,"OR",A46,"Last 1m",'PBA Summary'!$F$2,'PBA Summary'!$G$2)</f>
        <v>2.0818251114919236E-3</v>
      </c>
      <c r="CD46" s="11" t="str" cm="1">
        <f t="array" ref="CD46">_xll.ASAssetInfo($A46,"Strategy")</f>
        <v>Funds - Multi-Strat</v>
      </c>
      <c r="CE46" s="14" cm="1">
        <f t="array" ref="CE46">_xll.ASAssetInfo($A46,"Start Date")</f>
        <v>43312</v>
      </c>
      <c r="CF46" s="14" t="str" cm="1">
        <f t="array" ref="CF46">_xll.ASAssetRatings($A46,"Quantitative",0,0,0,0,0,'PBA Summary'!$F$2,'PBA Summary'!$G$2)</f>
        <v/>
      </c>
      <c r="CG46" s="14" t="str" cm="1">
        <f t="array" ref="CG46">_xll.ASAssetRatings($A46,"Qualitative",0,0,0,0,0,'PBA Summary'!$F$2,'PBA Summary'!$G$2)</f>
        <v/>
      </c>
      <c r="CH46" s="14" t="str" cm="1">
        <f t="array" ref="CH46">_xll.ASAssetRatings($A46,"Final",0,0,0,0,0,'PBA Summary'!$F$2,'PBA Summary'!$G$2)</f>
        <v/>
      </c>
      <c r="CI46" s="14" cm="1">
        <f t="array" ref="CI46">_xll.ASAssetInfo($A46,"Last Return Date")</f>
        <v>44133</v>
      </c>
      <c r="CJ46" s="14" t="str" cm="1">
        <f t="array" ref="CJ46">_xll.ASAssetInfo($A46,"Company Name")</f>
        <v>Quadriga Asset Managers</v>
      </c>
      <c r="CK46" s="14" t="str" cm="1">
        <f t="array" ref="CK46">_xll.ASAssetInfo($A46,"Manager Name")</f>
        <v>Diego Parrilla</v>
      </c>
      <c r="CL46" s="14" t="str" cm="1">
        <f t="array" ref="CL46">_xll.ASAssetInfo($A46,"Address")</f>
        <v>Quadriga Investors. 28-32, place de la Gare. L-1616 Luxembourg. Grand-Duchy of Luxembourg</v>
      </c>
      <c r="CM46" s="14" t="str" cm="1">
        <f t="array" ref="CM46">_xll.ASAssetInfo($A46,"Phone Number")</f>
        <v/>
      </c>
      <c r="CN46" s="14" t="str" cm="1">
        <f t="array" ref="CN46">_xll.ASAssetInfo($A46,"Email")</f>
        <v/>
      </c>
      <c r="CO46" s="14" t="str" cm="1">
        <f t="array" ref="CO46">_xll.ASAssetInfo($A46,"Asset Type")</f>
        <v>Portfolio Hedge</v>
      </c>
      <c r="CP46" s="14" t="str" cm="1">
        <f t="array" ref="CP46">_xll.ASAssetInfo($A46,"Proprietary ID")</f>
        <v/>
      </c>
      <c r="CQ46" s="14" t="str" cm="1">
        <f t="array" ref="CQ46">_xll.ASAssetInfo($A46,"Country")</f>
        <v>Luxembourg</v>
      </c>
      <c r="CR46" s="14" t="str" cm="1">
        <f t="array" ref="CR46">_xll.ASAssetInfo($A46,"Currency")</f>
        <v>USD</v>
      </c>
      <c r="CS46" s="14" t="str" cm="1">
        <f t="array" ref="CS46">_xll.ASAssetInfo($A46,"Sub-Strategy")</f>
        <v/>
      </c>
      <c r="CT46" s="31" cm="1">
        <f t="array" ref="CT46">_xll.ASAssetInfo($A46,"Fund AUM (m)")</f>
        <v>476.84179999999998</v>
      </c>
      <c r="CU46" s="31" t="str" cm="1">
        <f t="array" ref="CU46">_xll.ASAssetInfo($A46,"Status")</f>
        <v>Unknown</v>
      </c>
      <c r="CV46" s="31" t="str" cm="1">
        <f t="array" ref="CV46">_xll.ASAssetInfo($A46,"Redemption 1 Frequency")</f>
        <v>Daily</v>
      </c>
      <c r="CW46" s="31" t="str" cm="1">
        <f t="array" ref="CW46">_xll.ASAssetInfo($A46,"Redemption 2 Frequency")</f>
        <v>Unknown</v>
      </c>
      <c r="CX46" s="31" t="str" cm="1">
        <f t="array" ref="CX46">_xll.ASAssetInfo($A46,"Redemption 3 Frequency")</f>
        <v>Unknown</v>
      </c>
      <c r="CY46" s="31" t="str" cm="1">
        <f t="array" ref="CY46">_xll.ASAssetInfo($A46,"Notice Period")</f>
        <v/>
      </c>
      <c r="CZ46" s="15" cm="1">
        <f t="array" ref="CZ46">_xll.ASAssetInfo($A46,"Performance Fee")</f>
        <v>0</v>
      </c>
      <c r="DA46" s="15" cm="1">
        <f t="array" ref="DA46">_xll.ASAssetInfo($A46,"Management Fee")</f>
        <v>1.4999999999999999E-2</v>
      </c>
      <c r="DB46" s="15" t="str" cm="1">
        <f t="array" ref="DB46">_xll.ASAssetInfo($A46,"ISIN")</f>
        <v>LU1844121522</v>
      </c>
      <c r="DC46" s="16" t="str" cm="1">
        <f t="array" ref="DC46">_xll.ASAssetStatistic($A46,"Return during " &amp;YEAR(EOMONTH('PBA Summary'!$G$2,-60)),,,,"M",DATE(YEAR(EOMONTH('PBA Summary'!$G$2,-60)),1,31),DATE(YEAR(EOMONTH('PBA Summary'!$G$2,-60)),12,31))</f>
        <v/>
      </c>
      <c r="DD46" s="16" t="str" cm="1">
        <f t="array" ref="DD46">_xll.ASAssetStatistic($A46,"Return during " &amp;YEAR(EOMONTH('PBA Summary'!$G$2,-48)),,,,"M",DATE(YEAR(EOMONTH('PBA Summary'!$G$2,-48)),1,31),DATE(YEAR(EOMONTH('PBA Summary'!$G$2,-48)),12,31))</f>
        <v/>
      </c>
      <c r="DE46" s="16" t="str" cm="1">
        <f t="array" ref="DE46">_xll.ASAssetStatistic($A46,"Return during " &amp;YEAR(EOMONTH('PBA Summary'!$G$2,-36)),,,,"M",DATE(YEAR(EOMONTH('PBA Summary'!$G$2,-36)),1,31),DATE(YEAR(EOMONTH('PBA Summary'!$G$2,-36)),12,31))</f>
        <v/>
      </c>
      <c r="DF46" s="16" cm="1">
        <f t="array" ref="DF46">_xll.ASAssetStatistic($A46,"Return during " &amp;YEAR(EOMONTH('PBA Summary'!$G$2,-24)),,,,"M",DATE(YEAR(EOMONTH('PBA Summary'!$G$2,-24)),1,31),DATE(YEAR(EOMONTH('PBA Summary'!$G$2,-24)),12,31))</f>
        <v>0.10342403855808757</v>
      </c>
      <c r="DG46" s="16" cm="1">
        <f t="array" ref="DG46">_xll.ASAssetStatistic($A46,"Return during " &amp;YEAR(EOMONTH('PBA Summary'!$G$2,-12)),,,,"M",DATE(YEAR(EOMONTH('PBA Summary'!$G$2,-12)),1,31),DATE(YEAR(EOMONTH('PBA Summary'!$G$2,-12)),12,31))</f>
        <v>-9.1910091910094582E-3</v>
      </c>
      <c r="DH46" s="11" t="str" cm="1">
        <f t="array" ref="DH46">_xll.ASAssetInfo($A46,"Prime Broker")</f>
        <v/>
      </c>
      <c r="DI46" s="16" cm="1">
        <f t="array" ref="DI46">_xll.ASAssetStatistic($A46,"Return",,,,"m",'PBA Summary'!$F$2,'PBA Summary'!$G$2)</f>
        <v>0.14280200694712342</v>
      </c>
      <c r="DJ46" s="33" cm="1">
        <f t="array" ref="DJ46">IF('PBA Summary'!$D$2="","",_xll.ASAssetStatistic($A46,"Ann. Information Ratio vs Benchmark 1",'PBA Summary'!$D$2,,,"m",'PBA Summary'!$F$2,'PBA Summary'!$G$2))</f>
        <v>-0.1864808917324447</v>
      </c>
      <c r="DK46" s="33" cm="1">
        <f t="array" ref="DK46">IF('PBA Summary'!$D$3="","",_xll.ASAssetStatistic($A46,"Ann. Information Ratio vs Benchmark 1",'PBA Summary'!$D$3,,,"m",'PBA Summary'!$F$2,'PBA Summary'!$G$2))</f>
        <v>-0.1864808917324447</v>
      </c>
      <c r="DL46" s="33" cm="1">
        <f t="array" ref="DL46">IF('PBA Summary'!$D$2="","",_xll.ASAssetStatistic($A46,"Ann. Tracking Error vs Benchmark 1",'PBA Summary'!$D$2,,,"m",'PBA Summary'!$F$2,'PBA Summary'!$G$2))</f>
        <v>0.31968769148371817</v>
      </c>
      <c r="DM46" s="33" cm="1">
        <f t="array" ref="DM46">IF('PBA Summary'!$D$3="","",_xll.ASAssetStatistic($A46,"Ann. Tracking Error vs Benchmark 1",'PBA Summary'!$D$3,,,"m",'PBA Summary'!$F$2,'PBA Summary'!$G$2))</f>
        <v>0.31968769148371817</v>
      </c>
      <c r="DN46" s="33" cm="1">
        <f t="array" ref="DN46">IF('PBA Summary'!$D$2="","",_xll.ASAssetStatistic($A46,"R² vs Benchmark 1",'PBA Summary'!$D$2,,,"m",'PBA Summary'!$F$2,'PBA Summary'!$G$2))</f>
        <v>0.32015417971974414</v>
      </c>
      <c r="DO46" s="33" cm="1">
        <f t="array" ref="DO46">IF('PBA Summary'!$D$3="","",_xll.ASAssetStatistic($A46,"R² vs Benchmark 1",'PBA Summary'!$D$3,,,"m",'PBA Summary'!$F$2,'PBA Summary'!$G$2))</f>
        <v>0.32015417971974414</v>
      </c>
      <c r="DP46" s="11" t="str" cm="1">
        <f t="array" ref="DP46">_xll.ASAssetInfo($A46,"On-/Offshore")</f>
        <v>Unknown</v>
      </c>
      <c r="DQ46" s="16" cm="1">
        <f t="array" ref="DQ46">_xll.ASAssetStatistic($A46,"Quarter-to-date",,,,"m",'PBA Summary'!$F$2,'PBA Summary'!$G$2)</f>
        <v>8.7803085966200678E-2</v>
      </c>
      <c r="DR46" s="16" cm="1">
        <f t="array" ref="DR46">_xll.ASAssetStatistic($A46,"Annualized Return Since inception",,,,"m",'PBA Summary'!$F$2,'PBA Summary'!$G$2)</f>
        <v>0.15356840458438059</v>
      </c>
      <c r="DS46" s="16" cm="1">
        <f t="array" ref="DS46">IF('PBA Summary'!$D$2="","",_xll.ASAssetStatistic($A46,"Ann. Bear Market Return vs Benchmark 1",'PBA Summary'!$D$2,,,"m",'PBA Summary'!$F$2,'PBA Summary'!$G$2))</f>
        <v>1.7729199500853077</v>
      </c>
      <c r="DT46" s="16" cm="1">
        <f t="array" ref="DT46">IF('PBA Summary'!$D$2="","",_xll.ASAssetStatistic($A46,"Ann. Bull Market Return vs Benchmark 1",'PBA Summary'!$D$2,,,"m",'PBA Summary'!$F$2,'PBA Summary'!$G$2))</f>
        <v>-0.2016874367110264</v>
      </c>
      <c r="DU46" s="16" cm="1">
        <f t="array" ref="DU46">IF('PBA Summary'!$D$3="","",_xll.ASAssetStatistic($A46,"Ann. Bear Market Return vs Benchmark 1",'PBA Summary'!$D$3,,,"m",'PBA Summary'!$F$2,'PBA Summary'!$G$2))</f>
        <v>1.7729199500853077</v>
      </c>
      <c r="DV46" s="16" cm="1">
        <f t="array" ref="DV46">IF('PBA Summary'!$D$3="","",_xll.ASAssetStatistic($A46,"Ann. Bull Market Return vs Benchmark 1",'PBA Summary'!$D$3,,,"m",'PBA Summary'!$F$2,'PBA Summary'!$G$2))</f>
        <v>-0.2016874367110264</v>
      </c>
      <c r="DW46" s="17" cm="1">
        <f t="array" ref="DW46">_xll.ASAssetStatistic($A46,"Average Positive Return",,,,"m",'PBA Summary'!$F$2,'PBA Summary'!$G$2)</f>
        <v>6.4158225138127564E-2</v>
      </c>
      <c r="DX46" s="17" cm="1">
        <f t="array" ref="DX46">_xll.ASAssetStatistic($A46,"Average Negative Return",,,,"m",'PBA Summary'!$F$2,'PBA Summary'!$G$2)</f>
        <v>-2.5246632076920534E-2</v>
      </c>
      <c r="DY46" s="16" cm="1">
        <f t="array" ref="DY46">IF('PBA Summary'!$D$2="","",_xll.ASAssetStatistic($A46,"Outperformance vs Benchmark 1",'PBA Summary'!$D$2,,,"m",'PBA Summary'!$F$2,'PBA Summary'!$G$2))</f>
        <v>-7.7041637861595236E-2</v>
      </c>
      <c r="DZ46" s="16" cm="1">
        <f t="array" ref="DZ46">IF('PBA Summary'!$D$3="","",_xll.ASAssetStatistic($A46,"Outperformance vs Benchmark 1",'PBA Summary'!$D$3,,,"m",'PBA Summary'!$F$2,'PBA Summary'!$G$2))</f>
        <v>-7.7041637861595236E-2</v>
      </c>
      <c r="EA46" s="16" cm="1">
        <f t="array" ref="EA46">IF('PBA Summary'!$D$2="","",_xll.ASAssetStatistic($A46,"Annual Outperformance vs Benchmark 1",'PBA Summary'!$D$2,,,"m",'PBA Summary'!$F$2,'PBA Summary'!$G$2))</f>
        <v>-5.9615645783770432E-2</v>
      </c>
      <c r="EB46" s="16" cm="1">
        <f t="array" ref="EB46">IF('PBA Summary'!$D$3="","",_xll.ASAssetStatistic($A46,"Annual Outperformance vs Benchmark 1",'PBA Summary'!$D$3,,,"m",'PBA Summary'!$F$2,'PBA Summary'!$G$2))</f>
        <v>-5.9615645783770432E-2</v>
      </c>
      <c r="EC46" s="32" cm="1">
        <f t="array" ref="EC46">_xll.ASAssetStatistic($A46,"Rachev Ratio 99%",,,,"m",'PBA Summary'!$F$2,'PBA Summary'!$G$2)</f>
        <v>-2.526481697257756</v>
      </c>
      <c r="ED46" s="32" cm="1">
        <f t="array" ref="ED46">_xll.ASAssetStatistic($A46,"Rachev Ratio 97%",,,,"m",'PBA Summary'!$F$2,'PBA Summary'!$G$2)</f>
        <v>-2.526481697257756</v>
      </c>
      <c r="EE46" s="32" cm="1">
        <f t="array" ref="EE46">_xll.ASAssetStatistic($A46,"Rachev Ratio 95%",,,,"m",'PBA Summary'!$F$2,'PBA Summary'!$G$2)</f>
        <v>-2.526481697257756</v>
      </c>
      <c r="EF46" s="32" cm="1">
        <f t="array" ref="EF46">_xll.ASAssetStatistic($A46,"Rachev Ratio 90%",,,,"m",'PBA Summary'!$F$2,'PBA Summary'!$G$2)</f>
        <v>-2.0177812507924546</v>
      </c>
      <c r="EG46" s="34" cm="1">
        <f t="array" ref="EG46">IF('PBA Summary'!$D$2="","",_xll.ASAssetStatistic($A46,"Annual Up Capture vs Benchmark 1",'PBA Summary'!$D$2,,,"m",'PBA Summary'!$F$2,'PBA Summary'!$G$2))</f>
        <v>-0.39842809646588839</v>
      </c>
      <c r="EH46" s="34" cm="1">
        <f t="array" ref="EH46">IF('PBA Summary'!$D$3="","",_xll.ASAssetStatistic($A46,"Annual Up Capture vs Benchmark 1",'PBA Summary'!$D$3,,,"m",'PBA Summary'!$F$2,'PBA Summary'!$G$2))</f>
        <v>-0.39842809646588839</v>
      </c>
      <c r="EI46" s="34" cm="1">
        <f t="array" ref="EI46">IF('PBA Summary'!$D$2="","",_xll.ASAssetStatistic($A46,"Annual Down Capture vs Benchmark 1",'PBA Summary'!$D$2,,,"m",'PBA Summary'!$F$2,'PBA Summary'!$G$2))</f>
        <v>-4.3081846025611945</v>
      </c>
      <c r="EJ46" s="34" cm="1">
        <f t="array" ref="EJ46">IF('PBA Summary'!$D$3="","",_xll.ASAssetStatistic($A46,"Annual Down Capture vs Benchmark 1",'PBA Summary'!$D$3,,,"m",'PBA Summary'!$F$2,'PBA Summary'!$G$2))</f>
        <v>-4.3081846025611945</v>
      </c>
      <c r="EK46" s="16" cm="1">
        <f t="array" ref="EK46">IF('PBA Summary'!$D$2="","",_xll.ASAssetStatistic($A46,"Ann. Tracking Error vs Benchmark 1",'PBA Summary'!$D$2,,,"m",'PBA Summary'!$F$2,'PBA Summary'!$G$2))</f>
        <v>0.31968769148371817</v>
      </c>
      <c r="EL46" s="16" cm="1">
        <f t="array" ref="EL46">IF('PBA Summary'!$D$3="","",_xll.ASAssetStatistic($A46,"Ann. Tracking Error vs Benchmark 1",'PBA Summary'!$D$3,,,"m",'PBA Summary'!$F$2,'PBA Summary'!$G$2))</f>
        <v>0.31968769148371817</v>
      </c>
      <c r="EM46" s="16" cm="1">
        <f t="array" ref="EM46">IF('PBA Summary'!$D$2="","",_xll.ASAssetStatistic($A46,"Annual Jensen Alpha vs Benchmark 1 (Rf)",'PBA Summary'!$D$2,,,"m",'PBA Summary'!$F$2,'PBA Summary'!$G$2))</f>
        <v>0.23955503427060951</v>
      </c>
      <c r="EN46" s="16" cm="1">
        <f t="array" ref="EN46">IF('PBA Summary'!$D$3="","",_xll.ASAssetStatistic($A46,"Annual Jensen Alpha vs Benchmark 1 (Rf)",'PBA Summary'!$D$3,,,"m",'PBA Summary'!$F$2,'PBA Summary'!$G$2))</f>
        <v>0.23955503427060951</v>
      </c>
      <c r="EO46" s="33" cm="1">
        <f t="array" ref="EO46">IF('PBA Summary'!$D$2="","",_xll.ASAssetStatistic($A46,"Ann. Information Ratio vs Benchmark 1",'PBA Summary'!$D$2,,,"m",'PBA Summary'!$F$2,'PBA Summary'!$G$2))</f>
        <v>-0.1864808917324447</v>
      </c>
      <c r="EP46" s="33" cm="1">
        <f t="array" ref="EP46">IF('PBA Summary'!$D$3="","",_xll.ASAssetStatistic($A46,"Ann. Information Ratio vs Benchmark 1",'PBA Summary'!$D$3,,,"m",'PBA Summary'!$F$2,'PBA Summary'!$G$2))</f>
        <v>-0.1864808917324447</v>
      </c>
      <c r="EQ46" s="17" cm="1">
        <f t="array" ref="EQ46">IF('PBA Summary'!$D$2="","",_xll.ASAssetStatistic($A46,"Alpha Monthly vs Benchmark 1",'PBA Summary'!$D$2,,,"m",'PBA Summary'!$F$2,'PBA Summary'!$G$2))</f>
        <v>2.1383880636824993E-2</v>
      </c>
      <c r="ER46" s="17" cm="1">
        <f t="array" ref="ER46">IF('PBA Summary'!$D$3="","",_xll.ASAssetStatistic($A46,"Alpha Monthly vs Benchmark 1",'PBA Summary'!$D$3,,,"m",'PBA Summary'!$F$2,'PBA Summary'!$G$2))</f>
        <v>2.1383880636824993E-2</v>
      </c>
      <c r="ES46" s="11" cm="1">
        <f t="array" ref="ES46">_xll.ASAssetInfo($A46,"Company AUM (m)")</f>
        <v>1800</v>
      </c>
      <c r="ET46" s="16" cm="1">
        <f t="array" ref="ET46">_xll.ASAssetStatistic($A46,"Exponential Annualized Volatility",,,,"m",'PBA Summary'!$F$2,'PBA Summary'!$G$2)</f>
        <v>0.22536415404242244</v>
      </c>
      <c r="EU46" s="16" cm="1">
        <f t="array" ref="EU46">_xll.ASAssetStatistic($A46,"Exponential Annualized Volatility Last 1 year",,,,"m",'PBA Summary'!$F$2,'PBA Summary'!$G$2)</f>
        <v>0.23398644655128517</v>
      </c>
      <c r="EV46" s="16" t="str" cm="1">
        <f t="array" ref="EV46">_xll.ASAssetStatistic($A46,"Exponential Annualized Volatility Last 3 years",,,,"m",'PBA Summary'!$F$2,'PBA Summary'!$G$2)</f>
        <v/>
      </c>
      <c r="EW46" s="34" cm="1">
        <f t="array" ref="EW46">IF('PBA Summary'!$D$2="","",_xll.ASAssetStatistic($A46,"Exponential Correlation to Benchmark 1",'PBA Summary'!$D$2,,,"m",'PBA Summary'!$F$2,'PBA Summary'!$G$2))</f>
        <v>-0.51450193238883746</v>
      </c>
      <c r="EX46" s="34" cm="1">
        <f t="array" ref="EX46">IF('PBA Summary'!$D$3="","",_xll.ASAssetStatistic($A46,"Exponential Correlation to Benchmark 1",'PBA Summary'!$D$3,,,"m",'PBA Summary'!$F$2,'PBA Summary'!$G$2))</f>
        <v>-0.51450193238883746</v>
      </c>
      <c r="EY46" s="34" cm="1">
        <f t="array" ref="EY46">_xll.ASAssetStatistic($A46,"Exponential Annual Sharpe Ratio (Rf)",,,,"m",'PBA Summary'!$F$2,'PBA Summary'!$G$2)</f>
        <v>0.72677225987602345</v>
      </c>
      <c r="EZ46" s="34" cm="1">
        <f t="array" ref="EZ46">_xll.ASAssetStatistic($A46,"Exponential Normal Monthly VaR 99%",,,,"m",'PBA Summary'!$F$2,'PBA Summary'!$G$2)</f>
        <v>-0.13844389606670868</v>
      </c>
      <c r="FA46" s="34" cm="1">
        <f t="array" ref="FA46">_xll.ASAssetStatistic($A46,"Exponential Normal Monthly VaR 97%",,,,"m",'PBA Summary'!$F$2,'PBA Summary'!$G$2)</f>
        <v>-0.1094574599375228</v>
      </c>
      <c r="FB46" s="34" cm="1">
        <f t="array" ref="FB46">_xll.ASAssetStatistic($A46,"Exponential Normal Monthly VaR 95%",,,,"m",'PBA Summary'!$F$2,'PBA Summary'!$G$2)</f>
        <v>-9.4107906092013374E-2</v>
      </c>
      <c r="FC46" s="34" cm="1">
        <f t="array" ref="FC46">_xll.ASAssetStatistic($A46,"Exponential Normal Monthly VaR 90%",,,,"m",'PBA Summary'!$F$2,'PBA Summary'!$G$2)</f>
        <v>-7.0472553891881118E-2</v>
      </c>
      <c r="FD46" s="34" t="str" cm="1">
        <f t="array" ref="FD46">_xll.ASAssetStatistic($A46,"Exponential Normal weekly VaR 99%",,,,"m",'PBA Summary'!$F$2,'PBA Summary'!$G$2)</f>
        <v/>
      </c>
      <c r="FE46" s="34" t="str" cm="1">
        <f t="array" ref="FE46">_xll.ASAssetStatistic($A46,"Exponential Normal weekly VaR 97%",,,,"m",'PBA Summary'!$F$2,'PBA Summary'!$G$2)</f>
        <v/>
      </c>
      <c r="FF46" s="34" t="str" cm="1">
        <f t="array" ref="FF46">_xll.ASAssetStatistic($A46,"Exponential Normal weekly VaR 95%",,,,"m",'PBA Summary'!$F$2,'PBA Summary'!$G$2)</f>
        <v/>
      </c>
      <c r="FG46" s="34" t="str" cm="1">
        <f t="array" ref="FG46">_xll.ASAssetStatistic($A46,"Exponential Normal weekly VaR 90%",,,,"m",'PBA Summary'!$F$2,'PBA Summary'!$G$2)</f>
        <v/>
      </c>
      <c r="FH46" s="34" t="str" cm="1">
        <f t="array" ref="FH46">_xll.ASAssetStatistic($A46,"Exponential Normal daily VaR 99%",,,,"m",'PBA Summary'!$F$2,'PBA Summary'!$G$2)</f>
        <v/>
      </c>
      <c r="FI46" s="34" t="str" cm="1">
        <f t="array" ref="FI46">_xll.ASAssetStatistic($A46,"Exponential Normal daily VaR 97%",,,,"m",'PBA Summary'!$F$2,'PBA Summary'!$G$2)</f>
        <v/>
      </c>
      <c r="FJ46" s="34" t="str" cm="1">
        <f t="array" ref="FJ46">_xll.ASAssetStatistic($A46,"Exponential Normal daily VaR 95%",,,,"m",'PBA Summary'!$F$2,'PBA Summary'!$G$2)</f>
        <v/>
      </c>
      <c r="FK46" s="34" t="str" cm="1">
        <f t="array" ref="FK46">_xll.ASAssetStatistic($A46,"Exponential Normal daily VaR 90%",,,,"m",'PBA Summary'!$F$2,'PBA Summary'!$G$2)</f>
        <v/>
      </c>
      <c r="FL46" s="34" cm="1">
        <f t="array" ref="FL46">_xll.ASAssetStatistic($A46,"Bias Ratio",,,,"m",'PBA Summary'!$F$2,'PBA Summary'!$G$2)</f>
        <v>0.375</v>
      </c>
      <c r="FM46" s="11" t="str" cm="1">
        <f t="array" ref="FM46">_xll.ASAssetInfo($A46,"Manager's Biography")</f>
        <v/>
      </c>
      <c r="FN46" s="11" cm="1">
        <f t="array" ref="FN46">_xll.ASAssetInfo($A46,"Investment Min")</f>
        <v>125000</v>
      </c>
      <c r="FO46" s="11" t="str" cm="1">
        <f t="array" ref="FO46">_xll.ASAssetInfo($A46,"Auditor")</f>
        <v>KPMG Luxembourg Societe Cooperative</v>
      </c>
      <c r="FP46" s="11" t="str" cm="1">
        <f t="array" ref="FP46">_xll.ASAssetInfo($A46,"Custodian")</f>
        <v>Societe Generale Luxembourg</v>
      </c>
      <c r="FQ46" s="11" t="str" cm="1">
        <f t="array" ref="FQ46">_xll.ASAssetInfo($A46,"Administrator")</f>
        <v>Societe Generale Luxembourg</v>
      </c>
      <c r="FR46" s="14" t="str" cm="1">
        <f t="array" ref="FR46">_xll.ASAssetInfo($A46,"Proxy 1 Start Date")</f>
        <v/>
      </c>
      <c r="FS46" s="14" t="str" cm="1">
        <f t="array" ref="FS46">_xll.ASAssetInfo($A46,"Proxy 1 End Date")</f>
        <v/>
      </c>
      <c r="FT46" s="14" t="str" cm="1">
        <f t="array" ref="FT46">_xll.ASAssetInfo($A46,"Proxy 2 Start Date")</f>
        <v/>
      </c>
      <c r="FU46" s="14" t="str" cm="1">
        <f t="array" ref="FU46">_xll.ASAssetInfo($A46,"Proxy 2 End Date")</f>
        <v/>
      </c>
      <c r="FV46" s="14" t="str" cm="1">
        <f t="array" ref="FV46">_xll.ASAssetInfo($A46,"Proxy 3 Start Date")</f>
        <v/>
      </c>
      <c r="FW46" s="14" t="str" cm="1">
        <f t="array" ref="FW46">_xll.ASAssetInfo($A46,"Proxy 3 End Date")</f>
        <v/>
      </c>
      <c r="FX46" s="14" t="str" cm="1">
        <f t="array" ref="FX46">_xll.ASAssetInfo($A46,"Fund Domicile")</f>
        <v>LU</v>
      </c>
      <c r="FY46" s="14" t="str" cm="1">
        <f t="array" ref="FY46">_xll.ASAssetInfo($A46,"Fund Contact")</f>
        <v/>
      </c>
      <c r="FZ46" s="14" t="str" cm="1">
        <f t="array" ref="FZ46">_xll.ASAssetInfo($A46,"Fund Contact Email")</f>
        <v/>
      </c>
      <c r="GA46" s="14" t="str" cm="1">
        <f t="array" ref="GA46">_xll.ASAssetInfo($A46,"Fund Contact Number")</f>
        <v/>
      </c>
      <c r="GB46" s="14" t="str" cm="1">
        <f t="array" ref="GB46">_xll.ASAssetInfo($A46,"City")</f>
        <v>Luxembourg</v>
      </c>
      <c r="GC46" s="14" t="str" cm="1">
        <f t="array" ref="GC46">_xll.ASAssetInfo($A46,"Leverage")</f>
        <v>N</v>
      </c>
      <c r="GD46" s="14" t="str" cm="1">
        <f t="array" ref="GD46">_xll.ASAssetInfo($A46,"Lockup 1 Duration")</f>
        <v>0 Months</v>
      </c>
      <c r="GE46" s="14" t="str" cm="1">
        <f t="array" ref="GE46">_xll.ASAssetInfo($A46,"Lockup 2 Duration")</f>
        <v>0 Months</v>
      </c>
      <c r="GF46" s="14" t="str" cm="1">
        <f t="array" ref="GF46">_xll.ASAssetInfo($A46,"Lockup 3 Duration")</f>
        <v>0 Months</v>
      </c>
      <c r="GG46" s="31" t="str" cm="1">
        <f t="array" ref="GG46">_xll.ASAssetInfo($A46,"Fund Level Gate")</f>
        <v/>
      </c>
      <c r="GH46" s="31" t="str" cm="1">
        <f t="array" ref="GH46">_xll.ASAssetInfo($A46,"Fund Level Gate Frequency")</f>
        <v>Unknown</v>
      </c>
      <c r="GI46" s="35" cm="1">
        <f t="array" ref="GI46">_xll.ASAssetInfo($A46,"Payment 2 (%)")</f>
        <v>0</v>
      </c>
      <c r="GJ46" s="35" t="str" cm="1">
        <f t="array" ref="GJ46">_xll.ASAssetInfo($A46,"Payment 2 (days)")</f>
        <v/>
      </c>
      <c r="GK46" s="35" t="str" cm="1">
        <f t="array" ref="GK46">_xll.ASAssetInfo($A46,"Payment 2 (Paid After)")</f>
        <v>NAV Date</v>
      </c>
      <c r="GL46" s="35" cm="1">
        <f t="array" ref="GL46">_xll.ASAssetInfo($A46,"Payment 3 (%)")</f>
        <v>0</v>
      </c>
      <c r="GM46" s="36" t="str" cm="1">
        <f t="array" ref="GM46">_xll.ASAssetInfo($A46,"Payment 3 (Days)")</f>
        <v/>
      </c>
      <c r="GN46" s="35" t="str" cm="1">
        <f t="array" ref="GN46">_xll.ASAssetInfo($A46,"Payment 3 (Paid After)")</f>
        <v>NAV Date</v>
      </c>
      <c r="GO46" s="35" cm="1">
        <f t="array" ref="GO46">_xll.ASAssetInfo($A46,"Payment 4 (%)")</f>
        <v>0</v>
      </c>
      <c r="GP46" s="36" t="str" cm="1">
        <f t="array" ref="GP46">_xll.ASAssetInfo($A46,"Payment 4 (days)")</f>
        <v/>
      </c>
      <c r="GQ46" s="35" t="str" cm="1">
        <f t="array" ref="GQ46">_xll.ASAssetInfo($A46,"Payment 4 (Paid After)")</f>
        <v>NAV Date</v>
      </c>
      <c r="GR46" s="11" cm="1">
        <f t="array" ref="GR46">_xll.ASAssetInfo($A46,"Payment 1 (%)")</f>
        <v>1</v>
      </c>
      <c r="GS46" s="35" cm="1">
        <f t="array" ref="GS46">_xll.ASAssetInfo($A46,"Lockup 1 Fee")</f>
        <v>0</v>
      </c>
      <c r="GT46" s="35" cm="1">
        <f t="array" ref="GT46">_xll.ASAssetInfo($A46,"Lockup 2 Fee")</f>
        <v>0</v>
      </c>
      <c r="GU46" s="35" cm="1">
        <f t="array" ref="GU46">_xll.ASAssetInfo($A46,"Lockup 3 Fee")</f>
        <v>0</v>
      </c>
      <c r="GV46" s="35" t="str" cm="1">
        <f t="array" ref="GV46">_xll.ASAssetInfo($A46,"Lockup 1 type")</f>
        <v>None</v>
      </c>
      <c r="GW46" s="35" t="str" cm="1">
        <f t="array" ref="GW46">_xll.ASAssetInfo($A46,"Lockup 2 type")</f>
        <v>None</v>
      </c>
      <c r="GX46" s="35" t="str" cm="1">
        <f t="array" ref="GX46">_xll.ASAssetInfo($A46,"Lockup 3 type")</f>
        <v>None</v>
      </c>
      <c r="GY46" s="35" t="str" cm="1">
        <f t="array" ref="GY46">_xll.ASAssetInfo($A46,"Redemption 1 type")</f>
        <v>Calendar</v>
      </c>
      <c r="GZ46" s="35" t="str" cm="1">
        <f t="array" ref="GZ46">_xll.ASAssetInfo($A46,"Redemption 2 type")</f>
        <v>Calendar</v>
      </c>
      <c r="HA46" s="35" t="str" cm="1">
        <f t="array" ref="HA46">_xll.ASAssetInfo($A46,"Redemption 3 type")</f>
        <v>Calendar</v>
      </c>
      <c r="HB46" s="35" t="str" cm="1">
        <f t="array" ref="HB46">_xll.ASAssetInfo($A46,"Redemption 1 Fee")</f>
        <v/>
      </c>
      <c r="HC46" s="35" t="str" cm="1">
        <f t="array" ref="HC46">_xll.ASAssetInfo($A46,"Redemption 2 Fee")</f>
        <v/>
      </c>
      <c r="HD46" s="35" t="str" cm="1">
        <f t="array" ref="HD46">_xll.ASAssetInfo($A46,"Redemption 3 Fee")</f>
        <v/>
      </c>
      <c r="HE46" s="35" t="str" cm="1">
        <f t="array" ref="HE46">_xll.ASAssetInfo($A46,"Redemption 1 Frequency")</f>
        <v>Daily</v>
      </c>
      <c r="HF46" s="35" t="str" cm="1">
        <f t="array" ref="HF46">_xll.ASAssetInfo($A46,"Redemption 2 Frequency")</f>
        <v>Unknown</v>
      </c>
      <c r="HG46" s="35" t="str" cm="1">
        <f t="array" ref="HG46">_xll.ASAssetInfo($A46,"Redemption 3 Frequency")</f>
        <v>Unknown</v>
      </c>
      <c r="HH46" s="35" t="str" cm="1">
        <f t="array" ref="HH46">_xll.ASAssetInfo($A46,"Asset Calendar")</f>
        <v>[Default]</v>
      </c>
      <c r="HI46" s="16" cm="1">
        <f t="array" ref="HI46">_xll.ASAssetStatistic($A46,"Max Second Drawdown",,,,"m",'PBA Summary'!$F$2,'PBA Summary'!$G$2)</f>
        <v>-6.6612066612066201E-2</v>
      </c>
      <c r="HJ46" s="37" cm="1">
        <f t="array" ref="HJ46">_xll.ASAssetStatistic($A46,"Date Max Second Drawdown",,,,"m",'PBA Summary'!$F$2,'PBA Summary'!$G$2)</f>
        <v>43585</v>
      </c>
      <c r="HK46" s="37"/>
      <c r="HL46" s="37" t="str" cm="1">
        <f t="array" ref="HL46">_xll.ASAssetInfo($A46,HL$1)</f>
        <v/>
      </c>
      <c r="HM46" s="34" t="str" cm="1">
        <f t="array" ref="HM46">_xll.ASAssetInfo($A46,HM$1)</f>
        <v/>
      </c>
      <c r="HN46" s="37" t="str" cm="1">
        <f t="array" ref="HN46">_xll.ASAssetInfo($A46,HN$1)</f>
        <v/>
      </c>
      <c r="HO46" s="15" cm="1">
        <f t="array" ref="HO46">_xll.ASAssetInfo($A46,HO$1)</f>
        <v>0</v>
      </c>
      <c r="HP46" s="15" t="str" cm="1">
        <f t="array" ref="HP46">_xll.ASAssetInfo($A46,HP$1)</f>
        <v/>
      </c>
      <c r="HQ46" s="34" t="str" cm="1">
        <f t="array" ref="HQ46">_xll.ASAssetInfo($A46,HQ$1)</f>
        <v/>
      </c>
      <c r="HR46" s="37" t="str" cm="1">
        <f t="array" ref="HR46">_xll.ASAssetInfo($A46,HR$1)</f>
        <v/>
      </c>
      <c r="HS46" s="37" t="str" cm="1">
        <f t="array" ref="HS46">_xll.ASAssetInfo($A46,HS$1)</f>
        <v/>
      </c>
      <c r="HT46" s="37" t="str" cm="1">
        <f t="array" ref="HT46">_xll.ASAssetInfo($A46,HT$1)</f>
        <v/>
      </c>
      <c r="HU46" s="37" t="str" cm="1">
        <f t="array" ref="HU46">_xll.ASAssetInfo($A46,HU$1)</f>
        <v>Global</v>
      </c>
      <c r="HV46" s="37" t="str" cm="1">
        <f t="array" ref="HV46">_xll.ASAssetInfo($A46,HV$1)</f>
        <v>Materials</v>
      </c>
      <c r="HW46" s="37" t="str" cm="1">
        <f t="array" ref="HW46">_xll.ASAssetInfo($A46,HW$1)</f>
        <v/>
      </c>
    </row>
    <row r="47" spans="1:231" s="11" customFormat="1" ht="60" x14ac:dyDescent="0.25">
      <c r="A47" t="s">
        <v>279</v>
      </c>
      <c r="B47" cm="1">
        <f t="array" ref="B47">_xll.ASPortfolioWeights('PBA Summary'!$C$2,"OR",$A47)</f>
        <v>6.2286741704714974E-2</v>
      </c>
      <c r="C47" cm="1">
        <f t="array" ref="C47">_xll.ASAssetStatistic($A47,"Annualized Return since inception",,,,"m",_xll.ASAssetInfo($A47,"Start Date"),_xll.ASAssetInfo($A47,"Last Return Date"))</f>
        <v>5.6070052904084733E-2</v>
      </c>
      <c r="D47" cm="1">
        <f t="array" ref="D47">_xll.ASAssetStatistic($A47,"Annualized Return",,,,"m",'PBA Summary'!$F$2,'PBA Summary'!$G$2)</f>
        <v>6.889362135724908E-2</v>
      </c>
      <c r="E47" s="19" cm="1">
        <f t="array" ref="E47">_xll.ASAssetStatistic($A47,"Equilibrium Annual Return",,,,"m",'PBA Summary'!$F$2,'PBA Summary'!$G$2)</f>
        <v>4.7506152068094165E-2</v>
      </c>
      <c r="F47" cm="1">
        <f t="array" ref="F47">_xll.ASAssetStatistic($A47,"Annualized Volatility (Inception)",,,,"m",_xll.ASAssetInfo($A47,"Start Date"),_xll.ASAssetInfo($A47,"Last Return Date"))</f>
        <v>3.5358385626640385E-2</v>
      </c>
      <c r="G47" cm="1">
        <f t="array" ref="G47">_xll.ASAssetStatistic($A47,"Annualized Volatility",,,,"m",'PBA Summary'!$F$2,'PBA Summary'!$G$2)</f>
        <v>1.8097472676417529E-2</v>
      </c>
      <c r="H47" s="20" cm="1">
        <f t="array" ref="H47">_xll.ASAssetStatistic($A47,"Skewness",,,,"m",'PBA Summary'!$F$2,'PBA Summary'!$G$2)</f>
        <v>1.5917151504416946</v>
      </c>
      <c r="I47" s="20" cm="1">
        <f t="array" ref="I47">_xll.ASAssetStatistic($A47,"Excess kurtosis",,,,"m",'PBA Summary'!$F$2,'PBA Summary'!$G$2)</f>
        <v>3.0683280131672133</v>
      </c>
      <c r="J47" s="19" cm="1">
        <f t="array" ref="J47">_xll.ASAssetStatistic($A47,"Return Last 1 month",,,,"m",'PBA Summary'!$F$2,'PBA Summary'!$G$2)</f>
        <v>-3.3693754403152365E-4</v>
      </c>
      <c r="K47" s="19" cm="1">
        <f t="array" ref="K47">_xll.ASAssetStatistic($A47,"Return Last 3 months",,,,"m",'PBA Summary'!$F$2,'PBA Summary'!$G$2)</f>
        <v>1.6043668666071653E-2</v>
      </c>
      <c r="L47" s="19" cm="1">
        <f t="array" ref="L47">_xll.ASAssetStatistic($A47,"Return Last 1 year",,,,"m",'PBA Summary'!$F$2,'PBA Summary'!$G$2)</f>
        <v>7.679363874820555E-2</v>
      </c>
      <c r="M47" s="19" cm="1">
        <f t="array" ref="M47">_xll.ASAssetStatistic($A47,"Year-to-date Return",,,,"m",'PBA Summary'!$F$2,'PBA Summary'!$G$2)</f>
        <v>-3.3693754403152365E-4</v>
      </c>
      <c r="N47" s="19" cm="1">
        <f t="array" ref="N47">_xll.ASAssetStatistic($A47,"Annualized Return",,,,"m",EOMONTH('PBA Summary'!$G$2,-2),'PBA Summary'!$G$2)</f>
        <v>6.5735655260898751E-2</v>
      </c>
      <c r="O47" s="19" t="str" cm="1">
        <f t="array" ref="O47">_xll.ASAssetStatistic($A47,"Annualized Return Last 3 years",,,,"m",'PBA Summary'!$F$2,'PBA Summary'!$G$2)</f>
        <v/>
      </c>
      <c r="P47" s="19" t="str" cm="1">
        <f t="array" ref="P47">_xll.ASAssetStatistic($A47,"Annualized Return Last 5 years",,,,"m",'PBA Summary'!$F$2,'PBA Summary'!$G$2)</f>
        <v/>
      </c>
      <c r="Q47" s="19" cm="1">
        <f t="array" ref="Q47">_xll.ASAssetStatistic($A47,"Annualized Volatility Last 1 year",,,,"m",'PBA Summary'!$F$2,'PBA Summary'!$G$2)</f>
        <v>1.9585986113300837E-2</v>
      </c>
      <c r="R47" s="19" t="str" cm="1">
        <f t="array" ref="R47">_xll.ASAssetStatistic($A47,"Annualized Volatility Last 3 years",,,,"m",'PBA Summary'!$F$2,'PBA Summary'!$G$2)</f>
        <v/>
      </c>
      <c r="S47" s="19" t="str" cm="1">
        <f t="array" ref="S47">_xll.ASAssetStatistic($A47,"Annualized Volatility Last 5 years",,,,"m",'PBA Summary'!$F$2,'PBA Summary'!$G$2)</f>
        <v/>
      </c>
      <c r="T47" s="19" cm="1">
        <f t="array" ref="T47">_xll.ASAssetStatistic($A47,"Normal monthly VaR 99%",,,,"m",'PBA Summary'!$F$2,'PBA Summary'!$G$2)</f>
        <v>-6.5734599308059517E-3</v>
      </c>
      <c r="U47" s="19" cm="1">
        <f t="array" ref="U47">_xll.ASAssetStatistic($A47,"Modified monthly VaR 99%",,,,"m",'PBA Summary'!$F$2,'PBA Summary'!$G$2)</f>
        <v>7.7476013724496993E-4</v>
      </c>
      <c r="V47" s="19" cm="1">
        <f t="array" ref="V47">_xll.ASAssetStatistic($A47,"Conditional monthly VaR 99%",,,,"m",'PBA Summary'!$F$2,'PBA Summary'!$G$2)</f>
        <v>-3.3693754403152365E-4</v>
      </c>
      <c r="W47" s="19" cm="1">
        <f t="array" ref="W47">_xll.ASAssetStatistic($A47,"Normal monthly VaR 97%",,,,"m",'PBA Summary'!$F$2,'PBA Summary'!$G$2)</f>
        <v>-4.2457550743543095E-3</v>
      </c>
      <c r="X47" s="19" cm="1">
        <f t="array" ref="X47">_xll.ASAssetStatistic($A47,"Modified monthly VaR 97%",,,,"m",'PBA Summary'!$F$2,'PBA Summary'!$G$2)</f>
        <v>3.0538048363482583E-5</v>
      </c>
      <c r="Y47" s="19" cm="1">
        <f t="array" ref="Y47">_xll.ASAssetStatistic($A47,"Conditional monthly VaR 97%",,,,"m",'PBA Summary'!$F$2,'PBA Summary'!$G$2)</f>
        <v>-3.3693754403152365E-4</v>
      </c>
      <c r="Z47" s="19" cm="1">
        <f t="array" ref="Z47">_xll.ASAssetStatistic($A47,"Normal monthly VaR 95%",,,,"m",'PBA Summary'!$F$2,'PBA Summary'!$G$2)</f>
        <v>-3.0131361048707436E-3</v>
      </c>
      <c r="AA47" s="19" cm="1">
        <f t="array" ref="AA47">_xll.ASAssetStatistic($A47,"Modified monthly VaR 95%",,,,"m",'PBA Summary'!$F$2,'PBA Summary'!$G$2)</f>
        <v>-7.7268847200189471E-5</v>
      </c>
      <c r="AB47" s="19" cm="1">
        <f t="array" ref="AB47">_xll.ASAssetStatistic($A47,"Conditional monthly VaR 95%",,,,"m",'PBA Summary'!$F$2,'PBA Summary'!$G$2)</f>
        <v>-3.3693754403152365E-4</v>
      </c>
      <c r="AC47" s="66" cm="1">
        <f t="array" ref="AC47">_xll.ASAssetStatistic($A47,"Correlation to Benchmark 1","MSCI ACWI Index",,,"m",'PBA Summary'!$F$2,'PBA Summary'!$G$2)</f>
        <v>0.4403495921355296</v>
      </c>
      <c r="AD47" s="38" cm="1">
        <f t="array" ref="AD47">IF('PBA Summary'!$D$3="","",_xll.ASAssetStatistic($A47,"Correlation to Benchmark 1",'PBA Summary'!$D$3,,,"m",'PBA Summary'!$F$2,'PBA Summary'!$G$2))</f>
        <v>0.38547912878627039</v>
      </c>
      <c r="AE47" s="21" cm="1">
        <f t="array" ref="AE47">IF('PBA Summary'!$D$2="","",_xll.ASAssetStatistic($A47,"Bull correlation to Benchmark 1",'PBA Summary'!$D$2,,,"m",'PBA Summary'!$F$2,'PBA Summary'!$G$2))</f>
        <v>0.28617879427564041</v>
      </c>
      <c r="AF47" s="21" cm="1">
        <f t="array" ref="AF47">IF('PBA Summary'!$D$2="","",_xll.ASAssetStatistic($A47,"Bear correlation to Benchmark 1",'PBA Summary'!$D$2,,,"m",'PBA Summary'!$F$2,'PBA Summary'!$G$2))</f>
        <v>-0.51415554547417086</v>
      </c>
      <c r="AG47" s="21" cm="1">
        <f t="array" ref="AG47">IF('PBA Summary'!$D$3="","",_xll.ASAssetStatistic($A47,"Bull correlation to Benchmark 1",'PBA Summary'!$D$3,,,"m",'PBA Summary'!$F$2,'PBA Summary'!$G$2))</f>
        <v>0.28617879427564041</v>
      </c>
      <c r="AH47" s="21" cm="1">
        <f t="array" ref="AH47">IF('PBA Summary'!$D$3="","",_xll.ASAssetStatistic($A47,"Bear correlation to Benchmark 1",'PBA Summary'!$D$3,,,"m",'PBA Summary'!$F$2,'PBA Summary'!$G$2))</f>
        <v>-0.51415554547417086</v>
      </c>
      <c r="AI47" s="24" cm="1">
        <f t="array" ref="AI47">IF('PBA Summary'!$D$2="","",_xll.ASAssetStatistic($A47,"Beta to Benchmark 1",'PBA Summary'!$D$2,,,"m",'PBA Summary'!$F$2,'PBA Summary'!$G$2))</f>
        <v>4.5440440293992475E-2</v>
      </c>
      <c r="AJ47" s="24" t="str" cm="1">
        <f t="array" ref="AJ47">IF('PBA Summary'!$D$2="","",_xll.ASAssetStatistic($A47,"Beta to Benchmark 1 Last 3 years",'PBA Summary'!$D$2,,,"m",'PBA Summary'!$F$2,'PBA Summary'!$G$2))</f>
        <v/>
      </c>
      <c r="AK47" s="24" t="str" cm="1">
        <f t="array" ref="AK47">IF('PBA Summary'!$D$2="","",_xll.ASAssetStatistic($A47,"Beta to Benchmark 1 Last 5 years",'PBA Summary'!$D$2,,,"m",'PBA Summary'!$F$2,'PBA Summary'!$G$2))</f>
        <v/>
      </c>
      <c r="AL47" s="25" cm="1">
        <f t="array" ref="AL47">IF('PBA Summary'!$D$3="","",_xll.ASAssetStatistic($A47,"Beta to Benchmark 1",'PBA Summary'!$D$3,,,"m",'PBA Summary'!$F$2,'PBA Summary'!$G$2))</f>
        <v>4.5440440293992475E-2</v>
      </c>
      <c r="AM47" s="25" t="str" cm="1">
        <f t="array" ref="AM47">IF('PBA Summary'!$D$3="","",_xll.ASAssetStatistic($A47,"Beta to Benchmark 1 Last 3 years",'PBA Summary'!$D$3,,,"m",'PBA Summary'!$F$2,'PBA Summary'!$G$2))</f>
        <v/>
      </c>
      <c r="AN47" s="25" t="str" cm="1">
        <f t="array" ref="AN47">IF('PBA Summary'!$D$3="","",_xll.ASAssetStatistic($A47,"Beta to Benchmark 1 Last 5 years",'PBA Summary'!$D$3,,,"m",'PBA Summary'!$F$2,'PBA Summary'!$G$2))</f>
        <v/>
      </c>
      <c r="AO47" s="25" cm="1">
        <f t="array" ref="AO47">IF('PBA Summary'!$D$2="","",_xll.ASAssetStatistic($A47,"Bull Beta to Benchmark 1",'PBA Summary'!$D$2,,,"m",'PBA Summary'!$F$2,'PBA Summary'!$G$2))</f>
        <v>7.1904617409433685E-2</v>
      </c>
      <c r="AP47" s="25" cm="1">
        <f t="array" ref="AP47">IF('PBA Summary'!$D$2="","",_xll.ASAssetStatistic($A47,"Bear Beta to Benchmark 1",'PBA Summary'!$D$2,,,"m",'PBA Summary'!$F$2,'PBA Summary'!$G$2))</f>
        <v>-3.1987382566100071E-2</v>
      </c>
      <c r="AQ47" s="25" cm="1">
        <f t="array" ref="AQ47">IF('PBA Summary'!$D$3="","",_xll.ASAssetStatistic($A47,"Bull Beta to Benchmark 1",'PBA Summary'!$D$3,,,"m",'PBA Summary'!$F$2,'PBA Summary'!$G$2))</f>
        <v>7.1904617409433685E-2</v>
      </c>
      <c r="AR47" s="25" cm="1">
        <f t="array" ref="AR47">IF('PBA Summary'!$D$3="","",_xll.ASAssetStatistic($A47,"Bear Beta to Benchmark 1",'PBA Summary'!$D$3,,,"m",'PBA Summary'!$F$2,'PBA Summary'!$G$2))</f>
        <v>-3.1987382566100071E-2</v>
      </c>
      <c r="AS47" s="25" cm="1">
        <f t="array" ref="AS47">_xll.ASAssetStatistic($A47,"Annual Sharpe Ratio (Rf)",,,'PBA Summary'!$H$2,"m",'PBA Summary'!$F$2,'PBA Summary'!$G$2)</f>
        <v>3.6686681363948312</v>
      </c>
      <c r="AT47" s="25" t="str" cm="1">
        <f t="array" ref="AT47">_xll.ASAssetStatistic($A47,"Annual Sharpe Ratio (Rf) Last 3 years",,,'PBA Summary'!$H$2,"m",'PBA Summary'!$F$2,'PBA Summary'!$G$2)</f>
        <v/>
      </c>
      <c r="AU47" s="25" t="str" cm="1">
        <f t="array" ref="AU47">_xll.ASAssetStatistic($A47,"Annual Sharpe Ratio (Rf) Last 5 years",,,'PBA Summary'!$H$2,"m",'PBA Summary'!$F$2,'PBA Summary'!$G$2)</f>
        <v/>
      </c>
      <c r="AV47" s="18" cm="1">
        <f t="array" ref="AV47">_xll.ASAssetStatistic($A47,"Ann. Downside Deviation (vs 0%)",,,'PBA Summary'!$H$2,"m",'PBA Summary'!$F$2,'PBA Summary'!$G$2)</f>
        <v>3.0136610105052614E-4</v>
      </c>
      <c r="AW47" s="18" cm="1">
        <f t="array" ref="AW47">_xll.ASAssetStatistic($A47,"Ann. Downside Deviation (vs Rf)",,,'PBA Summary'!$H$2,"m",'PBA Summary'!$F$2,'PBA Summary'!$G$2)</f>
        <v>4.8749192614805918E-4</v>
      </c>
      <c r="AX47" s="39" cm="1">
        <f t="array" ref="AX47">_xll.ASAssetStatistic($A47,"Annual Treynor ratio",,,'PBA Summary'!$H$2,"m",'PBA Summary'!$F$2,'PBA Summary'!$G$2)</f>
        <v>0.35613533600851022</v>
      </c>
      <c r="AY47" s="26" cm="1">
        <f t="array" ref="AY47">_xll.ASAssetStatistic($A47,"Annual Sortino Ratio (vs 0%)",,,'PBA Summary'!$H$2,"m",'PBA Summary'!$F$2,'PBA Summary'!$G$2)</f>
        <v>228.60441541730859</v>
      </c>
      <c r="AZ47" s="26" cm="1">
        <f t="array" ref="AZ47">_xll.ASAssetStatistic($A47,"Annual Sortino Ratio (vs Rf)",,,'PBA Summary'!$H$2,"m",'PBA Summary'!$F$2,'PBA Summary'!$G$2)</f>
        <v>136.19429942534939</v>
      </c>
      <c r="BA47" s="26" cm="1">
        <f t="array" ref="BA47">_xll.ASAssetStatistic($A47,"Sterling ratio",,,'PBA Summary'!$H$2,"m",'PBA Summary'!$F$2,'PBA Summary'!$G$2)</f>
        <v>0.6866227238300554</v>
      </c>
      <c r="BB47" s="26" cm="1">
        <f t="array" ref="BB47">_xll.ASAssetStatistic($A47,"Calmar ratio",,,'PBA Summary'!$H$2,"m",'PBA Summary'!$F$2,'PBA Summary'!$G$2)</f>
        <v>204.47000513194854</v>
      </c>
      <c r="BC47" s="26" cm="1">
        <f t="array" ref="BC47">_xll.ASAssetStatistic($A47,"Hurst index",,,'PBA Summary'!$H$2,"m",'PBA Summary'!$F$2,'PBA Summary'!$G$2)</f>
        <v>0.40846264977181029</v>
      </c>
      <c r="BD47" s="26" cm="1">
        <f t="array" ref="BD47">_xll.ASAssetStatistic($A47,"Omega (Threshold 1)",,,'PBA Summary'!$H$2,"m",'PBA Summary'!$F$2,'PBA Summary'!$G$2)</f>
        <v>249.41652148908486</v>
      </c>
      <c r="BE47" s="26" cm="1">
        <f t="array" ref="BE47">_xll.ASAssetStatistic($A47,"Omega (Threshold 2)",,,'PBA Summary'!$H$2,"m",'PBA Summary'!$F$2,'PBA Summary'!$G$2)</f>
        <v>1.3870899512564994</v>
      </c>
      <c r="BF47" s="26" cm="1">
        <f t="array" ref="BF47">_xll.ASAssetStatistic($A47,"Omega (Threshold 3)",,,'PBA Summary'!$H$2,"m",'PBA Summary'!$F$2,'PBA Summary'!$G$2)</f>
        <v>0.14712720171858937</v>
      </c>
      <c r="BG47" s="26" cm="1">
        <f t="array" ref="BG47">_xll.ASAssetStatistic($A47,"Omega (Threshold 4)",,,'PBA Summary'!$H$2,"m",'PBA Summary'!$F$2,'PBA Summary'!$G$2)</f>
        <v>3.3589767082033567E-2</v>
      </c>
      <c r="BH47" s="26" cm="1">
        <f t="array" ref="BH47">_xll.ASAssetStatistic($A47,"Omega (Threshold 5)",,,'PBA Summary'!$H$2,"m",'PBA Summary'!$F$2,'PBA Summary'!$G$2)</f>
        <v>0</v>
      </c>
      <c r="BI47" s="26" t="str" cm="1">
        <f t="array" ref="BI47">_xll.ASAssetStatistic($A47,"Autocorrelated (illiquid)",,,'PBA Summary'!$H$2,"m",'PBA Summary'!$F$2,'PBA Summary'!$G$2)</f>
        <v>No</v>
      </c>
      <c r="BJ47" s="27" cm="1">
        <f t="array" ref="BJ47">_xll.ASAssetStatistic($A47,"% months in Run Up",,,'PBA Summary'!$H$2,"m",'PBA Summary'!$F$2,'PBA Summary'!$G$2)</f>
        <v>0.93333333333333335</v>
      </c>
      <c r="BK47" s="27" cm="1">
        <f t="array" ref="BK47">_xll.ASAssetStatistic($A47,"% months in Drawdown",,,'PBA Summary'!$H$2,"m",'PBA Summary'!$F$2,'PBA Summary'!$G$2)</f>
        <v>6.6666666666666666E-2</v>
      </c>
      <c r="BL47" s="18" cm="1">
        <f t="array" ref="BL47">IF('PBA Summary'!$D$2="","",_xll.ASAssetStatistic($A47,"Bull Beta to Benchmark 1",'PBA Summary'!$D$2,,,"m",'PBA Summary'!$F$2,'PBA Summary'!$G$2))</f>
        <v>7.1904617409433685E-2</v>
      </c>
      <c r="BM47" s="18" cm="1">
        <f t="array" ref="BM47">IF('PBA Summary'!$D$2="","",_xll.ASAssetStatistic($A47,"Average return during bear Benchmark 1",'PBA Summary'!$D$2,,,"m",'PBA Summary'!$F$2,'PBA Summary'!$G$2))</f>
        <v>2.0967453168966033E-3</v>
      </c>
      <c r="BN47" s="18" cm="1">
        <f t="array" ref="BN47">IF('PBA Summary'!$D$3="","",_xll.ASAssetStatistic($A47,"Average return during bull Benchmark 1",'PBA Summary'!$D$3,,,"m",'PBA Summary'!$F$2,'PBA Summary'!$G$2))</f>
        <v>6.8467155799818236E-3</v>
      </c>
      <c r="BO47" s="18" cm="1">
        <f t="array" ref="BO47">IF('PBA Summary'!$D$3="","",_xll.ASAssetStatistic($A47,"Average return during bear Benchmark 1",'PBA Summary'!$D$3,,,"m",'PBA Summary'!$F$2,'PBA Summary'!$G$2))</f>
        <v>2.0967453168966033E-3</v>
      </c>
      <c r="BP47" s="27" cm="1">
        <f t="array" ref="BP47">_xll.ASAssetStatistic($A47,"Maximum consecutive gain",,,'PBA Summary'!$H$2,"m",'PBA Summary'!$F$2,'PBA Summary'!$G$2)</f>
        <v>8.7212561539443012E-2</v>
      </c>
      <c r="BQ47" s="27" cm="1">
        <f t="array" ref="BQ47">_xll.ASAssetStatistic($A47,"Maximum consecutive loss",,,'PBA Summary'!$H$2,"m",'PBA Summary'!$F$2,'PBA Summary'!$G$2)</f>
        <v>-3.3693754403152365E-4</v>
      </c>
      <c r="BR47" s="27" cm="1">
        <f t="array" ref="BR47">_xll.ASAssetStatistic($A47,"Max monthly gain",,,'PBA Summary'!$H$2,"m",'PBA Summary'!$F$2,'PBA Summary'!$G$2)</f>
        <v>1.9911170522412203E-2</v>
      </c>
      <c r="BS47" s="27" cm="1">
        <f t="array" ref="BS47">_xll.ASAssetStatistic($A47,"Max monthly loss",,,'PBA Summary'!$H$2,"m",'PBA Summary'!$F$2,'PBA Summary'!$G$2)</f>
        <v>-3.3693754403152365E-4</v>
      </c>
      <c r="BT47" s="27" cm="1">
        <f t="array" ref="BT47">_xll.ASAssetStatistic($A47,"Max drawdown",,,'PBA Summary'!$H$2,"m",'PBA Summary'!$F$2,'PBA Summary'!$G$2)</f>
        <v>-3.3693754403141263E-4</v>
      </c>
      <c r="BU47" s="28" cm="1">
        <f t="array" ref="BU47">_xll.ASAssetStatistic($A47,"Date Max drawdown",,,'PBA Summary'!$H$2,"m",'PBA Summary'!$F$2,'PBA Summary'!$G$2)</f>
        <v>43861</v>
      </c>
      <c r="BV47" s="28" cm="1">
        <f t="array" ref="BV47">_xll.ASAssetStatistic($A47,"Start Date Max Drawdown",,,'PBA Summary'!$H$2,"m",'PBA Summary'!$F$2,'PBA Summary'!$G$2)</f>
        <v>43861</v>
      </c>
      <c r="BW47" s="28" t="str" cm="1">
        <f t="array" ref="BW47">_xll.ASAssetStatistic($A47,"End Date Max Drawdown",,,'PBA Summary'!$H$2,"m",'PBA Summary'!$F$2,'PBA Summary'!$G$2)</f>
        <v/>
      </c>
      <c r="BX47" s="29" cm="1">
        <f t="array" ref="BX47">_xll.ASAssetStatistic($A47,"Max Time-under-water (months)",,,'PBA Summary'!$H$2,"m",'PBA Summary'!$F$2,'PBA Summary'!$G$2)</f>
        <v>1</v>
      </c>
      <c r="BY47" s="27" cm="1">
        <f t="array" ref="BY47">_xll.ASAssetStatistic($A47,"Max possible drawdown 99%",,,'PBA Summary'!$H$2,"m",'PBA Summary'!$F$2,'PBA Summary'!$G$2)</f>
        <v>-6.617673176400221E-3</v>
      </c>
      <c r="BZ47" s="27" cm="1">
        <f t="array" ref="BZ47">_xll.ASAssetStatistic($A47,"Max possible drawdown 99.9%",,,'PBA Summary'!$H$2,"m",'PBA Summary'!$F$2,'PBA Summary'!$G$2)</f>
        <v>-1.1677187553141441E-2</v>
      </c>
      <c r="CA47" s="30" cm="1">
        <f t="array" ref="CA47">_xll.ASAssetStatistic($A47,"Max Possible Time-under-water 99% (months)",,,'PBA Summary'!$H$2,"m",'PBA Summary'!$F$2,'PBA Summary'!$G$2)</f>
        <v>4.7438034144854235</v>
      </c>
      <c r="CB47" s="30" cm="1">
        <f t="array" ref="CB47">_xll.ASAssetStatistic($A47,"Max Possible Time-under-water 99.9% (months)",,,'PBA Summary'!$H$2,"m",'PBA Summary'!$F$2,'PBA Summary'!$G$2)</f>
        <v>8.3706584942460971</v>
      </c>
      <c r="CC47" s="17" cm="1">
        <f t="array" ref="CC47">_xll.ASPortfolioReturnAttribution('PBA Summary'!$C$2,"OR",A47,"Last 1m",'PBA Summary'!$F$2,'PBA Summary'!$G$2)</f>
        <v>-2.0986739087860434E-5</v>
      </c>
      <c r="CD47" s="11" t="str" cm="1">
        <f t="array" ref="CD47">_xll.ASAssetInfo($A47,"Strategy")</f>
        <v>Funds - U.S. Secondary Life Insurance</v>
      </c>
      <c r="CE47" s="14" cm="1">
        <f t="array" ref="CE47">_xll.ASAssetInfo($A47,"Start Date")</f>
        <v>41121</v>
      </c>
      <c r="CF47" s="14" t="str" cm="1">
        <f t="array" ref="CF47">_xll.ASAssetRatings($A47,"Quantitative",0,0,0,0,0,'PBA Summary'!$F$2,'PBA Summary'!$G$2)</f>
        <v/>
      </c>
      <c r="CG47" s="14" t="str" cm="1">
        <f t="array" ref="CG47">_xll.ASAssetRatings($A47,"Qualitative",0,0,0,0,0,'PBA Summary'!$F$2,'PBA Summary'!$G$2)</f>
        <v/>
      </c>
      <c r="CH47" s="14" t="str" cm="1">
        <f t="array" ref="CH47">_xll.ASAssetRatings($A47,"Final",0,0,0,0,0,'PBA Summary'!$F$2,'PBA Summary'!$G$2)</f>
        <v/>
      </c>
      <c r="CI47" s="14" cm="1">
        <f t="array" ref="CI47">_xll.ASAssetInfo($A47,"Last Return Date")</f>
        <v>44135</v>
      </c>
      <c r="CJ47" s="14" t="str" cm="1">
        <f t="array" ref="CJ47">_xll.ASAssetInfo($A47,"Company Name")</f>
        <v>Ress Life Investments/Denmark</v>
      </c>
      <c r="CK47" s="14" t="str" cm="1">
        <f t="array" ref="CK47">_xll.ASAssetInfo($A47,"Manager Name")</f>
        <v/>
      </c>
      <c r="CL47" s="14" t="str" cm="1">
        <f t="array" ref="CL47">_xll.ASAssetInfo($A47,"Address")</f>
        <v>Ress Life Investments</v>
      </c>
      <c r="CM47" s="14" t="str" cm="1">
        <f t="array" ref="CM47">_xll.ASAssetInfo($A47,"Phone Number")</f>
        <v/>
      </c>
      <c r="CN47" s="14" t="str" cm="1">
        <f t="array" ref="CN47">_xll.ASAssetInfo($A47,"Email")</f>
        <v/>
      </c>
      <c r="CO47" s="14" t="str" cm="1">
        <f t="array" ref="CO47">_xll.ASAssetInfo($A47,"Asset Type")</f>
        <v>Alternatives</v>
      </c>
      <c r="CP47" s="14" t="str" cm="1">
        <f t="array" ref="CP47">_xll.ASAssetInfo($A47,"Proprietary ID")</f>
        <v/>
      </c>
      <c r="CQ47" s="14" t="str" cm="1">
        <f t="array" ref="CQ47">_xll.ASAssetInfo($A47,"Country")</f>
        <v>Denmark</v>
      </c>
      <c r="CR47" s="14" t="str" cm="1">
        <f t="array" ref="CR47">_xll.ASAssetInfo($A47,"Currency")</f>
        <v>USD</v>
      </c>
      <c r="CS47" s="14" t="str" cm="1">
        <f t="array" ref="CS47">_xll.ASAssetInfo($A47,"Sub-Strategy")</f>
        <v/>
      </c>
      <c r="CT47" s="31" cm="1">
        <f t="array" ref="CT47">_xll.ASAssetInfo($A47,"Fund AUM (m)")</f>
        <v>219.3</v>
      </c>
      <c r="CU47" s="31" t="str" cm="1">
        <f t="array" ref="CU47">_xll.ASAssetInfo($A47,"Status")</f>
        <v>Unknown</v>
      </c>
      <c r="CV47" s="31" t="str" cm="1">
        <f t="array" ref="CV47">_xll.ASAssetInfo($A47,"Redemption 1 Frequency")</f>
        <v>Monthly</v>
      </c>
      <c r="CW47" s="31" t="str" cm="1">
        <f t="array" ref="CW47">_xll.ASAssetInfo($A47,"Redemption 2 Frequency")</f>
        <v>Unknown</v>
      </c>
      <c r="CX47" s="31" t="str" cm="1">
        <f t="array" ref="CX47">_xll.ASAssetInfo($A47,"Redemption 3 Frequency")</f>
        <v>Unknown</v>
      </c>
      <c r="CY47" s="31" t="str" cm="1">
        <f t="array" ref="CY47">_xll.ASAssetInfo($A47,"Notice Period")</f>
        <v>180 Days</v>
      </c>
      <c r="CZ47" s="15" cm="1">
        <f t="array" ref="CZ47">_xll.ASAssetInfo($A47,"Performance Fee")</f>
        <v>0.15</v>
      </c>
      <c r="DA47" s="15" cm="1">
        <f t="array" ref="DA47">_xll.ASAssetInfo($A47,"Management Fee")</f>
        <v>1.4999999999999999E-2</v>
      </c>
      <c r="DB47" s="15" t="str" cm="1">
        <f t="array" ref="DB47">_xll.ASAssetInfo($A47,"ISIN")</f>
        <v>DK0060315604</v>
      </c>
      <c r="DC47" s="16" cm="1">
        <f t="array" ref="DC47">_xll.ASAssetStatistic($A47,"Return during " &amp;YEAR(EOMONTH('PBA Summary'!$G$2,-60)),,,,"M",DATE(YEAR(EOMONTH('PBA Summary'!$G$2,-60)),1,31),DATE(YEAR(EOMONTH('PBA Summary'!$G$2,-60)),12,31))</f>
        <v>5.8838424691739721E-2</v>
      </c>
      <c r="DD47" s="16" cm="1">
        <f t="array" ref="DD47">_xll.ASAssetStatistic($A47,"Return during " &amp;YEAR(EOMONTH('PBA Summary'!$G$2,-48)),,,,"M",DATE(YEAR(EOMONTH('PBA Summary'!$G$2,-48)),1,31),DATE(YEAR(EOMONTH('PBA Summary'!$G$2,-48)),12,31))</f>
        <v>2.6764717605325616E-2</v>
      </c>
      <c r="DE47" s="16" cm="1">
        <f t="array" ref="DE47">_xll.ASAssetStatistic($A47,"Return during " &amp;YEAR(EOMONTH('PBA Summary'!$G$2,-36)),,,,"M",DATE(YEAR(EOMONTH('PBA Summary'!$G$2,-36)),1,31),DATE(YEAR(EOMONTH('PBA Summary'!$G$2,-36)),12,31))</f>
        <v>6.7694079436863897E-2</v>
      </c>
      <c r="DF47" s="16" cm="1">
        <f t="array" ref="DF47">_xll.ASAssetStatistic($A47,"Return during " &amp;YEAR(EOMONTH('PBA Summary'!$G$2,-24)),,,,"M",DATE(YEAR(EOMONTH('PBA Summary'!$G$2,-24)),1,31),DATE(YEAR(EOMONTH('PBA Summary'!$G$2,-24)),12,31))</f>
        <v>9.9105595481924214E-2</v>
      </c>
      <c r="DG47" s="16" cm="1">
        <f t="array" ref="DG47">_xll.ASAssetStatistic($A47,"Return during " &amp;YEAR(EOMONTH('PBA Summary'!$G$2,-12)),,,,"M",DATE(YEAR(EOMONTH('PBA Summary'!$G$2,-12)),1,31),DATE(YEAR(EOMONTH('PBA Summary'!$G$2,-12)),12,31))</f>
        <v>7.9947734327189268E-2</v>
      </c>
      <c r="DH47" s="11" t="str" cm="1">
        <f t="array" ref="DH47">_xll.ASAssetInfo($A47,"Prime Broker")</f>
        <v/>
      </c>
      <c r="DI47" s="16" cm="1">
        <f t="array" ref="DI47">_xll.ASAssetStatistic($A47,"Return",,,,"m",'PBA Summary'!$F$2,'PBA Summary'!$G$2)</f>
        <v>8.6846238809117793E-2</v>
      </c>
      <c r="DJ47" s="33" cm="1">
        <f t="array" ref="DJ47">IF('PBA Summary'!$D$2="","",_xll.ASAssetStatistic($A47,"Ann. Information Ratio vs Benchmark 1",'PBA Summary'!$D$2,,,"m",'PBA Summary'!$F$2,'PBA Summary'!$G$2))</f>
        <v>-0.7011622113075574</v>
      </c>
      <c r="DK47" s="33" cm="1">
        <f t="array" ref="DK47">IF('PBA Summary'!$D$3="","",_xll.ASAssetStatistic($A47,"Ann. Information Ratio vs Benchmark 1",'PBA Summary'!$D$3,,,"m",'PBA Summary'!$F$2,'PBA Summary'!$G$2))</f>
        <v>-0.7011622113075574</v>
      </c>
      <c r="DL47" s="33" cm="1">
        <f t="array" ref="DL47">IF('PBA Summary'!$D$2="","",_xll.ASAssetStatistic($A47,"Ann. Tracking Error vs Benchmark 1",'PBA Summary'!$D$2,,,"m",'PBA Summary'!$F$2,'PBA Summary'!$G$2))</f>
        <v>0.14749613028425834</v>
      </c>
      <c r="DM47" s="33" cm="1">
        <f t="array" ref="DM47">IF('PBA Summary'!$D$3="","",_xll.ASAssetStatistic($A47,"Ann. Tracking Error vs Benchmark 1",'PBA Summary'!$D$3,,,"m",'PBA Summary'!$F$2,'PBA Summary'!$G$2))</f>
        <v>0.14749613028425834</v>
      </c>
      <c r="DN47" s="33" cm="1">
        <f t="array" ref="DN47">IF('PBA Summary'!$D$2="","",_xll.ASAssetStatistic($A47,"R² vs Benchmark 1",'PBA Summary'!$D$2,,,"m",'PBA Summary'!$F$2,'PBA Summary'!$G$2))</f>
        <v>0.14859415872982204</v>
      </c>
      <c r="DO47" s="33" cm="1">
        <f t="array" ref="DO47">IF('PBA Summary'!$D$3="","",_xll.ASAssetStatistic($A47,"R² vs Benchmark 1",'PBA Summary'!$D$3,,,"m",'PBA Summary'!$F$2,'PBA Summary'!$G$2))</f>
        <v>0.14859415872982204</v>
      </c>
      <c r="DP47" s="11" t="str" cm="1">
        <f t="array" ref="DP47">_xll.ASAssetInfo($A47,"On-/Offshore")</f>
        <v>Onshore</v>
      </c>
      <c r="DQ47" s="16" cm="1">
        <f t="array" ref="DQ47">_xll.ASAssetStatistic($A47,"Quarter-to-date",,,,"m",'PBA Summary'!$F$2,'PBA Summary'!$G$2)</f>
        <v>-3.3693754403152365E-4</v>
      </c>
      <c r="DR47" s="16" cm="1">
        <f t="array" ref="DR47">_xll.ASAssetStatistic($A47,"Annualized Return Since inception",,,,"m",'PBA Summary'!$F$2,'PBA Summary'!$G$2)</f>
        <v>5.6070052904084733E-2</v>
      </c>
      <c r="DS47" s="16" cm="1">
        <f t="array" ref="DS47">IF('PBA Summary'!$D$2="","",_xll.ASAssetStatistic($A47,"Ann. Bear Market Return vs Benchmark 1",'PBA Summary'!$D$2,,,"m",'PBA Summary'!$F$2,'PBA Summary'!$G$2))</f>
        <v>2.5422282580617406E-2</v>
      </c>
      <c r="DT47" s="16" cm="1">
        <f t="array" ref="DT47">IF('PBA Summary'!$D$2="","",_xll.ASAssetStatistic($A47,"Ann. Bull Market Return vs Benchmark 1",'PBA Summary'!$D$2,,,"m",'PBA Summary'!$F$2,'PBA Summary'!$G$2))</f>
        <v>8.5154260682320571E-2</v>
      </c>
      <c r="DU47" s="16" cm="1">
        <f t="array" ref="DU47">IF('PBA Summary'!$D$3="","",_xll.ASAssetStatistic($A47,"Ann. Bear Market Return vs Benchmark 1",'PBA Summary'!$D$3,,,"m",'PBA Summary'!$F$2,'PBA Summary'!$G$2))</f>
        <v>2.5422282580617406E-2</v>
      </c>
      <c r="DV47" s="16" cm="1">
        <f t="array" ref="DV47">IF('PBA Summary'!$D$3="","",_xll.ASAssetStatistic($A47,"Ann. Bull Market Return vs Benchmark 1",'PBA Summary'!$D$3,,,"m",'PBA Summary'!$F$2,'PBA Summary'!$G$2))</f>
        <v>8.5154260682320571E-2</v>
      </c>
      <c r="DW47" s="17" cm="1">
        <f t="array" ref="DW47">_xll.ASAssetStatistic($A47,"Average Positive Return",,,,"m",'PBA Summary'!$F$2,'PBA Summary'!$G$2)</f>
        <v>6.0026992993869998E-3</v>
      </c>
      <c r="DX47" s="17" cm="1">
        <f t="array" ref="DX47">_xll.ASAssetStatistic($A47,"Average Negative Return",,,,"m",'PBA Summary'!$F$2,'PBA Summary'!$G$2)</f>
        <v>-3.3693754403152365E-4</v>
      </c>
      <c r="DY47" s="16" cm="1">
        <f t="array" ref="DY47">IF('PBA Summary'!$D$2="","",_xll.ASAssetStatistic($A47,"Outperformance vs Benchmark 1",'PBA Summary'!$D$2,,,"m",'PBA Summary'!$F$2,'PBA Summary'!$G$2))</f>
        <v>-0.13299740599960086</v>
      </c>
      <c r="DZ47" s="16" cm="1">
        <f t="array" ref="DZ47">IF('PBA Summary'!$D$3="","",_xll.ASAssetStatistic($A47,"Outperformance vs Benchmark 1",'PBA Summary'!$D$3,,,"m",'PBA Summary'!$F$2,'PBA Summary'!$G$2))</f>
        <v>-0.13299740599960086</v>
      </c>
      <c r="EA47" s="16" cm="1">
        <f t="array" ref="EA47">IF('PBA Summary'!$D$2="","",_xll.ASAssetStatistic($A47,"Annual Outperformance vs Benchmark 1",'PBA Summary'!$D$2,,,"m",'PBA Summary'!$F$2,'PBA Summary'!$G$2))</f>
        <v>-0.10341871286941817</v>
      </c>
      <c r="EB47" s="16" cm="1">
        <f t="array" ref="EB47">IF('PBA Summary'!$D$3="","",_xll.ASAssetStatistic($A47,"Annual Outperformance vs Benchmark 1",'PBA Summary'!$D$3,,,"m",'PBA Summary'!$F$2,'PBA Summary'!$G$2))</f>
        <v>-0.10341871286941817</v>
      </c>
      <c r="EC47" s="32" cm="1">
        <f t="array" ref="EC47">_xll.ASAssetStatistic($A47,"Rachev Ratio 99%",,,,"m",'PBA Summary'!$F$2,'PBA Summary'!$G$2)</f>
        <v>-59.094544004123584</v>
      </c>
      <c r="ED47" s="32" cm="1">
        <f t="array" ref="ED47">_xll.ASAssetStatistic($A47,"Rachev Ratio 97%",,,,"m",'PBA Summary'!$F$2,'PBA Summary'!$G$2)</f>
        <v>-59.094544004123584</v>
      </c>
      <c r="EE47" s="32" cm="1">
        <f t="array" ref="EE47">_xll.ASAssetStatistic($A47,"Rachev Ratio 95%",,,,"m",'PBA Summary'!$F$2,'PBA Summary'!$G$2)</f>
        <v>-59.094544004123584</v>
      </c>
      <c r="EF47" s="32" cm="1">
        <f t="array" ref="EF47">_xll.ASAssetStatistic($A47,"Rachev Ratio 90%",,,,"m",'PBA Summary'!$F$2,'PBA Summary'!$G$2)</f>
        <v>69.063891778013655</v>
      </c>
      <c r="EG47" s="34" cm="1">
        <f t="array" ref="EG47">IF('PBA Summary'!$D$2="","",_xll.ASAssetStatistic($A47,"Annual Up Capture vs Benchmark 1",'PBA Summary'!$D$2,,,"m",'PBA Summary'!$F$2,'PBA Summary'!$G$2))</f>
        <v>0.16821994737445226</v>
      </c>
      <c r="EH47" s="34" cm="1">
        <f t="array" ref="EH47">IF('PBA Summary'!$D$3="","",_xll.ASAssetStatistic($A47,"Annual Up Capture vs Benchmark 1",'PBA Summary'!$D$3,,,"m",'PBA Summary'!$F$2,'PBA Summary'!$G$2))</f>
        <v>0.16821994737445226</v>
      </c>
      <c r="EI47" s="34" cm="1">
        <f t="array" ref="EI47">IF('PBA Summary'!$D$2="","",_xll.ASAssetStatistic($A47,"Annual Down Capture vs Benchmark 1",'PBA Summary'!$D$2,,,"m",'PBA Summary'!$F$2,'PBA Summary'!$G$2))</f>
        <v>-6.1775990715489219E-2</v>
      </c>
      <c r="EJ47" s="34" cm="1">
        <f t="array" ref="EJ47">IF('PBA Summary'!$D$3="","",_xll.ASAssetStatistic($A47,"Annual Down Capture vs Benchmark 1",'PBA Summary'!$D$3,,,"m",'PBA Summary'!$F$2,'PBA Summary'!$G$2))</f>
        <v>-6.1775990715489219E-2</v>
      </c>
      <c r="EK47" s="16" cm="1">
        <f t="array" ref="EK47">IF('PBA Summary'!$D$2="","",_xll.ASAssetStatistic($A47,"Ann. Tracking Error vs Benchmark 1",'PBA Summary'!$D$2,,,"m",'PBA Summary'!$F$2,'PBA Summary'!$G$2))</f>
        <v>0.14749613028425834</v>
      </c>
      <c r="EL47" s="16" cm="1">
        <f t="array" ref="EL47">IF('PBA Summary'!$D$3="","",_xll.ASAssetStatistic($A47,"Ann. Tracking Error vs Benchmark 1",'PBA Summary'!$D$3,,,"m",'PBA Summary'!$F$2,'PBA Summary'!$G$2))</f>
        <v>0.14749613028425834</v>
      </c>
      <c r="EM47" s="16" cm="1">
        <f t="array" ref="EM47">IF('PBA Summary'!$D$2="","",_xll.ASAssetStatistic($A47,"Annual Jensen Alpha vs Benchmark 1 (Rf)",'PBA Summary'!$D$2,,,"m",'PBA Summary'!$F$2,'PBA Summary'!$G$2))</f>
        <v>5.8677274122638706E-2</v>
      </c>
      <c r="EN47" s="16" cm="1">
        <f t="array" ref="EN47">IF('PBA Summary'!$D$3="","",_xll.ASAssetStatistic($A47,"Annual Jensen Alpha vs Benchmark 1 (Rf)",'PBA Summary'!$D$3,,,"m",'PBA Summary'!$F$2,'PBA Summary'!$G$2))</f>
        <v>5.8677274122638706E-2</v>
      </c>
      <c r="EO47" s="33" cm="1">
        <f t="array" ref="EO47">IF('PBA Summary'!$D$2="","",_xll.ASAssetStatistic($A47,"Ann. Information Ratio vs Benchmark 1",'PBA Summary'!$D$2,,,"m",'PBA Summary'!$F$2,'PBA Summary'!$G$2))</f>
        <v>-0.7011622113075574</v>
      </c>
      <c r="EP47" s="33" cm="1">
        <f t="array" ref="EP47">IF('PBA Summary'!$D$3="","",_xll.ASAssetStatistic($A47,"Ann. Information Ratio vs Benchmark 1",'PBA Summary'!$D$3,,,"m",'PBA Summary'!$F$2,'PBA Summary'!$G$2))</f>
        <v>-0.7011622113075574</v>
      </c>
      <c r="EQ47" s="17" cm="1">
        <f t="array" ref="EQ47">IF('PBA Summary'!$D$2="","",_xll.ASAssetStatistic($A47,"Alpha Monthly vs Benchmark 1",'PBA Summary'!$D$2,,,"m",'PBA Summary'!$F$2,'PBA Summary'!$G$2))</f>
        <v>4.9317364105057396E-3</v>
      </c>
      <c r="ER47" s="17" cm="1">
        <f t="array" ref="ER47">IF('PBA Summary'!$D$3="","",_xll.ASAssetStatistic($A47,"Alpha Monthly vs Benchmark 1",'PBA Summary'!$D$3,,,"m",'PBA Summary'!$F$2,'PBA Summary'!$G$2))</f>
        <v>4.9317364105057396E-3</v>
      </c>
      <c r="ES47" s="11" t="str" cm="1">
        <f t="array" ref="ES47">_xll.ASAssetInfo($A47,"Company AUM (m)")</f>
        <v/>
      </c>
      <c r="ET47" s="16" cm="1">
        <f t="array" ref="ET47">_xll.ASAssetStatistic($A47,"Exponential Annualized Volatility",,,,"m",'PBA Summary'!$F$2,'PBA Summary'!$G$2)</f>
        <v>1.8663442187678844E-2</v>
      </c>
      <c r="EU47" s="16" cm="1">
        <f t="array" ref="EU47">_xll.ASAssetStatistic($A47,"Exponential Annualized Volatility Last 1 year",,,,"m",'PBA Summary'!$F$2,'PBA Summary'!$G$2)</f>
        <v>1.9422914196849259E-2</v>
      </c>
      <c r="EV47" s="16" t="str" cm="1">
        <f t="array" ref="EV47">_xll.ASAssetStatistic($A47,"Exponential Annualized Volatility Last 3 years",,,,"m",'PBA Summary'!$F$2,'PBA Summary'!$G$2)</f>
        <v/>
      </c>
      <c r="EW47" s="34" cm="1">
        <f t="array" ref="EW47">IF('PBA Summary'!$D$2="","",_xll.ASAssetStatistic($A47,"Exponential Correlation to Benchmark 1",'PBA Summary'!$D$2,,,"m",'PBA Summary'!$F$2,'PBA Summary'!$G$2))</f>
        <v>0.40440091076711698</v>
      </c>
      <c r="EX47" s="34" cm="1">
        <f t="array" ref="EX47">IF('PBA Summary'!$D$3="","",_xll.ASAssetStatistic($A47,"Exponential Correlation to Benchmark 1",'PBA Summary'!$D$3,,,"m",'PBA Summary'!$F$2,'PBA Summary'!$G$2))</f>
        <v>0.40440091076711698</v>
      </c>
      <c r="EY47" s="34" cm="1">
        <f t="array" ref="EY47">_xll.ASAssetStatistic($A47,"Exponential Annual Sharpe Ratio (Rf)",,,,"m",'PBA Summary'!$F$2,'PBA Summary'!$G$2)</f>
        <v>3.6211018683122762</v>
      </c>
      <c r="EZ47" s="34" cm="1">
        <f t="array" ref="EZ47">_xll.ASAssetStatistic($A47,"Exponential Normal Monthly VaR 99%",,,,"m",'PBA Summary'!$F$2,'PBA Summary'!$G$2)</f>
        <v>-6.8730133574006012E-3</v>
      </c>
      <c r="FA47" s="34" cm="1">
        <f t="array" ref="FA47">_xll.ASAssetStatistic($A47,"Exponential Normal Monthly VaR 97%",,,,"m",'PBA Summary'!$F$2,'PBA Summary'!$G$2)</f>
        <v>-4.4725132546998385E-3</v>
      </c>
      <c r="FB47" s="34" cm="1">
        <f t="array" ref="FB47">_xll.ASAssetStatistic($A47,"Exponential Normal Monthly VaR 95%",,,,"m",'PBA Summary'!$F$2,'PBA Summary'!$G$2)</f>
        <v>-3.2013460985051458E-3</v>
      </c>
      <c r="FC47" s="34" cm="1">
        <f t="array" ref="FC47">_xll.ASAssetStatistic($A47,"Exponential Normal Monthly VaR 90%",,,,"m",'PBA Summary'!$F$2,'PBA Summary'!$G$2)</f>
        <v>-1.243993868968409E-3</v>
      </c>
      <c r="FD47" s="34" t="str" cm="1">
        <f t="array" ref="FD47">_xll.ASAssetStatistic($A47,"Exponential Normal weekly VaR 99%",,,,"m",'PBA Summary'!$F$2,'PBA Summary'!$G$2)</f>
        <v/>
      </c>
      <c r="FE47" s="34" t="str" cm="1">
        <f t="array" ref="FE47">_xll.ASAssetStatistic($A47,"Exponential Normal weekly VaR 97%",,,,"m",'PBA Summary'!$F$2,'PBA Summary'!$G$2)</f>
        <v/>
      </c>
      <c r="FF47" s="34" t="str" cm="1">
        <f t="array" ref="FF47">_xll.ASAssetStatistic($A47,"Exponential Normal weekly VaR 95%",,,,"m",'PBA Summary'!$F$2,'PBA Summary'!$G$2)</f>
        <v/>
      </c>
      <c r="FG47" s="34" t="str" cm="1">
        <f t="array" ref="FG47">_xll.ASAssetStatistic($A47,"Exponential Normal weekly VaR 90%",,,,"m",'PBA Summary'!$F$2,'PBA Summary'!$G$2)</f>
        <v/>
      </c>
      <c r="FH47" s="34" t="str" cm="1">
        <f t="array" ref="FH47">_xll.ASAssetStatistic($A47,"Exponential Normal daily VaR 99%",,,,"m",'PBA Summary'!$F$2,'PBA Summary'!$G$2)</f>
        <v/>
      </c>
      <c r="FI47" s="34" t="str" cm="1">
        <f t="array" ref="FI47">_xll.ASAssetStatistic($A47,"Exponential Normal daily VaR 97%",,,,"m",'PBA Summary'!$F$2,'PBA Summary'!$G$2)</f>
        <v/>
      </c>
      <c r="FJ47" s="34" t="str" cm="1">
        <f t="array" ref="FJ47">_xll.ASAssetStatistic($A47,"Exponential Normal daily VaR 95%",,,,"m",'PBA Summary'!$F$2,'PBA Summary'!$G$2)</f>
        <v/>
      </c>
      <c r="FK47" s="34" t="str" cm="1">
        <f t="array" ref="FK47">_xll.ASAssetStatistic($A47,"Exponential Normal daily VaR 90%",,,,"m",'PBA Summary'!$F$2,'PBA Summary'!$G$2)</f>
        <v/>
      </c>
      <c r="FL47" s="34" cm="1">
        <f t="array" ref="FL47">_xll.ASAssetStatistic($A47,"Bias Ratio",,,,"m",'PBA Summary'!$F$2,'PBA Summary'!$G$2)</f>
        <v>4</v>
      </c>
      <c r="FM47" s="11" t="str" cm="1">
        <f t="array" ref="FM47">_xll.ASAssetInfo($A47,"Manager's Biography")</f>
        <v/>
      </c>
      <c r="FN47" s="11" cm="1">
        <f t="array" ref="FN47">_xll.ASAssetInfo($A47,"Investment Min")</f>
        <v>150000</v>
      </c>
      <c r="FO47" s="11" t="str" cm="1">
        <f t="array" ref="FO47">_xll.ASAssetInfo($A47,"Auditor")</f>
        <v>Deloitte</v>
      </c>
      <c r="FP47" s="11" t="str" cm="1">
        <f t="array" ref="FP47">_xll.ASAssetInfo($A47,"Custodian")</f>
        <v/>
      </c>
      <c r="FQ47" s="11" t="str" cm="1">
        <f t="array" ref="FQ47">_xll.ASAssetInfo($A47,"Administrator")</f>
        <v>Citco Denmark ApS</v>
      </c>
      <c r="FR47" s="14" t="str" cm="1">
        <f t="array" ref="FR47">_xll.ASAssetInfo($A47,"Proxy 1 Start Date")</f>
        <v/>
      </c>
      <c r="FS47" s="14" t="str" cm="1">
        <f t="array" ref="FS47">_xll.ASAssetInfo($A47,"Proxy 1 End Date")</f>
        <v/>
      </c>
      <c r="FT47" s="14" t="str" cm="1">
        <f t="array" ref="FT47">_xll.ASAssetInfo($A47,"Proxy 2 Start Date")</f>
        <v/>
      </c>
      <c r="FU47" s="14" t="str" cm="1">
        <f t="array" ref="FU47">_xll.ASAssetInfo($A47,"Proxy 2 End Date")</f>
        <v/>
      </c>
      <c r="FV47" s="14" t="str" cm="1">
        <f t="array" ref="FV47">_xll.ASAssetInfo($A47,"Proxy 3 Start Date")</f>
        <v/>
      </c>
      <c r="FW47" s="14" t="str" cm="1">
        <f t="array" ref="FW47">_xll.ASAssetInfo($A47,"Proxy 3 End Date")</f>
        <v/>
      </c>
      <c r="FX47" s="14" t="str" cm="1">
        <f t="array" ref="FX47">_xll.ASAssetInfo($A47,"Fund Domicile")</f>
        <v>DK</v>
      </c>
      <c r="FY47" s="14" t="str" cm="1">
        <f t="array" ref="FY47">_xll.ASAssetInfo($A47,"Fund Contact")</f>
        <v/>
      </c>
      <c r="FZ47" s="14" t="str" cm="1">
        <f t="array" ref="FZ47">_xll.ASAssetInfo($A47,"Fund Contact Email")</f>
        <v/>
      </c>
      <c r="GA47" s="14" t="str" cm="1">
        <f t="array" ref="GA47">_xll.ASAssetInfo($A47,"Fund Contact Number")</f>
        <v/>
      </c>
      <c r="GB47" s="14" t="str" cm="1">
        <f t="array" ref="GB47">_xll.ASAssetInfo($A47,"City")</f>
        <v>Copenhagen</v>
      </c>
      <c r="GC47" s="14" t="str" cm="1">
        <f t="array" ref="GC47">_xll.ASAssetInfo($A47,"Leverage")</f>
        <v>N</v>
      </c>
      <c r="GD47" s="14" t="str" cm="1">
        <f t="array" ref="GD47">_xll.ASAssetInfo($A47,"Lockup 1 Duration")</f>
        <v>0 Months</v>
      </c>
      <c r="GE47" s="14" t="str" cm="1">
        <f t="array" ref="GE47">_xll.ASAssetInfo($A47,"Lockup 2 Duration")</f>
        <v>0 Months</v>
      </c>
      <c r="GF47" s="14" t="str" cm="1">
        <f t="array" ref="GF47">_xll.ASAssetInfo($A47,"Lockup 3 Duration")</f>
        <v>0 Months</v>
      </c>
      <c r="GG47" s="31" cm="1">
        <f t="array" ref="GG47">_xll.ASAssetInfo($A47,"Fund Level Gate")</f>
        <v>0.02</v>
      </c>
      <c r="GH47" s="31" t="str" cm="1">
        <f t="array" ref="GH47">_xll.ASAssetInfo($A47,"Fund Level Gate Frequency")</f>
        <v>Monthly</v>
      </c>
      <c r="GI47" s="35" cm="1">
        <f t="array" ref="GI47">_xll.ASAssetInfo($A47,"Payment 2 (%)")</f>
        <v>0</v>
      </c>
      <c r="GJ47" s="35" t="str" cm="1">
        <f t="array" ref="GJ47">_xll.ASAssetInfo($A47,"Payment 2 (days)")</f>
        <v/>
      </c>
      <c r="GK47" s="35" t="str" cm="1">
        <f t="array" ref="GK47">_xll.ASAssetInfo($A47,"Payment 2 (Paid After)")</f>
        <v>NAV Date</v>
      </c>
      <c r="GL47" s="35" cm="1">
        <f t="array" ref="GL47">_xll.ASAssetInfo($A47,"Payment 3 (%)")</f>
        <v>0</v>
      </c>
      <c r="GM47" s="36" t="str" cm="1">
        <f t="array" ref="GM47">_xll.ASAssetInfo($A47,"Payment 3 (Days)")</f>
        <v/>
      </c>
      <c r="GN47" s="35" t="str" cm="1">
        <f t="array" ref="GN47">_xll.ASAssetInfo($A47,"Payment 3 (Paid After)")</f>
        <v>NAV Date</v>
      </c>
      <c r="GO47" s="35" cm="1">
        <f t="array" ref="GO47">_xll.ASAssetInfo($A47,"Payment 4 (%)")</f>
        <v>0</v>
      </c>
      <c r="GP47" s="36" t="str" cm="1">
        <f t="array" ref="GP47">_xll.ASAssetInfo($A47,"Payment 4 (days)")</f>
        <v/>
      </c>
      <c r="GQ47" s="35" t="str" cm="1">
        <f t="array" ref="GQ47">_xll.ASAssetInfo($A47,"Payment 4 (Paid After)")</f>
        <v>NAV Date</v>
      </c>
      <c r="GR47" s="11" cm="1">
        <f t="array" ref="GR47">_xll.ASAssetInfo($A47,"Payment 1 (%)")</f>
        <v>1</v>
      </c>
      <c r="GS47" s="35" cm="1">
        <f t="array" ref="GS47">_xll.ASAssetInfo($A47,"Lockup 1 Fee")</f>
        <v>0</v>
      </c>
      <c r="GT47" s="35" cm="1">
        <f t="array" ref="GT47">_xll.ASAssetInfo($A47,"Lockup 2 Fee")</f>
        <v>0</v>
      </c>
      <c r="GU47" s="35" cm="1">
        <f t="array" ref="GU47">_xll.ASAssetInfo($A47,"Lockup 3 Fee")</f>
        <v>0</v>
      </c>
      <c r="GV47" s="35" t="str" cm="1">
        <f t="array" ref="GV47">_xll.ASAssetInfo($A47,"Lockup 1 type")</f>
        <v>None</v>
      </c>
      <c r="GW47" s="35" t="str" cm="1">
        <f t="array" ref="GW47">_xll.ASAssetInfo($A47,"Lockup 2 type")</f>
        <v>None</v>
      </c>
      <c r="GX47" s="35" t="str" cm="1">
        <f t="array" ref="GX47">_xll.ASAssetInfo($A47,"Lockup 3 type")</f>
        <v>None</v>
      </c>
      <c r="GY47" s="35" t="str" cm="1">
        <f t="array" ref="GY47">_xll.ASAssetInfo($A47,"Redemption 1 type")</f>
        <v>Calendar</v>
      </c>
      <c r="GZ47" s="35" t="str" cm="1">
        <f t="array" ref="GZ47">_xll.ASAssetInfo($A47,"Redemption 2 type")</f>
        <v>Calendar</v>
      </c>
      <c r="HA47" s="35" t="str" cm="1">
        <f t="array" ref="HA47">_xll.ASAssetInfo($A47,"Redemption 3 type")</f>
        <v>Calendar</v>
      </c>
      <c r="HB47" s="35" t="str" cm="1">
        <f t="array" ref="HB47">_xll.ASAssetInfo($A47,"Redemption 1 Fee")</f>
        <v/>
      </c>
      <c r="HC47" s="35" t="str" cm="1">
        <f t="array" ref="HC47">_xll.ASAssetInfo($A47,"Redemption 2 Fee")</f>
        <v/>
      </c>
      <c r="HD47" s="35" t="str" cm="1">
        <f t="array" ref="HD47">_xll.ASAssetInfo($A47,"Redemption 3 Fee")</f>
        <v/>
      </c>
      <c r="HE47" s="35" t="str" cm="1">
        <f t="array" ref="HE47">_xll.ASAssetInfo($A47,"Redemption 1 Frequency")</f>
        <v>Monthly</v>
      </c>
      <c r="HF47" s="35" t="str" cm="1">
        <f t="array" ref="HF47">_xll.ASAssetInfo($A47,"Redemption 2 Frequency")</f>
        <v>Unknown</v>
      </c>
      <c r="HG47" s="35" t="str" cm="1">
        <f t="array" ref="HG47">_xll.ASAssetInfo($A47,"Redemption 3 Frequency")</f>
        <v>Unknown</v>
      </c>
      <c r="HH47" s="35" t="str" cm="1">
        <f t="array" ref="HH47">_xll.ASAssetInfo($A47,"Asset Calendar")</f>
        <v>[Default]</v>
      </c>
      <c r="HI47" s="16" cm="1">
        <f t="array" ref="HI47">_xll.ASAssetStatistic($A47,"Max Second Drawdown",,,,"m",'PBA Summary'!$F$2,'PBA Summary'!$G$2)</f>
        <v>0</v>
      </c>
      <c r="HJ47" s="37" t="str" cm="1">
        <f t="array" ref="HJ47">_xll.ASAssetStatistic($A47,"Date Max Second Drawdown",,,,"m",'PBA Summary'!$F$2,'PBA Summary'!$G$2)</f>
        <v/>
      </c>
      <c r="HK47" s="37"/>
      <c r="HL47" s="37" t="str" cm="1">
        <f t="array" ref="HL47">_xll.ASAssetInfo($A47,HL$1)</f>
        <v/>
      </c>
      <c r="HM47" s="34" t="str" cm="1">
        <f t="array" ref="HM47">_xll.ASAssetInfo($A47,HM$1)</f>
        <v/>
      </c>
      <c r="HN47" s="37" t="str" cm="1">
        <f t="array" ref="HN47">_xll.ASAssetInfo($A47,HN$1)</f>
        <v/>
      </c>
      <c r="HO47" s="15" cm="1">
        <f t="array" ref="HO47">_xll.ASAssetInfo($A47,HO$1)</f>
        <v>0</v>
      </c>
      <c r="HP47" s="15" t="str" cm="1">
        <f t="array" ref="HP47">_xll.ASAssetInfo($A47,HP$1)</f>
        <v/>
      </c>
      <c r="HQ47" s="34" t="str" cm="1">
        <f t="array" ref="HQ47">_xll.ASAssetInfo($A47,HQ$1)</f>
        <v/>
      </c>
      <c r="HR47" s="37" t="str" cm="1">
        <f t="array" ref="HR47">_xll.ASAssetInfo($A47,HR$1)</f>
        <v/>
      </c>
      <c r="HS47" s="37" t="str" cm="1">
        <f t="array" ref="HS47">_xll.ASAssetInfo($A47,HS$1)</f>
        <v/>
      </c>
      <c r="HT47" s="37" t="str" cm="1">
        <f t="array" ref="HT47">_xll.ASAssetInfo($A47,HT$1)</f>
        <v/>
      </c>
      <c r="HU47" s="37" t="str" cm="1">
        <f t="array" ref="HU47">_xll.ASAssetInfo($A47,HU$1)</f>
        <v>Americas</v>
      </c>
      <c r="HV47" s="37" t="str" cm="1">
        <f t="array" ref="HV47">_xll.ASAssetInfo($A47,HV$1)</f>
        <v/>
      </c>
      <c r="HW47" s="37" t="str" cm="1">
        <f t="array" ref="HW47">_xll.ASAssetInfo($A47,HW$1)</f>
        <v/>
      </c>
    </row>
    <row r="48" spans="1:231" s="11" customFormat="1" ht="30" x14ac:dyDescent="0.25">
      <c r="A48" t="s">
        <v>280</v>
      </c>
      <c r="B48" cm="1">
        <f t="array" ref="B48">_xll.ASPortfolioWeights('PBA Summary'!$C$2,"OR",$A48)</f>
        <v>0.10000022274655598</v>
      </c>
      <c r="C48" cm="1">
        <f t="array" ref="C48">_xll.ASAssetStatistic($A48,"Annualized Return since inception",,,,"m",_xll.ASAssetInfo($A48,"Start Date"),_xll.ASAssetInfo($A48,"Last Return Date"))</f>
        <v>0.2866590895737946</v>
      </c>
      <c r="D48" cm="1">
        <f t="array" ref="D48">_xll.ASAssetStatistic($A48,"Annualized Return",,,,"m",'PBA Summary'!$F$2,'PBA Summary'!$G$2)</f>
        <v>1.618002382463013E-3</v>
      </c>
      <c r="E48" s="19" cm="1">
        <f t="array" ref="E48">_xll.ASAssetStatistic($A48,"Equilibrium Annual Return",,,,"m",'PBA Summary'!$F$2,'PBA Summary'!$G$2)</f>
        <v>2.1691630566431419E-2</v>
      </c>
      <c r="F48" cm="1">
        <f t="array" ref="F48">_xll.ASAssetStatistic($A48,"Annualized Volatility (Inception)",,,,"m",_xll.ASAssetInfo($A48,"Start Date"),_xll.ASAssetInfo($A48,"Last Return Date"))</f>
        <v>0.41208936887338105</v>
      </c>
      <c r="G48" cm="1">
        <f t="array" ref="G48">_xll.ASAssetStatistic($A48,"Annualized Volatility",,,,"m",'PBA Summary'!$F$2,'PBA Summary'!$G$2)</f>
        <v>7.9589109089838933E-2</v>
      </c>
      <c r="H48" s="20" cm="1">
        <f t="array" ref="H48">_xll.ASAssetStatistic($A48,"Skewness",,,,"m",'PBA Summary'!$F$2,'PBA Summary'!$G$2)</f>
        <v>0.32547633633242279</v>
      </c>
      <c r="I48" s="20" cm="1">
        <f t="array" ref="I48">_xll.ASAssetStatistic($A48,"Excess kurtosis",,,,"m",'PBA Summary'!$F$2,'PBA Summary'!$G$2)</f>
        <v>-1.0350905058366719</v>
      </c>
      <c r="J48" s="19" cm="1">
        <f t="array" ref="J48">_xll.ASAssetStatistic($A48,"Return Last 1 month",,,,"m",'PBA Summary'!$F$2,'PBA Summary'!$G$2)</f>
        <v>1.0999999999999899E-2</v>
      </c>
      <c r="K48" s="19" cm="1">
        <f t="array" ref="K48">_xll.ASAssetStatistic($A48,"Return Last 3 months",,,,"m",'PBA Summary'!$F$2,'PBA Summary'!$G$2)</f>
        <v>-2.2731479170000068E-2</v>
      </c>
      <c r="L48" s="19" cm="1">
        <f t="array" ref="L48">_xll.ASAssetStatistic($A48,"Return Last 1 year",,,,"m",'PBA Summary'!$F$2,'PBA Summary'!$G$2)</f>
        <v>-2.5164285946405185E-2</v>
      </c>
      <c r="M48" s="19" cm="1">
        <f t="array" ref="M48">_xll.ASAssetStatistic($A48,"Year-to-date Return",,,,"m",'PBA Summary'!$F$2,'PBA Summary'!$G$2)</f>
        <v>1.0999999999999899E-2</v>
      </c>
      <c r="N48" s="19" cm="1">
        <f t="array" ref="N48">_xll.ASAssetStatistic($A48,"Annualized Return",,,,"m",EOMONTH('PBA Summary'!$G$2,-2),'PBA Summary'!$G$2)</f>
        <v>-8.7872312061629265E-2</v>
      </c>
      <c r="O48" s="19" t="str" cm="1">
        <f t="array" ref="O48">_xll.ASAssetStatistic($A48,"Annualized Return Last 3 years",,,,"m",'PBA Summary'!$F$2,'PBA Summary'!$G$2)</f>
        <v/>
      </c>
      <c r="P48" s="19" t="str" cm="1">
        <f t="array" ref="P48">_xll.ASAssetStatistic($A48,"Annualized Return Last 5 years",,,,"m",'PBA Summary'!$F$2,'PBA Summary'!$G$2)</f>
        <v/>
      </c>
      <c r="Q48" s="19" cm="1">
        <f t="array" ref="Q48">_xll.ASAssetStatistic($A48,"Annualized Volatility Last 1 year",,,,"m",'PBA Summary'!$F$2,'PBA Summary'!$G$2)</f>
        <v>6.8864049203682901E-2</v>
      </c>
      <c r="R48" s="19" t="str" cm="1">
        <f t="array" ref="R48">_xll.ASAssetStatistic($A48,"Annualized Volatility Last 3 years",,,,"m",'PBA Summary'!$F$2,'PBA Summary'!$G$2)</f>
        <v/>
      </c>
      <c r="S48" s="19" t="str" cm="1">
        <f t="array" ref="S48">_xll.ASAssetStatistic($A48,"Annualized Volatility Last 5 years",,,,"m",'PBA Summary'!$F$2,'PBA Summary'!$G$2)</f>
        <v/>
      </c>
      <c r="T48" s="19" cm="1">
        <f t="array" ref="T48">_xll.ASAssetStatistic($A48,"Normal monthly VaR 99%",,,,"m",'PBA Summary'!$F$2,'PBA Summary'!$G$2)</f>
        <v>-5.3068765451584059E-2</v>
      </c>
      <c r="U48" s="19" cm="1">
        <f t="array" ref="U48">_xll.ASAssetStatistic($A48,"Modified monthly VaR 99%",,,,"m",'PBA Summary'!$F$2,'PBA Summary'!$G$2)</f>
        <v>-4.1094296253879357E-2</v>
      </c>
      <c r="V48" s="19" cm="1">
        <f t="array" ref="V48">_xll.ASAssetStatistic($A48,"Conditional monthly VaR 99%",,,,"m",'PBA Summary'!$F$2,'PBA Summary'!$G$2)</f>
        <v>-3.290000000000004E-2</v>
      </c>
      <c r="W48" s="19" cm="1">
        <f t="array" ref="W48">_xll.ASAssetStatistic($A48,"Normal monthly VaR 97%",,,,"m",'PBA Summary'!$F$2,'PBA Summary'!$G$2)</f>
        <v>-4.2831979406288002E-2</v>
      </c>
      <c r="X48" s="19" cm="1">
        <f t="array" ref="X48">_xll.ASAssetStatistic($A48,"Modified monthly VaR 97%",,,,"m",'PBA Summary'!$F$2,'PBA Summary'!$G$2)</f>
        <v>-3.8404240153070153E-2</v>
      </c>
      <c r="Y48" s="19" cm="1">
        <f t="array" ref="Y48">_xll.ASAssetStatistic($A48,"Conditional monthly VaR 97%",,,,"m",'PBA Summary'!$F$2,'PBA Summary'!$G$2)</f>
        <v>-3.290000000000004E-2</v>
      </c>
      <c r="Z48" s="19" cm="1">
        <f t="array" ref="Z48">_xll.ASAssetStatistic($A48,"Normal monthly VaR 95%",,,,"m",'PBA Summary'!$F$2,'PBA Summary'!$G$2)</f>
        <v>-3.7411164722242721E-2</v>
      </c>
      <c r="AA48" s="19" cm="1">
        <f t="array" ref="AA48">_xll.ASAssetStatistic($A48,"Modified monthly VaR 95%",,,,"m",'PBA Summary'!$F$2,'PBA Summary'!$G$2)</f>
        <v>-3.5719719439031974E-2</v>
      </c>
      <c r="AB48" s="19" cm="1">
        <f t="array" ref="AB48">_xll.ASAssetStatistic($A48,"Conditional monthly VaR 95%",,,,"m",'PBA Summary'!$F$2,'PBA Summary'!$G$2)</f>
        <v>-3.290000000000004E-2</v>
      </c>
      <c r="AC48" s="66" cm="1">
        <f t="array" ref="AC48">_xll.ASAssetStatistic($A48,"Correlation to Benchmark 1","MSCI ACWI Index",,,"m",'PBA Summary'!$F$2,'PBA Summary'!$G$2)</f>
        <v>-0.77076890334219317</v>
      </c>
      <c r="AD48" s="38" cm="1">
        <f t="array" ref="AD48">IF('PBA Summary'!$D$3="","",_xll.ASAssetStatistic($A48,"Correlation to Benchmark 1",'PBA Summary'!$D$3,,,"m",'PBA Summary'!$F$2,'PBA Summary'!$G$2))</f>
        <v>-0.73140276514897973</v>
      </c>
      <c r="AE48" s="21" cm="1">
        <f t="array" ref="AE48">IF('PBA Summary'!$D$2="","",_xll.ASAssetStatistic($A48,"Bull correlation to Benchmark 1",'PBA Summary'!$D$2,,,"m",'PBA Summary'!$F$2,'PBA Summary'!$G$2))</f>
        <v>-0.30914850658926285</v>
      </c>
      <c r="AF48" s="21" cm="1">
        <f t="array" ref="AF48">IF('PBA Summary'!$D$2="","",_xll.ASAssetStatistic($A48,"Bear correlation to Benchmark 1",'PBA Summary'!$D$2,,,"m",'PBA Summary'!$F$2,'PBA Summary'!$G$2))</f>
        <v>-0.58008895915826875</v>
      </c>
      <c r="AG48" s="21" cm="1">
        <f t="array" ref="AG48">IF('PBA Summary'!$D$3="","",_xll.ASAssetStatistic($A48,"Bull correlation to Benchmark 1",'PBA Summary'!$D$3,,,"m",'PBA Summary'!$F$2,'PBA Summary'!$G$2))</f>
        <v>-0.30914850658926285</v>
      </c>
      <c r="AH48" s="21" cm="1">
        <f t="array" ref="AH48">IF('PBA Summary'!$D$3="","",_xll.ASAssetStatistic($A48,"Bear correlation to Benchmark 1",'PBA Summary'!$D$3,,,"m",'PBA Summary'!$F$2,'PBA Summary'!$G$2))</f>
        <v>-0.58008895915826875</v>
      </c>
      <c r="AI48" s="24" cm="1">
        <f t="array" ref="AI48">IF('PBA Summary'!$D$2="","",_xll.ASAssetStatistic($A48,"Beta to Benchmark 1",'PBA Summary'!$D$2,,,"m",'PBA Summary'!$F$2,'PBA Summary'!$G$2))</f>
        <v>-0.37917000442097598</v>
      </c>
      <c r="AJ48" s="24" t="str" cm="1">
        <f t="array" ref="AJ48">IF('PBA Summary'!$D$2="","",_xll.ASAssetStatistic($A48,"Beta to Benchmark 1 Last 3 years",'PBA Summary'!$D$2,,,"m",'PBA Summary'!$F$2,'PBA Summary'!$G$2))</f>
        <v/>
      </c>
      <c r="AK48" s="24" t="str" cm="1">
        <f t="array" ref="AK48">IF('PBA Summary'!$D$2="","",_xll.ASAssetStatistic($A48,"Beta to Benchmark 1 Last 5 years",'PBA Summary'!$D$2,,,"m",'PBA Summary'!$F$2,'PBA Summary'!$G$2))</f>
        <v/>
      </c>
      <c r="AL48" s="25" cm="1">
        <f t="array" ref="AL48">IF('PBA Summary'!$D$3="","",_xll.ASAssetStatistic($A48,"Beta to Benchmark 1",'PBA Summary'!$D$3,,,"m",'PBA Summary'!$F$2,'PBA Summary'!$G$2))</f>
        <v>-0.37917000442097598</v>
      </c>
      <c r="AM48" s="25" t="str" cm="1">
        <f t="array" ref="AM48">IF('PBA Summary'!$D$3="","",_xll.ASAssetStatistic($A48,"Beta to Benchmark 1 Last 3 years",'PBA Summary'!$D$3,,,"m",'PBA Summary'!$F$2,'PBA Summary'!$G$2))</f>
        <v/>
      </c>
      <c r="AN48" s="25" t="str" cm="1">
        <f t="array" ref="AN48">IF('PBA Summary'!$D$3="","",_xll.ASAssetStatistic($A48,"Beta to Benchmark 1 Last 5 years",'PBA Summary'!$D$3,,,"m",'PBA Summary'!$F$2,'PBA Summary'!$G$2))</f>
        <v/>
      </c>
      <c r="AO48" s="25" cm="1">
        <f t="array" ref="AO48">IF('PBA Summary'!$D$2="","",_xll.ASAssetStatistic($A48,"Bull Beta to Benchmark 1",'PBA Summary'!$D$2,,,"m",'PBA Summary'!$F$2,'PBA Summary'!$G$2))</f>
        <v>-0.24497363740001765</v>
      </c>
      <c r="AP48" s="25" cm="1">
        <f t="array" ref="AP48">IF('PBA Summary'!$D$2="","",_xll.ASAssetStatistic($A48,"Bear Beta to Benchmark 1",'PBA Summary'!$D$2,,,"m",'PBA Summary'!$F$2,'PBA Summary'!$G$2))</f>
        <v>-0.15609433238192835</v>
      </c>
      <c r="AQ48" s="25" cm="1">
        <f t="array" ref="AQ48">IF('PBA Summary'!$D$3="","",_xll.ASAssetStatistic($A48,"Bull Beta to Benchmark 1",'PBA Summary'!$D$3,,,"m",'PBA Summary'!$F$2,'PBA Summary'!$G$2))</f>
        <v>-0.24497363740001765</v>
      </c>
      <c r="AR48" s="25" cm="1">
        <f t="array" ref="AR48">IF('PBA Summary'!$D$3="","",_xll.ASAssetStatistic($A48,"Bear Beta to Benchmark 1",'PBA Summary'!$D$3,,,"m",'PBA Summary'!$F$2,'PBA Summary'!$G$2))</f>
        <v>-0.15609433238192835</v>
      </c>
      <c r="AS48" s="25" cm="1">
        <f t="array" ref="AS48">_xll.ASAssetStatistic($A48,"Annual Sharpe Ratio (Rf)",,,'PBA Summary'!$H$2,"m",'PBA Summary'!$F$2,'PBA Summary'!$G$2)</f>
        <v>-1.1081888308881583E-2</v>
      </c>
      <c r="AT48" s="25" t="str" cm="1">
        <f t="array" ref="AT48">_xll.ASAssetStatistic($A48,"Annual Sharpe Ratio (Rf) Last 3 years",,,'PBA Summary'!$H$2,"m",'PBA Summary'!$F$2,'PBA Summary'!$G$2)</f>
        <v/>
      </c>
      <c r="AU48" s="25" t="str" cm="1">
        <f t="array" ref="AU48">_xll.ASAssetStatistic($A48,"Annual Sharpe Ratio (Rf) Last 5 years",,,'PBA Summary'!$H$2,"m",'PBA Summary'!$F$2,'PBA Summary'!$G$2)</f>
        <v/>
      </c>
      <c r="AV48" s="18" cm="1">
        <f t="array" ref="AV48">_xll.ASAssetStatistic($A48,"Ann. Downside Deviation (vs 0%)",,,'PBA Summary'!$H$2,"m",'PBA Summary'!$F$2,'PBA Summary'!$G$2)</f>
        <v>4.9362901049269783E-2</v>
      </c>
      <c r="AW48" s="18" cm="1">
        <f t="array" ref="AW48">_xll.ASAssetStatistic($A48,"Ann. Downside Deviation (vs Rf)",,,'PBA Summary'!$H$2,"m",'PBA Summary'!$F$2,'PBA Summary'!$G$2)</f>
        <v>4.9819918136568504E-2</v>
      </c>
      <c r="AX48" s="39" cm="1">
        <f t="array" ref="AX48">_xll.ASAssetStatistic($A48,"Annual Treynor ratio",,,'PBA Summary'!$H$2,"m",'PBA Summary'!$F$2,'PBA Summary'!$G$2)</f>
        <v>2.3253739210122976E-3</v>
      </c>
      <c r="AY48" s="26" cm="1">
        <f t="array" ref="AY48">_xll.ASAssetStatistic($A48,"Annual Sortino Ratio (vs 0%)",,,'PBA Summary'!$H$2,"m",'PBA Summary'!$F$2,'PBA Summary'!$G$2)</f>
        <v>3.2777700420160941E-2</v>
      </c>
      <c r="AZ48" s="26" cm="1">
        <f t="array" ref="AZ48">_xll.ASAssetStatistic($A48,"Annual Sortino Ratio (vs Rf)",,,'PBA Summary'!$H$2,"m",'PBA Summary'!$F$2,'PBA Summary'!$G$2)</f>
        <v>-1.7703714709430416E-2</v>
      </c>
      <c r="BA48" s="26" cm="1">
        <f t="array" ref="BA48">_xll.ASAssetStatistic($A48,"Sterling ratio",,,'PBA Summary'!$H$2,"m",'PBA Summary'!$F$2,'PBA Summary'!$G$2)</f>
        <v>1.0637676725530844E-2</v>
      </c>
      <c r="BB48" s="26" cm="1">
        <f t="array" ref="BB48">_xll.ASAssetStatistic($A48,"Calmar ratio",,,'PBA Summary'!$H$2,"m",'PBA Summary'!$F$2,'PBA Summary'!$G$2)</f>
        <v>2.3902552261286205E-2</v>
      </c>
      <c r="BC48" s="26" cm="1">
        <f t="array" ref="BC48">_xll.ASAssetStatistic($A48,"Hurst index",,,'PBA Summary'!$H$2,"m",'PBA Summary'!$F$2,'PBA Summary'!$G$2)</f>
        <v>0.42056210005665434</v>
      </c>
      <c r="BD48" s="26" cm="1">
        <f t="array" ref="BD48">_xll.ASAssetStatistic($A48,"Omega (Threshold 1)",,,'PBA Summary'!$H$2,"m",'PBA Summary'!$F$2,'PBA Summary'!$G$2)</f>
        <v>1.0421909696521094</v>
      </c>
      <c r="BE48" s="26" cm="1">
        <f t="array" ref="BE48">_xll.ASAssetStatistic($A48,"Omega (Threshold 2)",,,'PBA Summary'!$H$2,"m",'PBA Summary'!$F$2,'PBA Summary'!$G$2)</f>
        <v>0.62560777957860603</v>
      </c>
      <c r="BF48" s="26" cm="1">
        <f t="array" ref="BF48">_xll.ASAssetStatistic($A48,"Omega (Threshold 3)",,,'PBA Summary'!$H$2,"m",'PBA Summary'!$F$2,'PBA Summary'!$G$2)</f>
        <v>0.38621863037005505</v>
      </c>
      <c r="BG48" s="26" cm="1">
        <f t="array" ref="BG48">_xll.ASAssetStatistic($A48,"Omega (Threshold 4)",,,'PBA Summary'!$H$2,"m",'PBA Summary'!$F$2,'PBA Summary'!$G$2)</f>
        <v>0.24143894846074002</v>
      </c>
      <c r="BH48" s="26" cm="1">
        <f t="array" ref="BH48">_xll.ASAssetStatistic($A48,"Omega (Threshold 5)",,,'PBA Summary'!$H$2,"m",'PBA Summary'!$F$2,'PBA Summary'!$G$2)</f>
        <v>0.14472537053182191</v>
      </c>
      <c r="BI48" s="26" t="str" cm="1">
        <f t="array" ref="BI48">_xll.ASAssetStatistic($A48,"Autocorrelated (illiquid)",,,'PBA Summary'!$H$2,"m",'PBA Summary'!$F$2,'PBA Summary'!$G$2)</f>
        <v>No</v>
      </c>
      <c r="BJ48" s="27" cm="1">
        <f t="array" ref="BJ48">_xll.ASAssetStatistic($A48,"% months in Run Up",,,'PBA Summary'!$H$2,"m",'PBA Summary'!$F$2,'PBA Summary'!$G$2)</f>
        <v>0.73333333333333339</v>
      </c>
      <c r="BK48" s="27" cm="1">
        <f t="array" ref="BK48">_xll.ASAssetStatistic($A48,"% months in Drawdown",,,'PBA Summary'!$H$2,"m",'PBA Summary'!$F$2,'PBA Summary'!$G$2)</f>
        <v>0.26666666666666666</v>
      </c>
      <c r="BL48" s="18" cm="1">
        <f t="array" ref="BL48">IF('PBA Summary'!$D$2="","",_xll.ASAssetStatistic($A48,"Bull Beta to Benchmark 1",'PBA Summary'!$D$2,,,"m",'PBA Summary'!$F$2,'PBA Summary'!$G$2))</f>
        <v>-0.24497363740001765</v>
      </c>
      <c r="BM48" s="18" cm="1">
        <f t="array" ref="BM48">IF('PBA Summary'!$D$2="","",_xll.ASAssetStatistic($A48,"Average return during bear Benchmark 1",'PBA Summary'!$D$2,,,"m",'PBA Summary'!$F$2,'PBA Summary'!$G$2))</f>
        <v>2.7699999999999971E-2</v>
      </c>
      <c r="BN48" s="18" cm="1">
        <f t="array" ref="BN48">IF('PBA Summary'!$D$3="","",_xll.ASAssetStatistic($A48,"Average return during bull Benchmark 1",'PBA Summary'!$D$3,,,"m",'PBA Summary'!$F$2,'PBA Summary'!$G$2))</f>
        <v>-9.5545454545454475E-3</v>
      </c>
      <c r="BO48" s="18" cm="1">
        <f t="array" ref="BO48">IF('PBA Summary'!$D$3="","",_xll.ASAssetStatistic($A48,"Average return during bear Benchmark 1",'PBA Summary'!$D$3,,,"m",'PBA Summary'!$F$2,'PBA Summary'!$G$2))</f>
        <v>2.7699999999999971E-2</v>
      </c>
      <c r="BP48" s="27" cm="1">
        <f t="array" ref="BP48">_xll.ASAssetStatistic($A48,"Maximum consecutive gain",,,'PBA Summary'!$H$2,"m",'PBA Summary'!$F$2,'PBA Summary'!$G$2)</f>
        <v>6.2857000000000163E-2</v>
      </c>
      <c r="BQ48" s="27" cm="1">
        <f t="array" ref="BQ48">_xll.ASAssetStatistic($A48,"Maximum consecutive loss",,,'PBA Summary'!$H$2,"m",'PBA Summary'!$F$2,'PBA Summary'!$G$2)</f>
        <v>-6.769161572271154E-2</v>
      </c>
      <c r="BR48" s="27" cm="1">
        <f t="array" ref="BR48">_xll.ASAssetStatistic($A48,"Max monthly gain",,,'PBA Summary'!$H$2,"m",'PBA Summary'!$F$2,'PBA Summary'!$G$2)</f>
        <v>3.5099999999999909E-2</v>
      </c>
      <c r="BS48" s="27" cm="1">
        <f t="array" ref="BS48">_xll.ASAssetStatistic($A48,"Max monthly loss",,,'PBA Summary'!$H$2,"m",'PBA Summary'!$F$2,'PBA Summary'!$G$2)</f>
        <v>-3.290000000000004E-2</v>
      </c>
      <c r="BT48" s="27" cm="1">
        <f t="array" ref="BT48">_xll.ASAssetStatistic($A48,"Max drawdown",,,'PBA Summary'!$H$2,"m",'PBA Summary'!$F$2,'PBA Summary'!$G$2)</f>
        <v>-6.7691615722711429E-2</v>
      </c>
      <c r="BU48" s="28" cm="1">
        <f t="array" ref="BU48">_xll.ASAssetStatistic($A48,"Date Max drawdown",,,'PBA Summary'!$H$2,"m",'PBA Summary'!$F$2,'PBA Summary'!$G$2)</f>
        <v>43585</v>
      </c>
      <c r="BV48" s="28" cm="1">
        <f t="array" ref="BV48">_xll.ASAssetStatistic($A48,"Start Date Max Drawdown",,,'PBA Summary'!$H$2,"m",'PBA Summary'!$F$2,'PBA Summary'!$G$2)</f>
        <v>43496</v>
      </c>
      <c r="BW48" s="28" t="str" cm="1">
        <f t="array" ref="BW48">_xll.ASAssetStatistic($A48,"End Date Max Drawdown",,,'PBA Summary'!$H$2,"m",'PBA Summary'!$F$2,'PBA Summary'!$G$2)</f>
        <v/>
      </c>
      <c r="BX48" s="29" cm="1">
        <f t="array" ref="BX48">_xll.ASAssetStatistic($A48,"Max Time-under-water (months)",,,'PBA Summary'!$H$2,"m",'PBA Summary'!$F$2,'PBA Summary'!$G$2)</f>
        <v>13</v>
      </c>
      <c r="BY48" s="27" cm="1">
        <f t="array" ref="BY48">_xll.ASAssetStatistic($A48,"Max possible drawdown 99%",,,'PBA Summary'!$H$2,"m",'PBA Summary'!$F$2,'PBA Summary'!$G$2)</f>
        <v>-1</v>
      </c>
      <c r="BZ48" s="27" cm="1">
        <f t="array" ref="BZ48">_xll.ASAssetStatistic($A48,"Max possible drawdown 99.9%",,,'PBA Summary'!$H$2,"m",'PBA Summary'!$F$2,'PBA Summary'!$G$2)</f>
        <v>-1</v>
      </c>
      <c r="CA48" s="30" cm="1">
        <f t="array" ref="CA48">_xll.ASAssetStatistic($A48,"Max Possible Time-under-water 99% (months)",,,'PBA Summary'!$H$2,"m",'PBA Summary'!$F$2,'PBA Summary'!$G$2)</f>
        <v>19783.729420349478</v>
      </c>
      <c r="CB48" s="30" cm="1">
        <f t="array" ref="CB48">_xll.ASAssetStatistic($A48,"Max Possible Time-under-water 99.9% (months)",,,'PBA Summary'!$H$2,"m",'PBA Summary'!$F$2,'PBA Summary'!$G$2)</f>
        <v>34909.297087362182</v>
      </c>
      <c r="CC48" s="17" cm="1">
        <f t="array" ref="CC48">_xll.ASPortfolioReturnAttribution('PBA Summary'!$C$2,"OR",A48,"Last 1m",'PBA Summary'!$F$2,'PBA Summary'!$G$2)</f>
        <v>1.1000023093304602E-3</v>
      </c>
      <c r="CD48" s="11" t="str" cm="1">
        <f t="array" ref="CD48">_xll.ASAssetInfo($A48,"Strategy")</f>
        <v>Funds - Long Biased CDS</v>
      </c>
      <c r="CE48" s="14" cm="1">
        <f t="array" ref="CE48">_xll.ASAssetInfo($A48,"Start Date")</f>
        <v>43343</v>
      </c>
      <c r="CF48" s="14" t="str" cm="1">
        <f t="array" ref="CF48">_xll.ASAssetRatings($A48,"Quantitative",0,0,0,0,0,'PBA Summary'!$F$2,'PBA Summary'!$G$2)</f>
        <v/>
      </c>
      <c r="CG48" s="14" t="str" cm="1">
        <f t="array" ref="CG48">_xll.ASAssetRatings($A48,"Qualitative",0,0,0,0,0,'PBA Summary'!$F$2,'PBA Summary'!$G$2)</f>
        <v/>
      </c>
      <c r="CH48" s="14" t="str" cm="1">
        <f t="array" ref="CH48">_xll.ASAssetRatings($A48,"Final",0,0,0,0,0,'PBA Summary'!$F$2,'PBA Summary'!$G$2)</f>
        <v/>
      </c>
      <c r="CI48" s="14" cm="1">
        <f t="array" ref="CI48">_xll.ASAssetInfo($A48,"Last Return Date")</f>
        <v>44104</v>
      </c>
      <c r="CJ48" s="14" t="str" cm="1">
        <f t="array" ref="CJ48">_xll.ASAssetInfo($A48,"Company Name")</f>
        <v/>
      </c>
      <c r="CK48" s="14" t="str" cm="1">
        <f t="array" ref="CK48">_xll.ASAssetInfo($A48,"Manager Name")</f>
        <v>Saba Capital</v>
      </c>
      <c r="CL48" s="14" t="str" cm="1">
        <f t="array" ref="CL48">_xll.ASAssetInfo($A48,"Address")</f>
        <v/>
      </c>
      <c r="CM48" s="14" t="str" cm="1">
        <f t="array" ref="CM48">_xll.ASAssetInfo($A48,"Phone Number")</f>
        <v/>
      </c>
      <c r="CN48" s="14" t="str" cm="1">
        <f t="array" ref="CN48">_xll.ASAssetInfo($A48,"Email")</f>
        <v/>
      </c>
      <c r="CO48" s="14" t="str" cm="1">
        <f t="array" ref="CO48">_xll.ASAssetInfo($A48,"Asset Type")</f>
        <v>Portfolio Hedge</v>
      </c>
      <c r="CP48" s="14" t="str" cm="1">
        <f t="array" ref="CP48">_xll.ASAssetInfo($A48,"Proprietary ID")</f>
        <v/>
      </c>
      <c r="CQ48" s="14" t="str" cm="1">
        <f t="array" ref="CQ48">_xll.ASAssetInfo($A48,"Country")</f>
        <v>United States of America</v>
      </c>
      <c r="CR48" s="14" t="str" cm="1">
        <f t="array" ref="CR48">_xll.ASAssetInfo($A48,"Currency")</f>
        <v>USD</v>
      </c>
      <c r="CS48" s="14" t="str" cm="1">
        <f t="array" ref="CS48">_xll.ASAssetInfo($A48,"Sub-Strategy")</f>
        <v/>
      </c>
      <c r="CT48" s="31" cm="1">
        <f t="array" ref="CT48">_xll.ASAssetInfo($A48,"Fund AUM (m)")</f>
        <v>169</v>
      </c>
      <c r="CU48" s="31" t="str" cm="1">
        <f t="array" ref="CU48">_xll.ASAssetInfo($A48,"Status")</f>
        <v>Open</v>
      </c>
      <c r="CV48" s="31" t="str" cm="1">
        <f t="array" ref="CV48">_xll.ASAssetInfo($A48,"Redemption 1 Frequency")</f>
        <v>Monthly</v>
      </c>
      <c r="CW48" s="31" t="str" cm="1">
        <f t="array" ref="CW48">_xll.ASAssetInfo($A48,"Redemption 2 Frequency")</f>
        <v>Unknown</v>
      </c>
      <c r="CX48" s="31" t="str" cm="1">
        <f t="array" ref="CX48">_xll.ASAssetInfo($A48,"Redemption 3 Frequency")</f>
        <v>Unknown</v>
      </c>
      <c r="CY48" s="31" t="str" cm="1">
        <f t="array" ref="CY48">_xll.ASAssetInfo($A48,"Notice Period")</f>
        <v>30 Days</v>
      </c>
      <c r="CZ48" s="15" cm="1">
        <f t="array" ref="CZ48">_xll.ASAssetInfo($A48,"Performance Fee")</f>
        <v>0.18</v>
      </c>
      <c r="DA48" s="15" cm="1">
        <f t="array" ref="DA48">_xll.ASAssetInfo($A48,"Management Fee")</f>
        <v>1.7500000000000002E-2</v>
      </c>
      <c r="DB48" s="15" t="str" cm="1">
        <f t="array" ref="DB48">_xll.ASAssetInfo($A48,"ISIN")</f>
        <v/>
      </c>
      <c r="DC48" s="16" t="str" cm="1">
        <f t="array" ref="DC48">_xll.ASAssetStatistic($A48,"Return during " &amp;YEAR(EOMONTH('PBA Summary'!$G$2,-60)),,,,"M",DATE(YEAR(EOMONTH('PBA Summary'!$G$2,-60)),1,31),DATE(YEAR(EOMONTH('PBA Summary'!$G$2,-60)),12,31))</f>
        <v/>
      </c>
      <c r="DD48" s="16" t="str" cm="1">
        <f t="array" ref="DD48">_xll.ASAssetStatistic($A48,"Return during " &amp;YEAR(EOMONTH('PBA Summary'!$G$2,-48)),,,,"M",DATE(YEAR(EOMONTH('PBA Summary'!$G$2,-48)),1,31),DATE(YEAR(EOMONTH('PBA Summary'!$G$2,-48)),12,31))</f>
        <v/>
      </c>
      <c r="DE48" s="16" t="str" cm="1">
        <f t="array" ref="DE48">_xll.ASAssetStatistic($A48,"Return during " &amp;YEAR(EOMONTH('PBA Summary'!$G$2,-36)),,,,"M",DATE(YEAR(EOMONTH('PBA Summary'!$G$2,-36)),1,31),DATE(YEAR(EOMONTH('PBA Summary'!$G$2,-36)),12,31))</f>
        <v/>
      </c>
      <c r="DF48" s="16" cm="1">
        <f t="array" ref="DF48">_xll.ASAssetStatistic($A48,"Return during " &amp;YEAR(EOMONTH('PBA Summary'!$G$2,-24)),,,,"M",DATE(YEAR(EOMONTH('PBA Summary'!$G$2,-24)),1,31),DATE(YEAR(EOMONTH('PBA Summary'!$G$2,-24)),12,31))</f>
        <v>8.4997352909859991E-2</v>
      </c>
      <c r="DG48" s="16" cm="1">
        <f t="array" ref="DG48">_xll.ASAssetStatistic($A48,"Return during " &amp;YEAR(EOMONTH('PBA Summary'!$G$2,-12)),,,,"M",DATE(YEAR(EOMONTH('PBA Summary'!$G$2,-12)),1,31),DATE(YEAR(EOMONTH('PBA Summary'!$G$2,-12)),12,31))</f>
        <v>-6.7493947516091501E-2</v>
      </c>
      <c r="DH48" s="11" t="str" cm="1">
        <f t="array" ref="DH48">_xll.ASAssetInfo($A48,"Prime Broker")</f>
        <v/>
      </c>
      <c r="DI48" s="16" cm="1">
        <f t="array" ref="DI48">_xll.ASAssetStatistic($A48,"Return",,,,"m",'PBA Summary'!$F$2,'PBA Summary'!$G$2)</f>
        <v>2.0229118645636035E-3</v>
      </c>
      <c r="DJ48" s="33" cm="1">
        <f t="array" ref="DJ48">IF('PBA Summary'!$D$2="","",_xll.ASAssetStatistic($A48,"Ann. Information Ratio vs Benchmark 1",'PBA Summary'!$D$2,,,"m",'PBA Summary'!$F$2,'PBA Summary'!$G$2))</f>
        <v>-0.78091883848507826</v>
      </c>
      <c r="DK48" s="33" cm="1">
        <f t="array" ref="DK48">IF('PBA Summary'!$D$3="","",_xll.ASAssetStatistic($A48,"Ann. Information Ratio vs Benchmark 1",'PBA Summary'!$D$3,,,"m",'PBA Summary'!$F$2,'PBA Summary'!$G$2))</f>
        <v>-0.78091883848507826</v>
      </c>
      <c r="DL48" s="33" cm="1">
        <f t="array" ref="DL48">IF('PBA Summary'!$D$2="","",_xll.ASAssetStatistic($A48,"Ann. Tracking Error vs Benchmark 1",'PBA Summary'!$D$2,,,"m",'PBA Summary'!$F$2,'PBA Summary'!$G$2))</f>
        <v>0.21858139851682659</v>
      </c>
      <c r="DM48" s="33" cm="1">
        <f t="array" ref="DM48">IF('PBA Summary'!$D$3="","",_xll.ASAssetStatistic($A48,"Ann. Tracking Error vs Benchmark 1",'PBA Summary'!$D$3,,,"m",'PBA Summary'!$F$2,'PBA Summary'!$G$2))</f>
        <v>0.21858139851682659</v>
      </c>
      <c r="DN48" s="33" cm="1">
        <f t="array" ref="DN48">IF('PBA Summary'!$D$2="","",_xll.ASAssetStatistic($A48,"R² vs Benchmark 1",'PBA Summary'!$D$2,,,"m",'PBA Summary'!$F$2,'PBA Summary'!$G$2))</f>
        <v>0.5349500048675736</v>
      </c>
      <c r="DO48" s="33" cm="1">
        <f t="array" ref="DO48">IF('PBA Summary'!$D$3="","",_xll.ASAssetStatistic($A48,"R² vs Benchmark 1",'PBA Summary'!$D$3,,,"m",'PBA Summary'!$F$2,'PBA Summary'!$G$2))</f>
        <v>0.5349500048675736</v>
      </c>
      <c r="DP48" s="11" t="str" cm="1">
        <f t="array" ref="DP48">_xll.ASAssetInfo($A48,"On-/Offshore")</f>
        <v>Onshore</v>
      </c>
      <c r="DQ48" s="16" cm="1">
        <f t="array" ref="DQ48">_xll.ASAssetStatistic($A48,"Quarter-to-date",,,,"m",'PBA Summary'!$F$2,'PBA Summary'!$G$2)</f>
        <v>1.0999999999999899E-2</v>
      </c>
      <c r="DR48" s="16" cm="1">
        <f t="array" ref="DR48">_xll.ASAssetStatistic($A48,"Annualized Return Since inception",,,,"m",'PBA Summary'!$F$2,'PBA Summary'!$G$2)</f>
        <v>0.2866590895737946</v>
      </c>
      <c r="DS48" s="16" cm="1">
        <f t="array" ref="DS48">IF('PBA Summary'!$D$2="","",_xll.ASAssetStatistic($A48,"Ann. Bear Market Return vs Benchmark 1",'PBA Summary'!$D$2,,,"m",'PBA Summary'!$F$2,'PBA Summary'!$G$2))</f>
        <v>0.38727294833360815</v>
      </c>
      <c r="DT48" s="16" cm="1">
        <f t="array" ref="DT48">IF('PBA Summary'!$D$2="","",_xll.ASAssetStatistic($A48,"Ann. Bull Market Return vs Benchmark 1",'PBA Summary'!$D$2,,,"m",'PBA Summary'!$F$2,'PBA Summary'!$G$2))</f>
        <v>-0.11026188428841022</v>
      </c>
      <c r="DU48" s="16" cm="1">
        <f t="array" ref="DU48">IF('PBA Summary'!$D$3="","",_xll.ASAssetStatistic($A48,"Ann. Bear Market Return vs Benchmark 1",'PBA Summary'!$D$3,,,"m",'PBA Summary'!$F$2,'PBA Summary'!$G$2))</f>
        <v>0.38727294833360815</v>
      </c>
      <c r="DV48" s="16" cm="1">
        <f t="array" ref="DV48">IF('PBA Summary'!$D$3="","",_xll.ASAssetStatistic($A48,"Ann. Bull Market Return vs Benchmark 1",'PBA Summary'!$D$3,,,"m",'PBA Summary'!$F$2,'PBA Summary'!$G$2))</f>
        <v>-0.11026188428841022</v>
      </c>
      <c r="DW48" s="17" cm="1">
        <f t="array" ref="DW48">_xll.ASAssetStatistic($A48,"Average Positive Return",,,,"m",'PBA Summary'!$F$2,'PBA Summary'!$G$2)</f>
        <v>2.8159999999999984E-2</v>
      </c>
      <c r="DX48" s="17" cm="1">
        <f t="array" ref="DX48">_xll.ASAssetStatistic($A48,"Average Negative Return",,,,"m",'PBA Summary'!$F$2,'PBA Summary'!$G$2)</f>
        <v>-1.3509999999999994E-2</v>
      </c>
      <c r="DY48" s="16" cm="1">
        <f t="array" ref="DY48">IF('PBA Summary'!$D$2="","",_xll.ASAssetStatistic($A48,"Outperformance vs Benchmark 1",'PBA Summary'!$D$2,,,"m",'PBA Summary'!$F$2,'PBA Summary'!$G$2))</f>
        <v>-0.21782073294415505</v>
      </c>
      <c r="DZ48" s="16" cm="1">
        <f t="array" ref="DZ48">IF('PBA Summary'!$D$3="","",_xll.ASAssetStatistic($A48,"Outperformance vs Benchmark 1",'PBA Summary'!$D$3,,,"m",'PBA Summary'!$F$2,'PBA Summary'!$G$2))</f>
        <v>-0.21782073294415505</v>
      </c>
      <c r="EA48" s="16" cm="1">
        <f t="array" ref="EA48">IF('PBA Summary'!$D$2="","",_xll.ASAssetStatistic($A48,"Annual Outperformance vs Benchmark 1",'PBA Summary'!$D$2,,,"m",'PBA Summary'!$F$2,'PBA Summary'!$G$2))</f>
        <v>-0.17069433184420424</v>
      </c>
      <c r="EB48" s="16" cm="1">
        <f t="array" ref="EB48">IF('PBA Summary'!$D$3="","",_xll.ASAssetStatistic($A48,"Annual Outperformance vs Benchmark 1",'PBA Summary'!$D$3,,,"m",'PBA Summary'!$F$2,'PBA Summary'!$G$2))</f>
        <v>-0.17069433184420424</v>
      </c>
      <c r="EC48" s="32" cm="1">
        <f t="array" ref="EC48">_xll.ASAssetStatistic($A48,"Rachev Ratio 99%",,,,"m",'PBA Summary'!$F$2,'PBA Summary'!$G$2)</f>
        <v>-1.0668693009118499</v>
      </c>
      <c r="ED48" s="32" cm="1">
        <f t="array" ref="ED48">_xll.ASAssetStatistic($A48,"Rachev Ratio 97%",,,,"m",'PBA Summary'!$F$2,'PBA Summary'!$G$2)</f>
        <v>-1.0668693009118499</v>
      </c>
      <c r="EE48" s="32" cm="1">
        <f t="array" ref="EE48">_xll.ASAssetStatistic($A48,"Rachev Ratio 95%",,,,"m",'PBA Summary'!$F$2,'PBA Summary'!$G$2)</f>
        <v>-1.0668693009118499</v>
      </c>
      <c r="EF48" s="32" cm="1">
        <f t="array" ref="EF48">_xll.ASAssetStatistic($A48,"Rachev Ratio 90%",,,,"m",'PBA Summary'!$F$2,'PBA Summary'!$G$2)</f>
        <v>-1.0414110429447825</v>
      </c>
      <c r="EG48" s="34" cm="1">
        <f t="array" ref="EG48">IF('PBA Summary'!$D$2="","",_xll.ASAssetStatistic($A48,"Annual Up Capture vs Benchmark 1",'PBA Summary'!$D$2,,,"m",'PBA Summary'!$F$2,'PBA Summary'!$G$2))</f>
        <v>-0.21781938124741693</v>
      </c>
      <c r="EH48" s="34" cm="1">
        <f t="array" ref="EH48">IF('PBA Summary'!$D$3="","",_xll.ASAssetStatistic($A48,"Annual Up Capture vs Benchmark 1",'PBA Summary'!$D$3,,,"m",'PBA Summary'!$F$2,'PBA Summary'!$G$2))</f>
        <v>-0.21781938124741693</v>
      </c>
      <c r="EI48" s="34" cm="1">
        <f t="array" ref="EI48">IF('PBA Summary'!$D$2="","",_xll.ASAssetStatistic($A48,"Annual Down Capture vs Benchmark 1",'PBA Summary'!$D$2,,,"m",'PBA Summary'!$F$2,'PBA Summary'!$G$2))</f>
        <v>-0.94107088868792244</v>
      </c>
      <c r="EJ48" s="34" cm="1">
        <f t="array" ref="EJ48">IF('PBA Summary'!$D$3="","",_xll.ASAssetStatistic($A48,"Annual Down Capture vs Benchmark 1",'PBA Summary'!$D$3,,,"m",'PBA Summary'!$F$2,'PBA Summary'!$G$2))</f>
        <v>-0.94107088868792244</v>
      </c>
      <c r="EK48" s="16" cm="1">
        <f t="array" ref="EK48">IF('PBA Summary'!$D$2="","",_xll.ASAssetStatistic($A48,"Ann. Tracking Error vs Benchmark 1",'PBA Summary'!$D$2,,,"m",'PBA Summary'!$F$2,'PBA Summary'!$G$2))</f>
        <v>0.21858139851682659</v>
      </c>
      <c r="EL48" s="16" cm="1">
        <f t="array" ref="EL48">IF('PBA Summary'!$D$3="","",_xll.ASAssetStatistic($A48,"Ann. Tracking Error vs Benchmark 1",'PBA Summary'!$D$3,,,"m",'PBA Summary'!$F$2,'PBA Summary'!$G$2))</f>
        <v>0.21858139851682659</v>
      </c>
      <c r="EM48" s="16" cm="1">
        <f t="array" ref="EM48">IF('PBA Summary'!$D$2="","",_xll.ASAssetStatistic($A48,"Annual Jensen Alpha vs Benchmark 1 (Rf)",'PBA Summary'!$D$2,,,"m",'PBA Summary'!$F$2,'PBA Summary'!$G$2))</f>
        <v>6.3505745901924676E-2</v>
      </c>
      <c r="EN48" s="16" cm="1">
        <f t="array" ref="EN48">IF('PBA Summary'!$D$3="","",_xll.ASAssetStatistic($A48,"Annual Jensen Alpha vs Benchmark 1 (Rf)",'PBA Summary'!$D$3,,,"m",'PBA Summary'!$F$2,'PBA Summary'!$G$2))</f>
        <v>6.3505745901924676E-2</v>
      </c>
      <c r="EO48" s="33" cm="1">
        <f t="array" ref="EO48">IF('PBA Summary'!$D$2="","",_xll.ASAssetStatistic($A48,"Ann. Information Ratio vs Benchmark 1",'PBA Summary'!$D$2,,,"m",'PBA Summary'!$F$2,'PBA Summary'!$G$2))</f>
        <v>-0.78091883848507826</v>
      </c>
      <c r="EP48" s="33" cm="1">
        <f t="array" ref="EP48">IF('PBA Summary'!$D$3="","",_xll.ASAssetStatistic($A48,"Ann. Information Ratio vs Benchmark 1",'PBA Summary'!$D$3,,,"m",'PBA Summary'!$F$2,'PBA Summary'!$G$2))</f>
        <v>-0.78091883848507826</v>
      </c>
      <c r="EQ48" s="17" cm="1">
        <f t="array" ref="EQ48">IF('PBA Summary'!$D$2="","",_xll.ASAssetStatistic($A48,"Alpha Monthly vs Benchmark 1",'PBA Summary'!$D$2,,,"m",'PBA Summary'!$F$2,'PBA Summary'!$G$2))</f>
        <v>5.7897992828621937E-3</v>
      </c>
      <c r="ER48" s="17" cm="1">
        <f t="array" ref="ER48">IF('PBA Summary'!$D$3="","",_xll.ASAssetStatistic($A48,"Alpha Monthly vs Benchmark 1",'PBA Summary'!$D$3,,,"m",'PBA Summary'!$F$2,'PBA Summary'!$G$2))</f>
        <v>5.7897992828621937E-3</v>
      </c>
      <c r="ES48" s="11" cm="1">
        <f t="array" ref="ES48">_xll.ASAssetInfo($A48,"Company AUM (m)")</f>
        <v>2426</v>
      </c>
      <c r="ET48" s="16" cm="1">
        <f t="array" ref="ET48">_xll.ASAssetStatistic($A48,"Exponential Annualized Volatility",,,,"m",'PBA Summary'!$F$2,'PBA Summary'!$G$2)</f>
        <v>7.5261521171586507E-2</v>
      </c>
      <c r="EU48" s="16" cm="1">
        <f t="array" ref="EU48">_xll.ASAssetStatistic($A48,"Exponential Annualized Volatility Last 1 year",,,,"m",'PBA Summary'!$F$2,'PBA Summary'!$G$2)</f>
        <v>7.0019358316821198E-2</v>
      </c>
      <c r="EV48" s="16" t="str" cm="1">
        <f t="array" ref="EV48">_xll.ASAssetStatistic($A48,"Exponential Annualized Volatility Last 3 years",,,,"m",'PBA Summary'!$F$2,'PBA Summary'!$G$2)</f>
        <v/>
      </c>
      <c r="EW48" s="34" cm="1">
        <f t="array" ref="EW48">IF('PBA Summary'!$D$2="","",_xll.ASAssetStatistic($A48,"Exponential Correlation to Benchmark 1",'PBA Summary'!$D$2,,,"m",'PBA Summary'!$F$2,'PBA Summary'!$G$2))</f>
        <v>-0.64486954330079382</v>
      </c>
      <c r="EX48" s="34" cm="1">
        <f t="array" ref="EX48">IF('PBA Summary'!$D$3="","",_xll.ASAssetStatistic($A48,"Exponential Correlation to Benchmark 1",'PBA Summary'!$D$3,,,"m",'PBA Summary'!$F$2,'PBA Summary'!$G$2))</f>
        <v>-0.64486954330079382</v>
      </c>
      <c r="EY48" s="34" cm="1">
        <f t="array" ref="EY48">_xll.ASAssetStatistic($A48,"Exponential Annual Sharpe Ratio (Rf)",,,,"m",'PBA Summary'!$F$2,'PBA Summary'!$G$2)</f>
        <v>-0.24263205287735548</v>
      </c>
      <c r="EZ48" s="34" cm="1">
        <f t="array" ref="EZ48">_xll.ASAssetStatistic($A48,"Exponential Normal Monthly VaR 99%",,,,"m",'PBA Summary'!$F$2,'PBA Summary'!$G$2)</f>
        <v>-5.1865524870322463E-2</v>
      </c>
      <c r="FA48" s="34" cm="1">
        <f t="array" ref="FA48">_xll.ASAssetStatistic($A48,"Exponential Normal Monthly VaR 97%",,,,"m",'PBA Summary'!$F$2,'PBA Summary'!$G$2)</f>
        <v>-4.2185355077148948E-2</v>
      </c>
      <c r="FB48" s="34" cm="1">
        <f t="array" ref="FB48">_xll.ASAssetStatistic($A48,"Exponential Normal Monthly VaR 95%",,,,"m",'PBA Summary'!$F$2,'PBA Summary'!$G$2)</f>
        <v>-3.7059292431441966E-2</v>
      </c>
      <c r="FC48" s="34" cm="1">
        <f t="array" ref="FC48">_xll.ASAssetStatistic($A48,"Exponential Normal Monthly VaR 90%",,,,"m",'PBA Summary'!$F$2,'PBA Summary'!$G$2)</f>
        <v>-2.9166144705414024E-2</v>
      </c>
      <c r="FD48" s="34" t="str" cm="1">
        <f t="array" ref="FD48">_xll.ASAssetStatistic($A48,"Exponential Normal weekly VaR 99%",,,,"m",'PBA Summary'!$F$2,'PBA Summary'!$G$2)</f>
        <v/>
      </c>
      <c r="FE48" s="34" t="str" cm="1">
        <f t="array" ref="FE48">_xll.ASAssetStatistic($A48,"Exponential Normal weekly VaR 97%",,,,"m",'PBA Summary'!$F$2,'PBA Summary'!$G$2)</f>
        <v/>
      </c>
      <c r="FF48" s="34" t="str" cm="1">
        <f t="array" ref="FF48">_xll.ASAssetStatistic($A48,"Exponential Normal weekly VaR 95%",,,,"m",'PBA Summary'!$F$2,'PBA Summary'!$G$2)</f>
        <v/>
      </c>
      <c r="FG48" s="34" t="str" cm="1">
        <f t="array" ref="FG48">_xll.ASAssetStatistic($A48,"Exponential Normal weekly VaR 90%",,,,"m",'PBA Summary'!$F$2,'PBA Summary'!$G$2)</f>
        <v/>
      </c>
      <c r="FH48" s="34" t="str" cm="1">
        <f t="array" ref="FH48">_xll.ASAssetStatistic($A48,"Exponential Normal daily VaR 99%",,,,"m",'PBA Summary'!$F$2,'PBA Summary'!$G$2)</f>
        <v/>
      </c>
      <c r="FI48" s="34" t="str" cm="1">
        <f t="array" ref="FI48">_xll.ASAssetStatistic($A48,"Exponential Normal daily VaR 97%",,,,"m",'PBA Summary'!$F$2,'PBA Summary'!$G$2)</f>
        <v/>
      </c>
      <c r="FJ48" s="34" t="str" cm="1">
        <f t="array" ref="FJ48">_xll.ASAssetStatistic($A48,"Exponential Normal daily VaR 95%",,,,"m",'PBA Summary'!$F$2,'PBA Summary'!$G$2)</f>
        <v/>
      </c>
      <c r="FK48" s="34" t="str" cm="1">
        <f t="array" ref="FK48">_xll.ASAssetStatistic($A48,"Exponential Normal daily VaR 90%",,,,"m",'PBA Summary'!$F$2,'PBA Summary'!$G$2)</f>
        <v/>
      </c>
      <c r="FL48" s="34" cm="1">
        <f t="array" ref="FL48">_xll.ASAssetStatistic($A48,"Bias Ratio",,,,"m",'PBA Summary'!$F$2,'PBA Summary'!$G$2)</f>
        <v>0.1111111111111111</v>
      </c>
      <c r="FM48" s="11" t="str" cm="1">
        <f t="array" ref="FM48">_xll.ASAssetInfo($A48,"Manager's Biography")</f>
        <v/>
      </c>
      <c r="FN48" s="11" cm="1">
        <f t="array" ref="FN48">_xll.ASAssetInfo($A48,"Investment Min")</f>
        <v>5000000</v>
      </c>
      <c r="FO48" s="11" t="str" cm="1">
        <f t="array" ref="FO48">_xll.ASAssetInfo($A48,"Auditor")</f>
        <v>Ernst &amp; Young</v>
      </c>
      <c r="FP48" s="11" t="str" cm="1">
        <f t="array" ref="FP48">_xll.ASAssetInfo($A48,"Custodian")</f>
        <v/>
      </c>
      <c r="FQ48" s="11" t="str" cm="1">
        <f t="array" ref="FQ48">_xll.ASAssetInfo($A48,"Administrator")</f>
        <v>SS&amp;C GlobeOp</v>
      </c>
      <c r="FR48" s="14" t="str" cm="1">
        <f t="array" ref="FR48">_xll.ASAssetInfo($A48,"Proxy 1 Start Date")</f>
        <v/>
      </c>
      <c r="FS48" s="14" t="str" cm="1">
        <f t="array" ref="FS48">_xll.ASAssetInfo($A48,"Proxy 1 End Date")</f>
        <v/>
      </c>
      <c r="FT48" s="14" t="str" cm="1">
        <f t="array" ref="FT48">_xll.ASAssetInfo($A48,"Proxy 2 Start Date")</f>
        <v/>
      </c>
      <c r="FU48" s="14" t="str" cm="1">
        <f t="array" ref="FU48">_xll.ASAssetInfo($A48,"Proxy 2 End Date")</f>
        <v/>
      </c>
      <c r="FV48" s="14" t="str" cm="1">
        <f t="array" ref="FV48">_xll.ASAssetInfo($A48,"Proxy 3 Start Date")</f>
        <v/>
      </c>
      <c r="FW48" s="14" t="str" cm="1">
        <f t="array" ref="FW48">_xll.ASAssetInfo($A48,"Proxy 3 End Date")</f>
        <v/>
      </c>
      <c r="FX48" s="14" t="str" cm="1">
        <f t="array" ref="FX48">_xll.ASAssetInfo($A48,"Fund Domicile")</f>
        <v>Cayman Islands</v>
      </c>
      <c r="FY48" s="14" t="str" cm="1">
        <f t="array" ref="FY48">_xll.ASAssetInfo($A48,"Fund Contact")</f>
        <v/>
      </c>
      <c r="FZ48" s="14" t="str" cm="1">
        <f t="array" ref="FZ48">_xll.ASAssetInfo($A48,"Fund Contact Email")</f>
        <v/>
      </c>
      <c r="GA48" s="14" t="str" cm="1">
        <f t="array" ref="GA48">_xll.ASAssetInfo($A48,"Fund Contact Number")</f>
        <v/>
      </c>
      <c r="GB48" s="14" t="str" cm="1">
        <f t="array" ref="GB48">_xll.ASAssetInfo($A48,"City")</f>
        <v/>
      </c>
      <c r="GC48" s="14" t="str" cm="1">
        <f t="array" ref="GC48">_xll.ASAssetInfo($A48,"Leverage")</f>
        <v/>
      </c>
      <c r="GD48" s="14" t="str" cm="1">
        <f t="array" ref="GD48">_xll.ASAssetInfo($A48,"Lockup 1 Duration")</f>
        <v>3 Months</v>
      </c>
      <c r="GE48" s="14" t="str" cm="1">
        <f t="array" ref="GE48">_xll.ASAssetInfo($A48,"Lockup 2 Duration")</f>
        <v>0 Months</v>
      </c>
      <c r="GF48" s="14" t="str" cm="1">
        <f t="array" ref="GF48">_xll.ASAssetInfo($A48,"Lockup 3 Duration")</f>
        <v>0 Months</v>
      </c>
      <c r="GG48" s="31" t="str" cm="1">
        <f t="array" ref="GG48">_xll.ASAssetInfo($A48,"Fund Level Gate")</f>
        <v/>
      </c>
      <c r="GH48" s="31" t="str" cm="1">
        <f t="array" ref="GH48">_xll.ASAssetInfo($A48,"Fund Level Gate Frequency")</f>
        <v>Unknown</v>
      </c>
      <c r="GI48" s="35" cm="1">
        <f t="array" ref="GI48">_xll.ASAssetInfo($A48,"Payment 2 (%)")</f>
        <v>0</v>
      </c>
      <c r="GJ48" s="35" t="str" cm="1">
        <f t="array" ref="GJ48">_xll.ASAssetInfo($A48,"Payment 2 (days)")</f>
        <v/>
      </c>
      <c r="GK48" s="35" t="str" cm="1">
        <f t="array" ref="GK48">_xll.ASAssetInfo($A48,"Payment 2 (Paid After)")</f>
        <v>NAV Date</v>
      </c>
      <c r="GL48" s="35" cm="1">
        <f t="array" ref="GL48">_xll.ASAssetInfo($A48,"Payment 3 (%)")</f>
        <v>0</v>
      </c>
      <c r="GM48" s="36" t="str" cm="1">
        <f t="array" ref="GM48">_xll.ASAssetInfo($A48,"Payment 3 (Days)")</f>
        <v/>
      </c>
      <c r="GN48" s="35" t="str" cm="1">
        <f t="array" ref="GN48">_xll.ASAssetInfo($A48,"Payment 3 (Paid After)")</f>
        <v>NAV Date</v>
      </c>
      <c r="GO48" s="35" cm="1">
        <f t="array" ref="GO48">_xll.ASAssetInfo($A48,"Payment 4 (%)")</f>
        <v>0</v>
      </c>
      <c r="GP48" s="36" t="str" cm="1">
        <f t="array" ref="GP48">_xll.ASAssetInfo($A48,"Payment 4 (days)")</f>
        <v/>
      </c>
      <c r="GQ48" s="35" t="str" cm="1">
        <f t="array" ref="GQ48">_xll.ASAssetInfo($A48,"Payment 4 (Paid After)")</f>
        <v>NAV Date</v>
      </c>
      <c r="GR48" s="11" cm="1">
        <f t="array" ref="GR48">_xll.ASAssetInfo($A48,"Payment 1 (%)")</f>
        <v>1</v>
      </c>
      <c r="GS48" s="35" cm="1">
        <f t="array" ref="GS48">_xll.ASAssetInfo($A48,"Lockup 1 Fee")</f>
        <v>0</v>
      </c>
      <c r="GT48" s="35" cm="1">
        <f t="array" ref="GT48">_xll.ASAssetInfo($A48,"Lockup 2 Fee")</f>
        <v>0</v>
      </c>
      <c r="GU48" s="35" cm="1">
        <f t="array" ref="GU48">_xll.ASAssetInfo($A48,"Lockup 3 Fee")</f>
        <v>0</v>
      </c>
      <c r="GV48" s="35" t="str" cm="1">
        <f t="array" ref="GV48">_xll.ASAssetInfo($A48,"Lockup 1 type")</f>
        <v>Hard</v>
      </c>
      <c r="GW48" s="35" t="str" cm="1">
        <f t="array" ref="GW48">_xll.ASAssetInfo($A48,"Lockup 2 type")</f>
        <v>None</v>
      </c>
      <c r="GX48" s="35" t="str" cm="1">
        <f t="array" ref="GX48">_xll.ASAssetInfo($A48,"Lockup 3 type")</f>
        <v>None</v>
      </c>
      <c r="GY48" s="35" t="str" cm="1">
        <f t="array" ref="GY48">_xll.ASAssetInfo($A48,"Redemption 1 type")</f>
        <v>Calendar</v>
      </c>
      <c r="GZ48" s="35" t="str" cm="1">
        <f t="array" ref="GZ48">_xll.ASAssetInfo($A48,"Redemption 2 type")</f>
        <v>Calendar</v>
      </c>
      <c r="HA48" s="35" t="str" cm="1">
        <f t="array" ref="HA48">_xll.ASAssetInfo($A48,"Redemption 3 type")</f>
        <v>Calendar</v>
      </c>
      <c r="HB48" s="35" t="str" cm="1">
        <f t="array" ref="HB48">_xll.ASAssetInfo($A48,"Redemption 1 Fee")</f>
        <v/>
      </c>
      <c r="HC48" s="35" t="str" cm="1">
        <f t="array" ref="HC48">_xll.ASAssetInfo($A48,"Redemption 2 Fee")</f>
        <v/>
      </c>
      <c r="HD48" s="35" t="str" cm="1">
        <f t="array" ref="HD48">_xll.ASAssetInfo($A48,"Redemption 3 Fee")</f>
        <v/>
      </c>
      <c r="HE48" s="35" t="str" cm="1">
        <f t="array" ref="HE48">_xll.ASAssetInfo($A48,"Redemption 1 Frequency")</f>
        <v>Monthly</v>
      </c>
      <c r="HF48" s="35" t="str" cm="1">
        <f t="array" ref="HF48">_xll.ASAssetInfo($A48,"Redemption 2 Frequency")</f>
        <v>Unknown</v>
      </c>
      <c r="HG48" s="35" t="str" cm="1">
        <f t="array" ref="HG48">_xll.ASAssetInfo($A48,"Redemption 3 Frequency")</f>
        <v>Unknown</v>
      </c>
      <c r="HH48" s="35" t="str" cm="1">
        <f t="array" ref="HH48">_xll.ASAssetInfo($A48,"Asset Calendar")</f>
        <v>[Default]</v>
      </c>
      <c r="HI48" s="16" cm="1">
        <f t="array" ref="HI48">_xll.ASAssetStatistic($A48,"Max Second Drawdown",,,,"m",'PBA Summary'!$F$2,'PBA Summary'!$G$2)</f>
        <v>0</v>
      </c>
      <c r="HJ48" s="37" t="str" cm="1">
        <f t="array" ref="HJ48">_xll.ASAssetStatistic($A48,"Date Max Second Drawdown",,,,"m",'PBA Summary'!$F$2,'PBA Summary'!$G$2)</f>
        <v/>
      </c>
      <c r="HK48" s="37"/>
      <c r="HL48" s="37" t="str" cm="1">
        <f t="array" ref="HL48">_xll.ASAssetInfo($A48,HL$1)</f>
        <v/>
      </c>
      <c r="HM48" s="34" t="str" cm="1">
        <f t="array" ref="HM48">_xll.ASAssetInfo($A48,HM$1)</f>
        <v/>
      </c>
      <c r="HN48" s="37" t="str" cm="1">
        <f t="array" ref="HN48">_xll.ASAssetInfo($A48,HN$1)</f>
        <v/>
      </c>
      <c r="HO48" s="15" cm="1">
        <f t="array" ref="HO48">_xll.ASAssetInfo($A48,HO$1)</f>
        <v>0</v>
      </c>
      <c r="HP48" s="15" t="str" cm="1">
        <f t="array" ref="HP48">_xll.ASAssetInfo($A48,HP$1)</f>
        <v/>
      </c>
      <c r="HQ48" s="34" t="str" cm="1">
        <f t="array" ref="HQ48">_xll.ASAssetInfo($A48,HQ$1)</f>
        <v/>
      </c>
      <c r="HR48" s="37" t="str" cm="1">
        <f t="array" ref="HR48">_xll.ASAssetInfo($A48,HR$1)</f>
        <v/>
      </c>
      <c r="HS48" s="37" t="str" cm="1">
        <f t="array" ref="HS48">_xll.ASAssetInfo($A48,HS$1)</f>
        <v/>
      </c>
      <c r="HT48" s="37" t="str" cm="1">
        <f t="array" ref="HT48">_xll.ASAssetInfo($A48,HT$1)</f>
        <v/>
      </c>
      <c r="HU48" s="37" t="str" cm="1">
        <f t="array" ref="HU48">_xll.ASAssetInfo($A48,HU$1)</f>
        <v>Americas</v>
      </c>
      <c r="HV48" s="37" t="str" cm="1">
        <f t="array" ref="HV48">_xll.ASAssetInfo($A48,HV$1)</f>
        <v/>
      </c>
      <c r="HW48" s="37" t="str" cm="1">
        <f t="array" ref="HW48">_xll.ASAssetInfo($A48,HW$1)</f>
        <v/>
      </c>
    </row>
    <row r="49" spans="1:231" s="11" customFormat="1" ht="90" x14ac:dyDescent="0.25">
      <c r="A49" t="s">
        <v>213</v>
      </c>
      <c r="B49" cm="1">
        <f t="array" ref="B49">_xll.ASPortfolioWeights('PBA Summary'!$C$2,"OR",$A49)</f>
        <v>9.6186200533012176E-2</v>
      </c>
      <c r="C49" cm="1">
        <f t="array" ref="C49">_xll.ASAssetStatistic($A49,"Annualized Return since inception",,,,"m",_xll.ASAssetInfo($A49,"Start Date"),_xll.ASAssetInfo($A49,"Last Return Date"))</f>
        <v>0.16477466953795994</v>
      </c>
      <c r="D49" cm="1">
        <f t="array" ref="D49">_xll.ASAssetStatistic($A49,"Annualized Return",,,,"m",'PBA Summary'!$F$2,'PBA Summary'!$G$2)</f>
        <v>3.0388553474655744E-2</v>
      </c>
      <c r="E49" s="19" cm="1">
        <f t="array" ref="E49">_xll.ASAssetStatistic($A49,"Equilibrium Annual Return",,,,"m",'PBA Summary'!$F$2,'PBA Summary'!$G$2)</f>
        <v>9.647810240864807E-2</v>
      </c>
      <c r="F49" cm="1">
        <f t="array" ref="F49">_xll.ASAssetStatistic($A49,"Annualized Volatility (Inception)",,,,"m",_xll.ASAssetInfo($A49,"Start Date"),_xll.ASAssetInfo($A49,"Last Return Date"))</f>
        <v>0.2665318717657042</v>
      </c>
      <c r="G49" cm="1">
        <f t="array" ref="G49">_xll.ASAssetStatistic($A49,"Annualized Volatility",,,,"m",'PBA Summary'!$F$2,'PBA Summary'!$G$2)</f>
        <v>0.24889970763696181</v>
      </c>
      <c r="H49" s="20" cm="1">
        <f t="array" ref="H49">_xll.ASAssetStatistic($A49,"Skewness",,,,"m",'PBA Summary'!$F$2,'PBA Summary'!$G$2)</f>
        <v>0.17782388377764111</v>
      </c>
      <c r="I49" s="20" cm="1">
        <f t="array" ref="I49">_xll.ASAssetStatistic($A49,"Excess kurtosis",,,,"m",'PBA Summary'!$F$2,'PBA Summary'!$G$2)</f>
        <v>-0.36058801846450722</v>
      </c>
      <c r="J49" s="19" cm="1">
        <f t="array" ref="J49">_xll.ASAssetStatistic($A49,"Return Last 1 month",,,,"m",'PBA Summary'!$F$2,'PBA Summary'!$G$2)</f>
        <v>3.4782608695651973E-2</v>
      </c>
      <c r="K49" s="19" cm="1">
        <f t="array" ref="K49">_xll.ASAssetStatistic($A49,"Return Last 3 months",,,,"m",'PBA Summary'!$F$2,'PBA Summary'!$G$2)</f>
        <v>6.4056116549757292E-2</v>
      </c>
      <c r="L49" s="19" cm="1">
        <f t="array" ref="L49">_xll.ASAssetStatistic($A49,"Return Last 1 year",,,,"m",'PBA Summary'!$F$2,'PBA Summary'!$G$2)</f>
        <v>8.847184986595158E-2</v>
      </c>
      <c r="M49" s="19" cm="1">
        <f t="array" ref="M49">_xll.ASAssetStatistic($A49,"Year-to-date Return",,,,"m",'PBA Summary'!$F$2,'PBA Summary'!$G$2)</f>
        <v>3.4782608695651973E-2</v>
      </c>
      <c r="N49" s="19" cm="1">
        <f t="array" ref="N49">_xll.ASAssetStatistic($A49,"Annualized Return",,,,"m",EOMONTH('PBA Summary'!$G$2,-2),'PBA Summary'!$G$2)</f>
        <v>0.28191175539939373</v>
      </c>
      <c r="O49" s="19" t="str" cm="1">
        <f t="array" ref="O49">_xll.ASAssetStatistic($A49,"Annualized Return Last 3 years",,,,"m",'PBA Summary'!$F$2,'PBA Summary'!$G$2)</f>
        <v/>
      </c>
      <c r="P49" s="19" t="str" cm="1">
        <f t="array" ref="P49">_xll.ASAssetStatistic($A49,"Annualized Return Last 5 years",,,,"m",'PBA Summary'!$F$2,'PBA Summary'!$G$2)</f>
        <v/>
      </c>
      <c r="Q49" s="19" cm="1">
        <f t="array" ref="Q49">_xll.ASAssetStatistic($A49,"Annualized Volatility Last 1 year",,,,"m",'PBA Summary'!$F$2,'PBA Summary'!$G$2)</f>
        <v>0.25151770300082982</v>
      </c>
      <c r="R49" s="19" t="str" cm="1">
        <f t="array" ref="R49">_xll.ASAssetStatistic($A49,"Annualized Volatility Last 3 years",,,,"m",'PBA Summary'!$F$2,'PBA Summary'!$G$2)</f>
        <v/>
      </c>
      <c r="S49" s="19" t="str" cm="1">
        <f t="array" ref="S49">_xll.ASAssetStatistic($A49,"Annualized Volatility Last 5 years",,,,"m",'PBA Summary'!$F$2,'PBA Summary'!$G$2)</f>
        <v/>
      </c>
      <c r="T49" s="19" cm="1">
        <f t="array" ref="T49">_xll.ASAssetStatistic($A49,"Normal monthly VaR 99%",,,,"m",'PBA Summary'!$F$2,'PBA Summary'!$G$2)</f>
        <v>-0.16226272433452335</v>
      </c>
      <c r="U49" s="19" cm="1">
        <f t="array" ref="U49">_xll.ASAssetStatistic($A49,"Modified monthly VaR 99%",,,,"m",'PBA Summary'!$F$2,'PBA Summary'!$G$2)</f>
        <v>-0.1459555255415419</v>
      </c>
      <c r="V49" s="19" cm="1">
        <f t="array" ref="V49">_xll.ASAssetStatistic($A49,"Conditional monthly VaR 99%",,,,"m",'PBA Summary'!$F$2,'PBA Summary'!$G$2)</f>
        <v>-0.10219179976491743</v>
      </c>
      <c r="W49" s="19" cm="1">
        <f t="array" ref="W49">_xll.ASAssetStatistic($A49,"Normal monthly VaR 97%",,,,"m",'PBA Summary'!$F$2,'PBA Summary'!$G$2)</f>
        <v>-0.13024913500108512</v>
      </c>
      <c r="X49" s="19" cm="1">
        <f t="array" ref="X49">_xll.ASAssetStatistic($A49,"Modified monthly VaR 97%",,,,"m",'PBA Summary'!$F$2,'PBA Summary'!$G$2)</f>
        <v>-0.1235084720726798</v>
      </c>
      <c r="Y49" s="19" cm="1">
        <f t="array" ref="Y49">_xll.ASAssetStatistic($A49,"Conditional monthly VaR 97%",,,,"m",'PBA Summary'!$F$2,'PBA Summary'!$G$2)</f>
        <v>-0.10219179976491743</v>
      </c>
      <c r="Z49" s="19" cm="1">
        <f t="array" ref="Z49">_xll.ASAssetStatistic($A49,"Normal monthly VaR 95%",,,,"m",'PBA Summary'!$F$2,'PBA Summary'!$G$2)</f>
        <v>-0.11329657446305946</v>
      </c>
      <c r="AA49" s="19" cm="1">
        <f t="array" ref="AA49">_xll.ASAssetStatistic($A49,"Modified monthly VaR 95%",,,,"m",'PBA Summary'!$F$2,'PBA Summary'!$G$2)</f>
        <v>-0.11014484316909433</v>
      </c>
      <c r="AB49" s="19" cm="1">
        <f t="array" ref="AB49">_xll.ASAssetStatistic($A49,"Conditional monthly VaR 95%",,,,"m",'PBA Summary'!$F$2,'PBA Summary'!$G$2)</f>
        <v>-0.10219179976491743</v>
      </c>
      <c r="AC49" s="66" cm="1">
        <f t="array" ref="AC49">_xll.ASAssetStatistic($A49,"Correlation to Benchmark 1","MSCI ACWI Index",,,"m",'PBA Summary'!$F$2,'PBA Summary'!$G$2)</f>
        <v>-0.11215870110496699</v>
      </c>
      <c r="AD49" s="38" cm="1">
        <f t="array" ref="AD49">IF('PBA Summary'!$D$3="","",_xll.ASAssetStatistic($A49,"Correlation to Benchmark 1",'PBA Summary'!$D$3,,,"m",'PBA Summary'!$F$2,'PBA Summary'!$G$2))</f>
        <v>-0.13011606824466562</v>
      </c>
      <c r="AE49" s="21" cm="1">
        <f t="array" ref="AE49">IF('PBA Summary'!$D$2="","",_xll.ASAssetStatistic($A49,"Bull correlation to Benchmark 1",'PBA Summary'!$D$2,,,"m",'PBA Summary'!$F$2,'PBA Summary'!$G$2))</f>
        <v>-0.50014873452859498</v>
      </c>
      <c r="AF49" s="21" cm="1">
        <f t="array" ref="AF49">IF('PBA Summary'!$D$2="","",_xll.ASAssetStatistic($A49,"Bear correlation to Benchmark 1",'PBA Summary'!$D$2,,,"m",'PBA Summary'!$F$2,'PBA Summary'!$G$2))</f>
        <v>-0.13465493474857099</v>
      </c>
      <c r="AG49" s="21" cm="1">
        <f t="array" ref="AG49">IF('PBA Summary'!$D$3="","",_xll.ASAssetStatistic($A49,"Bull correlation to Benchmark 1",'PBA Summary'!$D$3,,,"m",'PBA Summary'!$F$2,'PBA Summary'!$G$2))</f>
        <v>-0.50014873452859498</v>
      </c>
      <c r="AH49" s="21" cm="1">
        <f t="array" ref="AH49">IF('PBA Summary'!$D$3="","",_xll.ASAssetStatistic($A49,"Bear correlation to Benchmark 1",'PBA Summary'!$D$3,,,"m",'PBA Summary'!$F$2,'PBA Summary'!$G$2))</f>
        <v>-0.13465493474857099</v>
      </c>
      <c r="AI49" s="24" cm="1">
        <f t="array" ref="AI49">IF('PBA Summary'!$D$2="","",_xll.ASAssetStatistic($A49,"Beta to Benchmark 1",'PBA Summary'!$D$2,,,"m",'PBA Summary'!$F$2,'PBA Summary'!$G$2))</f>
        <v>-0.21094976723675185</v>
      </c>
      <c r="AJ49" s="24" t="str" cm="1">
        <f t="array" ref="AJ49">IF('PBA Summary'!$D$2="","",_xll.ASAssetStatistic($A49,"Beta to Benchmark 1 Last 3 years",'PBA Summary'!$D$2,,,"m",'PBA Summary'!$F$2,'PBA Summary'!$G$2))</f>
        <v/>
      </c>
      <c r="AK49" s="24" t="str" cm="1">
        <f t="array" ref="AK49">IF('PBA Summary'!$D$2="","",_xll.ASAssetStatistic($A49,"Beta to Benchmark 1 Last 5 years",'PBA Summary'!$D$2,,,"m",'PBA Summary'!$F$2,'PBA Summary'!$G$2))</f>
        <v/>
      </c>
      <c r="AL49" s="25" cm="1">
        <f t="array" ref="AL49">IF('PBA Summary'!$D$3="","",_xll.ASAssetStatistic($A49,"Beta to Benchmark 1",'PBA Summary'!$D$3,,,"m",'PBA Summary'!$F$2,'PBA Summary'!$G$2))</f>
        <v>-0.21094976723675185</v>
      </c>
      <c r="AM49" s="25" t="str" cm="1">
        <f t="array" ref="AM49">IF('PBA Summary'!$D$3="","",_xll.ASAssetStatistic($A49,"Beta to Benchmark 1 Last 3 years",'PBA Summary'!$D$3,,,"m",'PBA Summary'!$F$2,'PBA Summary'!$G$2))</f>
        <v/>
      </c>
      <c r="AN49" s="25" t="str" cm="1">
        <f t="array" ref="AN49">IF('PBA Summary'!$D$3="","",_xll.ASAssetStatistic($A49,"Beta to Benchmark 1 Last 5 years",'PBA Summary'!$D$3,,,"m",'PBA Summary'!$F$2,'PBA Summary'!$G$2))</f>
        <v/>
      </c>
      <c r="AO49" s="25" cm="1">
        <f t="array" ref="AO49">IF('PBA Summary'!$D$2="","",_xll.ASAssetStatistic($A49,"Bull Beta to Benchmark 1",'PBA Summary'!$D$2,,,"m",'PBA Summary'!$F$2,'PBA Summary'!$G$2))</f>
        <v>-1.717745322323839</v>
      </c>
      <c r="AP49" s="25" cm="1">
        <f t="array" ref="AP49">IF('PBA Summary'!$D$2="","",_xll.ASAssetStatistic($A49,"Bear Beta to Benchmark 1",'PBA Summary'!$D$2,,,"m",'PBA Summary'!$F$2,'PBA Summary'!$G$2))</f>
        <v>-0.23833908424227007</v>
      </c>
      <c r="AQ49" s="25" cm="1">
        <f t="array" ref="AQ49">IF('PBA Summary'!$D$3="","",_xll.ASAssetStatistic($A49,"Bull Beta to Benchmark 1",'PBA Summary'!$D$3,,,"m",'PBA Summary'!$F$2,'PBA Summary'!$G$2))</f>
        <v>-1.717745322323839</v>
      </c>
      <c r="AR49" s="25" cm="1">
        <f t="array" ref="AR49">IF('PBA Summary'!$D$3="","",_xll.ASAssetStatistic($A49,"Bear Beta to Benchmark 1",'PBA Summary'!$D$3,,,"m",'PBA Summary'!$F$2,'PBA Summary'!$G$2))</f>
        <v>-0.23833908424227007</v>
      </c>
      <c r="AS49" s="25" cm="1">
        <f t="array" ref="AS49">_xll.ASAssetStatistic($A49,"Annual Sharpe Ratio (Rf)",,,'PBA Summary'!$H$2,"m",'PBA Summary'!$F$2,'PBA Summary'!$G$2)</f>
        <v>0.11204735328710476</v>
      </c>
      <c r="AT49" s="25" t="str" cm="1">
        <f t="array" ref="AT49">_xll.ASAssetStatistic($A49,"Annual Sharpe Ratio (Rf) Last 3 years",,,'PBA Summary'!$H$2,"m",'PBA Summary'!$F$2,'PBA Summary'!$G$2)</f>
        <v/>
      </c>
      <c r="AU49" s="25" t="str" cm="1">
        <f t="array" ref="AU49">_xll.ASAssetStatistic($A49,"Annual Sharpe Ratio (Rf) Last 5 years",,,'PBA Summary'!$H$2,"m",'PBA Summary'!$F$2,'PBA Summary'!$G$2)</f>
        <v/>
      </c>
      <c r="AV49" s="18" cm="1">
        <f t="array" ref="AV49">_xll.ASAssetStatistic($A49,"Ann. Downside Deviation (vs 0%)",,,'PBA Summary'!$H$2,"m",'PBA Summary'!$F$2,'PBA Summary'!$G$2)</f>
        <v>0.15689522653994148</v>
      </c>
      <c r="AW49" s="18" cm="1">
        <f t="array" ref="AW49">_xll.ASAssetStatistic($A49,"Ann. Downside Deviation (vs Rf)",,,'PBA Summary'!$H$2,"m",'PBA Summary'!$F$2,'PBA Summary'!$G$2)</f>
        <v>0.15731585328993575</v>
      </c>
      <c r="AX49" s="39" cm="1">
        <f t="array" ref="AX49">_xll.ASAssetStatistic($A49,"Annual Treynor ratio",,,'PBA Summary'!$H$2,"m",'PBA Summary'!$F$2,'PBA Summary'!$G$2)</f>
        <v>2.587004622253895E-2</v>
      </c>
      <c r="AY49" s="26" cm="1">
        <f t="array" ref="AY49">_xll.ASAssetStatistic($A49,"Annual Sortino Ratio (vs 0%)",,,'PBA Summary'!$H$2,"m",'PBA Summary'!$F$2,'PBA Summary'!$G$2)</f>
        <v>0.19368692180650635</v>
      </c>
      <c r="AZ49" s="26" cm="1">
        <f t="array" ref="AZ49">_xll.ASAssetStatistic($A49,"Annual Sortino Ratio (vs Rf)",,,'PBA Summary'!$H$2,"m",'PBA Summary'!$F$2,'PBA Summary'!$G$2)</f>
        <v>0.17727745100970005</v>
      </c>
      <c r="BA49" s="26" cm="1">
        <f t="array" ref="BA49">_xll.ASAssetStatistic($A49,"Sterling ratio",,,'PBA Summary'!$H$2,"m",'PBA Summary'!$F$2,'PBA Summary'!$G$2)</f>
        <v>9.7771982444456798E-2</v>
      </c>
      <c r="BB49" s="26" cm="1">
        <f t="array" ref="BB49">_xll.ASAssetStatistic($A49,"Calmar ratio",,,'PBA Summary'!$H$2,"m",'PBA Summary'!$F$2,'PBA Summary'!$G$2)</f>
        <v>0.14415108000669752</v>
      </c>
      <c r="BC49" s="26" cm="1">
        <f t="array" ref="BC49">_xll.ASAssetStatistic($A49,"Hurst index",,,'PBA Summary'!$H$2,"m",'PBA Summary'!$F$2,'PBA Summary'!$G$2)</f>
        <v>0.44569985732554113</v>
      </c>
      <c r="BD49" s="26" cm="1">
        <f t="array" ref="BD49">_xll.ASAssetStatistic($A49,"Omega (Threshold 1)",,,'PBA Summary'!$H$2,"m",'PBA Summary'!$F$2,'PBA Summary'!$G$2)</f>
        <v>1.1850984438237118</v>
      </c>
      <c r="BE49" s="26" cm="1">
        <f t="array" ref="BE49">_xll.ASAssetStatistic($A49,"Omega (Threshold 2)",,,'PBA Summary'!$H$2,"m",'PBA Summary'!$F$2,'PBA Summary'!$G$2)</f>
        <v>0.99614993653405526</v>
      </c>
      <c r="BF49" s="26" cm="1">
        <f t="array" ref="BF49">_xll.ASAssetStatistic($A49,"Omega (Threshold 3)",,,'PBA Summary'!$H$2,"m",'PBA Summary'!$F$2,'PBA Summary'!$G$2)</f>
        <v>0.83894957784513435</v>
      </c>
      <c r="BG49" s="26" cm="1">
        <f t="array" ref="BG49">_xll.ASAssetStatistic($A49,"Omega (Threshold 4)",,,'PBA Summary'!$H$2,"m",'PBA Summary'!$F$2,'PBA Summary'!$G$2)</f>
        <v>0.70611577243857815</v>
      </c>
      <c r="BH49" s="26" cm="1">
        <f t="array" ref="BH49">_xll.ASAssetStatistic($A49,"Omega (Threshold 5)",,,'PBA Summary'!$H$2,"m",'PBA Summary'!$F$2,'PBA Summary'!$G$2)</f>
        <v>0.59239067249126098</v>
      </c>
      <c r="BI49" s="26" t="str" cm="1">
        <f t="array" ref="BI49">_xll.ASAssetStatistic($A49,"Autocorrelated (illiquid)",,,'PBA Summary'!$H$2,"m",'PBA Summary'!$F$2,'PBA Summary'!$G$2)</f>
        <v>No</v>
      </c>
      <c r="BJ49" s="27" cm="1">
        <f t="array" ref="BJ49">_xll.ASAssetStatistic($A49,"% months in Run Up",,,'PBA Summary'!$H$2,"m",'PBA Summary'!$F$2,'PBA Summary'!$G$2)</f>
        <v>0.53333333333333333</v>
      </c>
      <c r="BK49" s="27" cm="1">
        <f t="array" ref="BK49">_xll.ASAssetStatistic($A49,"% months in Drawdown",,,'PBA Summary'!$H$2,"m",'PBA Summary'!$F$2,'PBA Summary'!$G$2)</f>
        <v>0.46666666666666667</v>
      </c>
      <c r="BL49" s="18" cm="1">
        <f t="array" ref="BL49">IF('PBA Summary'!$D$2="","",_xll.ASAssetStatistic($A49,"Bull Beta to Benchmark 1",'PBA Summary'!$D$2,,,"m",'PBA Summary'!$F$2,'PBA Summary'!$G$2))</f>
        <v>-1.717745322323839</v>
      </c>
      <c r="BM49" s="18" cm="1">
        <f t="array" ref="BM49">IF('PBA Summary'!$D$2="","",_xll.ASAssetStatistic($A49,"Average return during bear Benchmark 1",'PBA Summary'!$D$2,,,"m",'PBA Summary'!$F$2,'PBA Summary'!$G$2))</f>
        <v>-6.3705105766076464E-3</v>
      </c>
      <c r="BN49" s="18" cm="1">
        <f t="array" ref="BN49">IF('PBA Summary'!$D$3="","",_xll.ASAssetStatistic($A49,"Average return during bull Benchmark 1",'PBA Summary'!$D$3,,,"m",'PBA Summary'!$F$2,'PBA Summary'!$G$2))</f>
        <v>8.9820871309011958E-3</v>
      </c>
      <c r="BO49" s="18" cm="1">
        <f t="array" ref="BO49">IF('PBA Summary'!$D$3="","",_xll.ASAssetStatistic($A49,"Average return during bear Benchmark 1",'PBA Summary'!$D$3,,,"m",'PBA Summary'!$F$2,'PBA Summary'!$G$2))</f>
        <v>-6.3705105766076464E-3</v>
      </c>
      <c r="BP49" s="27" cm="1">
        <f t="array" ref="BP49">_xll.ASAssetStatistic($A49,"Maximum consecutive gain",,,'PBA Summary'!$H$2,"m",'PBA Summary'!$F$2,'PBA Summary'!$G$2)</f>
        <v>0.14926084883166424</v>
      </c>
      <c r="BQ49" s="27" cm="1">
        <f t="array" ref="BQ49">_xll.ASAssetStatistic($A49,"Maximum consecutive loss",,,'PBA Summary'!$H$2,"m",'PBA Summary'!$F$2,'PBA Summary'!$G$2)</f>
        <v>-0.21081044604899113</v>
      </c>
      <c r="BR49" s="27" cm="1">
        <f t="array" ref="BR49">_xll.ASAssetStatistic($A49,"Max monthly gain",,,'PBA Summary'!$H$2,"m",'PBA Summary'!$F$2,'PBA Summary'!$G$2)</f>
        <v>0.14926084883166424</v>
      </c>
      <c r="BS49" s="27" cm="1">
        <f t="array" ref="BS49">_xll.ASAssetStatistic($A49,"Max monthly loss",,,'PBA Summary'!$H$2,"m",'PBA Summary'!$F$2,'PBA Summary'!$G$2)</f>
        <v>-0.10219179976491743</v>
      </c>
      <c r="BT49" s="27" cm="1">
        <f t="array" ref="BT49">_xll.ASAssetStatistic($A49,"Max drawdown",,,'PBA Summary'!$H$2,"m",'PBA Summary'!$F$2,'PBA Summary'!$G$2)</f>
        <v>-0.21081044604899135</v>
      </c>
      <c r="BU49" s="28" cm="1">
        <f t="array" ref="BU49">_xll.ASAssetStatistic($A49,"Date Max drawdown",,,'PBA Summary'!$H$2,"m",'PBA Summary'!$F$2,'PBA Summary'!$G$2)</f>
        <v>43708</v>
      </c>
      <c r="BV49" s="28" cm="1">
        <f t="array" ref="BV49">_xll.ASAssetStatistic($A49,"Start Date Max Drawdown",,,'PBA Summary'!$H$2,"m",'PBA Summary'!$F$2,'PBA Summary'!$G$2)</f>
        <v>43646</v>
      </c>
      <c r="BW49" s="28" t="str" cm="1">
        <f t="array" ref="BW49">_xll.ASAssetStatistic($A49,"End Date Max Drawdown",,,'PBA Summary'!$H$2,"m",'PBA Summary'!$F$2,'PBA Summary'!$G$2)</f>
        <v/>
      </c>
      <c r="BX49" s="29" cm="1">
        <f t="array" ref="BX49">_xll.ASAssetStatistic($A49,"Max Time-under-water (months)",,,'PBA Summary'!$H$2,"m",'PBA Summary'!$F$2,'PBA Summary'!$G$2)</f>
        <v>8</v>
      </c>
      <c r="BY49" s="27" cm="1">
        <f t="array" ref="BY49">_xll.ASAssetStatistic($A49,"Max possible drawdown 99%",,,'PBA Summary'!$H$2,"m",'PBA Summary'!$F$2,'PBA Summary'!$G$2)</f>
        <v>-1</v>
      </c>
      <c r="BZ49" s="27" cm="1">
        <f t="array" ref="BZ49">_xll.ASAssetStatistic($A49,"Max possible drawdown 99.9%",,,'PBA Summary'!$H$2,"m",'PBA Summary'!$F$2,'PBA Summary'!$G$2)</f>
        <v>-1</v>
      </c>
      <c r="CA49" s="30" cm="1">
        <f t="array" ref="CA49">_xll.ASAssetStatistic($A49,"Max Possible Time-under-water 99% (months)",,,'PBA Summary'!$H$2,"m",'PBA Summary'!$F$2,'PBA Summary'!$G$2)</f>
        <v>1169.3475115500387</v>
      </c>
      <c r="CB49" s="30" cm="1">
        <f t="array" ref="CB49">_xll.ASAssetStatistic($A49,"Max Possible Time-under-water 99.9% (months)",,,'PBA Summary'!$H$2,"m",'PBA Summary'!$F$2,'PBA Summary'!$G$2)</f>
        <v>2063.367265682451</v>
      </c>
      <c r="CC49" s="17" cm="1">
        <f t="array" ref="CC49">_xll.ASPortfolioReturnAttribution('PBA Summary'!$C$2,"OR",A49,"Last 1m",'PBA Summary'!$F$2,'PBA Summary'!$G$2)</f>
        <v>3.3456065465762045E-3</v>
      </c>
      <c r="CD49" s="11" t="str" cm="1">
        <f t="array" ref="CD49">_xll.ASAssetInfo($A49,"Strategy")</f>
        <v>Funds - Equities Long Only</v>
      </c>
      <c r="CE49" s="14" cm="1">
        <f t="array" ref="CE49">_xll.ASAssetInfo($A49,"Start Date")</f>
        <v>41029</v>
      </c>
      <c r="CF49" s="14" t="str" cm="1">
        <f t="array" ref="CF49">_xll.ASAssetRatings($A49,"Quantitative",0,0,0,0,0,'PBA Summary'!$F$2,'PBA Summary'!$G$2)</f>
        <v/>
      </c>
      <c r="CG49" s="14" t="str" cm="1">
        <f t="array" ref="CG49">_xll.ASAssetRatings($A49,"Qualitative",0,0,0,0,0,'PBA Summary'!$F$2,'PBA Summary'!$G$2)</f>
        <v/>
      </c>
      <c r="CH49" s="14" t="str" cm="1">
        <f t="array" ref="CH49">_xll.ASAssetRatings($A49,"Final",0,0,0,0,0,'PBA Summary'!$F$2,'PBA Summary'!$G$2)</f>
        <v/>
      </c>
      <c r="CI49" s="14" cm="1">
        <f t="array" ref="CI49">_xll.ASAssetInfo($A49,"Last Return Date")</f>
        <v>44074</v>
      </c>
      <c r="CJ49" s="14" t="str" cm="1">
        <f t="array" ref="CJ49">_xll.ASAssetInfo($A49,"Company Name")</f>
        <v>Lighthouse Canton Pte Ltd/Sing</v>
      </c>
      <c r="CK49" s="14" t="str" cm="1">
        <f t="array" ref="CK49">_xll.ASAssetInfo($A49,"Manager Name")</f>
        <v/>
      </c>
      <c r="CL49" s="14" t="str" cm="1">
        <f t="array" ref="CL49">_xll.ASAssetInfo($A49,"Address")</f>
        <v>#07-01 Royal One Phillip. 1 Phillip Street. Singapore 048692</v>
      </c>
      <c r="CM49" s="14" t="str" cm="1">
        <f t="array" ref="CM49">_xll.ASAssetInfo($A49,"Phone Number")</f>
        <v>+65 67130572</v>
      </c>
      <c r="CN49" s="14" t="str" cm="1">
        <f t="array" ref="CN49">_xll.ASAssetInfo($A49,"Email")</f>
        <v/>
      </c>
      <c r="CO49" s="14" t="str" cm="1">
        <f t="array" ref="CO49">_xll.ASAssetInfo($A49,"Asset Type")</f>
        <v>Equities</v>
      </c>
      <c r="CP49" s="14" t="str" cm="1">
        <f t="array" ref="CP49">_xll.ASAssetInfo($A49,"Proprietary ID")</f>
        <v/>
      </c>
      <c r="CQ49" s="14" t="str" cm="1">
        <f t="array" ref="CQ49">_xll.ASAssetInfo($A49,"Country")</f>
        <v>Singapore</v>
      </c>
      <c r="CR49" s="14" t="str" cm="1">
        <f t="array" ref="CR49">_xll.ASAssetInfo($A49,"Currency")</f>
        <v>USD</v>
      </c>
      <c r="CS49" s="14" t="str" cm="1">
        <f t="array" ref="CS49">_xll.ASAssetInfo($A49,"Sub-Strategy")</f>
        <v>India Mid Cap</v>
      </c>
      <c r="CT49" s="31" cm="1">
        <f t="array" ref="CT49">_xll.ASAssetInfo($A49,"Fund AUM (m)")</f>
        <v>25</v>
      </c>
      <c r="CU49" s="31" t="str" cm="1">
        <f t="array" ref="CU49">_xll.ASAssetInfo($A49,"Status")</f>
        <v>Unknown</v>
      </c>
      <c r="CV49" s="31" t="str" cm="1">
        <f t="array" ref="CV49">_xll.ASAssetInfo($A49,"Redemption 1 Frequency")</f>
        <v>Weekly</v>
      </c>
      <c r="CW49" s="31" t="str" cm="1">
        <f t="array" ref="CW49">_xll.ASAssetInfo($A49,"Redemption 2 Frequency")</f>
        <v>Unknown</v>
      </c>
      <c r="CX49" s="31" t="str" cm="1">
        <f t="array" ref="CX49">_xll.ASAssetInfo($A49,"Redemption 3 Frequency")</f>
        <v>Unknown</v>
      </c>
      <c r="CY49" s="31" t="str" cm="1">
        <f t="array" ref="CY49">_xll.ASAssetInfo($A49,"Notice Period")</f>
        <v>21 Days</v>
      </c>
      <c r="CZ49" s="15" cm="1">
        <f t="array" ref="CZ49">_xll.ASAssetInfo($A49,"Performance Fee")</f>
        <v>0.2</v>
      </c>
      <c r="DA49" s="15" cm="1">
        <f t="array" ref="DA49">_xll.ASAssetInfo($A49,"Management Fee")</f>
        <v>0.01</v>
      </c>
      <c r="DB49" s="15" t="str" cm="1">
        <f t="array" ref="DB49">_xll.ASAssetInfo($A49,"ISIN")</f>
        <v>KYG7777A1067</v>
      </c>
      <c r="DC49" s="16" cm="1">
        <f t="array" ref="DC49">_xll.ASAssetStatistic($A49,"Return during " &amp;YEAR(EOMONTH('PBA Summary'!$G$2,-60)),,,,"M",DATE(YEAR(EOMONTH('PBA Summary'!$G$2,-60)),1,31),DATE(YEAR(EOMONTH('PBA Summary'!$G$2,-60)),12,31))</f>
        <v>0.13234651229823235</v>
      </c>
      <c r="DD49" s="16" cm="1">
        <f t="array" ref="DD49">_xll.ASAssetStatistic($A49,"Return during " &amp;YEAR(EOMONTH('PBA Summary'!$G$2,-48)),,,,"M",DATE(YEAR(EOMONTH('PBA Summary'!$G$2,-48)),1,31),DATE(YEAR(EOMONTH('PBA Summary'!$G$2,-48)),12,31))</f>
        <v>5.0688084918177445E-2</v>
      </c>
      <c r="DE49" s="16" cm="1">
        <f t="array" ref="DE49">_xll.ASAssetStatistic($A49,"Return during " &amp;YEAR(EOMONTH('PBA Summary'!$G$2,-36)),,,,"M",DATE(YEAR(EOMONTH('PBA Summary'!$G$2,-36)),1,31),DATE(YEAR(EOMONTH('PBA Summary'!$G$2,-36)),12,31))</f>
        <v>0.53643863870745956</v>
      </c>
      <c r="DF49" s="16" cm="1">
        <f t="array" ref="DF49">_xll.ASAssetStatistic($A49,"Return during " &amp;YEAR(EOMONTH('PBA Summary'!$G$2,-24)),,,,"M",DATE(YEAR(EOMONTH('PBA Summary'!$G$2,-24)),1,31),DATE(YEAR(EOMONTH('PBA Summary'!$G$2,-24)),12,31))</f>
        <v>-0.22429801991274179</v>
      </c>
      <c r="DG49" s="16" cm="1">
        <f t="array" ref="DG49">_xll.ASAssetStatistic($A49,"Return during " &amp;YEAR(EOMONTH('PBA Summary'!$G$2,-12)),,,,"M",DATE(YEAR(EOMONTH('PBA Summary'!$G$2,-12)),1,31),DATE(YEAR(EOMONTH('PBA Summary'!$G$2,-12)),12,31))</f>
        <v>-3.8073262186328227E-2</v>
      </c>
      <c r="DH49" s="11" t="str" cm="1">
        <f t="array" ref="DH49">_xll.ASAssetInfo($A49,"Prime Broker")</f>
        <v/>
      </c>
      <c r="DI49" s="16" cm="1">
        <f t="array" ref="DI49">_xll.ASAssetStatistic($A49,"Return",,,,"m",'PBA Summary'!$F$2,'PBA Summary'!$G$2)</f>
        <v>3.8128901255922054E-2</v>
      </c>
      <c r="DJ49" s="33" cm="1">
        <f t="array" ref="DJ49">IF('PBA Summary'!$D$2="","",_xll.ASAssetStatistic($A49,"Ann. Information Ratio vs Benchmark 1",'PBA Summary'!$D$2,,,"m",'PBA Summary'!$F$2,'PBA Summary'!$G$2))</f>
        <v>-0.45933948866012286</v>
      </c>
      <c r="DK49" s="33" cm="1">
        <f t="array" ref="DK49">IF('PBA Summary'!$D$3="","",_xll.ASAssetStatistic($A49,"Ann. Information Ratio vs Benchmark 1",'PBA Summary'!$D$3,,,"m",'PBA Summary'!$F$2,'PBA Summary'!$G$2))</f>
        <v>-0.45933948866012286</v>
      </c>
      <c r="DL49" s="33" cm="1">
        <f t="array" ref="DL49">IF('PBA Summary'!$D$2="","",_xll.ASAssetStatistic($A49,"Ann. Tracking Error vs Benchmark 1",'PBA Summary'!$D$2,,,"m",'PBA Summary'!$F$2,'PBA Summary'!$G$2))</f>
        <v>0.30897361157865655</v>
      </c>
      <c r="DM49" s="33" cm="1">
        <f t="array" ref="DM49">IF('PBA Summary'!$D$3="","",_xll.ASAssetStatistic($A49,"Ann. Tracking Error vs Benchmark 1",'PBA Summary'!$D$3,,,"m",'PBA Summary'!$F$2,'PBA Summary'!$G$2))</f>
        <v>0.30897361157865655</v>
      </c>
      <c r="DN49" s="33" cm="1">
        <f t="array" ref="DN49">IF('PBA Summary'!$D$2="","",_xll.ASAssetStatistic($A49,"R² vs Benchmark 1",'PBA Summary'!$D$2,,,"m",'PBA Summary'!$F$2,'PBA Summary'!$G$2))</f>
        <v>1.6930191215450481E-2</v>
      </c>
      <c r="DO49" s="33" cm="1">
        <f t="array" ref="DO49">IF('PBA Summary'!$D$3="","",_xll.ASAssetStatistic($A49,"R² vs Benchmark 1",'PBA Summary'!$D$3,,,"m",'PBA Summary'!$F$2,'PBA Summary'!$G$2))</f>
        <v>1.6930191215450481E-2</v>
      </c>
      <c r="DP49" s="11" t="str" cm="1">
        <f t="array" ref="DP49">_xll.ASAssetInfo($A49,"On-/Offshore")</f>
        <v>Unknown</v>
      </c>
      <c r="DQ49" s="16" cm="1">
        <f t="array" ref="DQ49">_xll.ASAssetStatistic($A49,"Quarter-to-date",,,,"m",'PBA Summary'!$F$2,'PBA Summary'!$G$2)</f>
        <v>3.4782608695651973E-2</v>
      </c>
      <c r="DR49" s="16" cm="1">
        <f t="array" ref="DR49">_xll.ASAssetStatistic($A49,"Annualized Return Since inception",,,,"m",'PBA Summary'!$F$2,'PBA Summary'!$G$2)</f>
        <v>0.16477466953795994</v>
      </c>
      <c r="DS49" s="16" cm="1">
        <f t="array" ref="DS49">IF('PBA Summary'!$D$2="","",_xll.ASAssetStatistic($A49,"Ann. Bear Market Return vs Benchmark 1",'PBA Summary'!$D$2,,,"m",'PBA Summary'!$F$2,'PBA Summary'!$G$2))</f>
        <v>-9.6901820390733029E-2</v>
      </c>
      <c r="DT49" s="16" cm="1">
        <f t="array" ref="DT49">IF('PBA Summary'!$D$2="","",_xll.ASAssetStatistic($A49,"Ann. Bull Market Return vs Benchmark 1",'PBA Summary'!$D$2,,,"m",'PBA Summary'!$F$2,'PBA Summary'!$G$2))</f>
        <v>8.0998389200109377E-2</v>
      </c>
      <c r="DU49" s="16" cm="1">
        <f t="array" ref="DU49">IF('PBA Summary'!$D$3="","",_xll.ASAssetStatistic($A49,"Ann. Bear Market Return vs Benchmark 1",'PBA Summary'!$D$3,,,"m",'PBA Summary'!$F$2,'PBA Summary'!$G$2))</f>
        <v>-9.6901820390733029E-2</v>
      </c>
      <c r="DV49" s="16" cm="1">
        <f t="array" ref="DV49">IF('PBA Summary'!$D$3="","",_xll.ASAssetStatistic($A49,"Ann. Bull Market Return vs Benchmark 1",'PBA Summary'!$D$3,,,"m",'PBA Summary'!$F$2,'PBA Summary'!$G$2))</f>
        <v>8.0998389200109377E-2</v>
      </c>
      <c r="DW49" s="17" cm="1">
        <f t="array" ref="DW49">_xll.ASAssetStatistic($A49,"Average Positive Return",,,,"m",'PBA Summary'!$F$2,'PBA Summary'!$G$2)</f>
        <v>6.7062772354705702E-2</v>
      </c>
      <c r="DX49" s="17" cm="1">
        <f t="array" ref="DX49">_xll.ASAssetStatistic($A49,"Average Negative Return",,,,"m",'PBA Summary'!$F$2,'PBA Summary'!$G$2)</f>
        <v>-4.9514811293682168E-2</v>
      </c>
      <c r="DY49" s="16" cm="1">
        <f t="array" ref="DY49">IF('PBA Summary'!$D$2="","",_xll.ASAssetStatistic($A49,"Outperformance vs Benchmark 1",'PBA Summary'!$D$2,,,"m",'PBA Summary'!$F$2,'PBA Summary'!$G$2))</f>
        <v>-0.1817147435527966</v>
      </c>
      <c r="DZ49" s="16" cm="1">
        <f t="array" ref="DZ49">IF('PBA Summary'!$D$3="","",_xll.ASAssetStatistic($A49,"Outperformance vs Benchmark 1",'PBA Summary'!$D$3,,,"m",'PBA Summary'!$F$2,'PBA Summary'!$G$2))</f>
        <v>-0.1817147435527966</v>
      </c>
      <c r="EA49" s="16" cm="1">
        <f t="array" ref="EA49">IF('PBA Summary'!$D$2="","",_xll.ASAssetStatistic($A49,"Annual Outperformance vs Benchmark 1",'PBA Summary'!$D$2,,,"m",'PBA Summary'!$F$2,'PBA Summary'!$G$2))</f>
        <v>-0.14192378075201151</v>
      </c>
      <c r="EB49" s="16" cm="1">
        <f t="array" ref="EB49">IF('PBA Summary'!$D$3="","",_xll.ASAssetStatistic($A49,"Annual Outperformance vs Benchmark 1",'PBA Summary'!$D$3,,,"m",'PBA Summary'!$F$2,'PBA Summary'!$G$2))</f>
        <v>-0.14192378075201151</v>
      </c>
      <c r="EC49" s="32" cm="1">
        <f t="array" ref="EC49">_xll.ASAssetStatistic($A49,"Rachev Ratio 99%",,,,"m",'PBA Summary'!$F$2,'PBA Summary'!$G$2)</f>
        <v>-1.4605951668825159</v>
      </c>
      <c r="ED49" s="32" cm="1">
        <f t="array" ref="ED49">_xll.ASAssetStatistic($A49,"Rachev Ratio 97%",,,,"m",'PBA Summary'!$F$2,'PBA Summary'!$G$2)</f>
        <v>-1.4605951668825159</v>
      </c>
      <c r="EE49" s="32" cm="1">
        <f t="array" ref="EE49">_xll.ASAssetStatistic($A49,"Rachev Ratio 95%",,,,"m",'PBA Summary'!$F$2,'PBA Summary'!$G$2)</f>
        <v>-1.4605951668825159</v>
      </c>
      <c r="EF49" s="32" cm="1">
        <f t="array" ref="EF49">_xll.ASAssetStatistic($A49,"Rachev Ratio 90%",,,,"m",'PBA Summary'!$F$2,'PBA Summary'!$G$2)</f>
        <v>-1.1309423142469111</v>
      </c>
      <c r="EG49" s="34" cm="1">
        <f t="array" ref="EG49">IF('PBA Summary'!$D$2="","",_xll.ASAssetStatistic($A49,"Annual Up Capture vs Benchmark 1",'PBA Summary'!$D$2,,,"m",'PBA Summary'!$F$2,'PBA Summary'!$G$2))</f>
        <v>0.16001013524725122</v>
      </c>
      <c r="EH49" s="34" cm="1">
        <f t="array" ref="EH49">IF('PBA Summary'!$D$3="","",_xll.ASAssetStatistic($A49,"Annual Up Capture vs Benchmark 1",'PBA Summary'!$D$3,,,"m",'PBA Summary'!$F$2,'PBA Summary'!$G$2))</f>
        <v>0.16001013524725122</v>
      </c>
      <c r="EI49" s="34" cm="1">
        <f t="array" ref="EI49">IF('PBA Summary'!$D$2="","",_xll.ASAssetStatistic($A49,"Annual Down Capture vs Benchmark 1",'PBA Summary'!$D$2,,,"m",'PBA Summary'!$F$2,'PBA Summary'!$G$2))</f>
        <v>0.23547082909604516</v>
      </c>
      <c r="EJ49" s="34" cm="1">
        <f t="array" ref="EJ49">IF('PBA Summary'!$D$3="","",_xll.ASAssetStatistic($A49,"Annual Down Capture vs Benchmark 1",'PBA Summary'!$D$3,,,"m",'PBA Summary'!$F$2,'PBA Summary'!$G$2))</f>
        <v>0.23547082909604516</v>
      </c>
      <c r="EK49" s="16" cm="1">
        <f t="array" ref="EK49">IF('PBA Summary'!$D$2="","",_xll.ASAssetStatistic($A49,"Ann. Tracking Error vs Benchmark 1",'PBA Summary'!$D$2,,,"m",'PBA Summary'!$F$2,'PBA Summary'!$G$2))</f>
        <v>0.30897361157865655</v>
      </c>
      <c r="EL49" s="16" cm="1">
        <f t="array" ref="EL49">IF('PBA Summary'!$D$3="","",_xll.ASAssetStatistic($A49,"Ann. Tracking Error vs Benchmark 1",'PBA Summary'!$D$3,,,"m",'PBA Summary'!$F$2,'PBA Summary'!$G$2))</f>
        <v>0.30897361157865655</v>
      </c>
      <c r="EM49" s="16" cm="1">
        <f t="array" ref="EM49">IF('PBA Summary'!$D$2="","",_xll.ASAssetStatistic($A49,"Annual Jensen Alpha vs Benchmark 1 (Rf)",'PBA Summary'!$D$2,,,"m",'PBA Summary'!$F$2,'PBA Summary'!$G$2))</f>
        <v>6.3710425853700708E-2</v>
      </c>
      <c r="EN49" s="16" cm="1">
        <f t="array" ref="EN49">IF('PBA Summary'!$D$3="","",_xll.ASAssetStatistic($A49,"Annual Jensen Alpha vs Benchmark 1 (Rf)",'PBA Summary'!$D$3,,,"m",'PBA Summary'!$F$2,'PBA Summary'!$G$2))</f>
        <v>6.3710425853700708E-2</v>
      </c>
      <c r="EO49" s="33" cm="1">
        <f t="array" ref="EO49">IF('PBA Summary'!$D$2="","",_xll.ASAssetStatistic($A49,"Ann. Information Ratio vs Benchmark 1",'PBA Summary'!$D$2,,,"m",'PBA Summary'!$F$2,'PBA Summary'!$G$2))</f>
        <v>-0.45933948866012286</v>
      </c>
      <c r="EP49" s="33" cm="1">
        <f t="array" ref="EP49">IF('PBA Summary'!$D$3="","",_xll.ASAssetStatistic($A49,"Ann. Information Ratio vs Benchmark 1",'PBA Summary'!$D$3,,,"m",'PBA Summary'!$F$2,'PBA Summary'!$G$2))</f>
        <v>-0.45933948866012286</v>
      </c>
      <c r="EQ49" s="17" cm="1">
        <f t="array" ref="EQ49">IF('PBA Summary'!$D$2="","",_xll.ASAssetStatistic($A49,"Alpha Monthly vs Benchmark 1",'PBA Summary'!$D$2,,,"m",'PBA Summary'!$F$2,'PBA Summary'!$G$2))</f>
        <v>7.8977820086863285E-3</v>
      </c>
      <c r="ER49" s="17" cm="1">
        <f t="array" ref="ER49">IF('PBA Summary'!$D$3="","",_xll.ASAssetStatistic($A49,"Alpha Monthly vs Benchmark 1",'PBA Summary'!$D$3,,,"m",'PBA Summary'!$F$2,'PBA Summary'!$G$2))</f>
        <v>7.8977820086863285E-3</v>
      </c>
      <c r="ES49" s="11" t="str" cm="1">
        <f t="array" ref="ES49">_xll.ASAssetInfo($A49,"Company AUM (m)")</f>
        <v/>
      </c>
      <c r="ET49" s="16" cm="1">
        <f t="array" ref="ET49">_xll.ASAssetStatistic($A49,"Exponential Annualized Volatility",,,,"m",'PBA Summary'!$F$2,'PBA Summary'!$G$2)</f>
        <v>0.23025092365072697</v>
      </c>
      <c r="EU49" s="16" cm="1">
        <f t="array" ref="EU49">_xll.ASAssetStatistic($A49,"Exponential Annualized Volatility Last 1 year",,,,"m",'PBA Summary'!$F$2,'PBA Summary'!$G$2)</f>
        <v>0.22918167899527486</v>
      </c>
      <c r="EV49" s="16" t="str" cm="1">
        <f t="array" ref="EV49">_xll.ASAssetStatistic($A49,"Exponential Annualized Volatility Last 3 years",,,,"m",'PBA Summary'!$F$2,'PBA Summary'!$G$2)</f>
        <v/>
      </c>
      <c r="EW49" s="34" cm="1">
        <f t="array" ref="EW49">IF('PBA Summary'!$D$2="","",_xll.ASAssetStatistic($A49,"Exponential Correlation to Benchmark 1",'PBA Summary'!$D$2,,,"m",'PBA Summary'!$F$2,'PBA Summary'!$G$2))</f>
        <v>-9.797775361648077E-2</v>
      </c>
      <c r="EX49" s="34" cm="1">
        <f t="array" ref="EX49">IF('PBA Summary'!$D$3="","",_xll.ASAssetStatistic($A49,"Exponential Correlation to Benchmark 1",'PBA Summary'!$D$3,,,"m",'PBA Summary'!$F$2,'PBA Summary'!$G$2))</f>
        <v>-9.797775361648077E-2</v>
      </c>
      <c r="EY49" s="34" cm="1">
        <f t="array" ref="EY49">_xll.ASAssetStatistic($A49,"Exponential Annual Sharpe Ratio (Rf)",,,,"m",'PBA Summary'!$F$2,'PBA Summary'!$G$2)</f>
        <v>0.3832701281219883</v>
      </c>
      <c r="EZ49" s="34" cm="1">
        <f t="array" ref="EZ49">_xll.ASAssetStatistic($A49,"Exponential Normal Monthly VaR 99%",,,,"m",'PBA Summary'!$F$2,'PBA Summary'!$G$2)</f>
        <v>-0.14736210360422683</v>
      </c>
      <c r="FA49" s="34" cm="1">
        <f t="array" ref="FA49">_xll.ASAssetStatistic($A49,"Exponential Normal Monthly VaR 97%",,,,"m",'PBA Summary'!$F$2,'PBA Summary'!$G$2)</f>
        <v>-0.11774712902920413</v>
      </c>
      <c r="FB49" s="34" cm="1">
        <f t="array" ref="FB49">_xll.ASAssetStatistic($A49,"Exponential Normal Monthly VaR 95%",,,,"m",'PBA Summary'!$F$2,'PBA Summary'!$G$2)</f>
        <v>-0.1020647372771874</v>
      </c>
      <c r="FC49" s="34" cm="1">
        <f t="array" ref="FC49">_xll.ASAssetStatistic($A49,"Exponential Normal Monthly VaR 90%",,,,"m",'PBA Summary'!$F$2,'PBA Summary'!$G$2)</f>
        <v>-7.7916878900977829E-2</v>
      </c>
      <c r="FD49" s="34" t="str" cm="1">
        <f t="array" ref="FD49">_xll.ASAssetStatistic($A49,"Exponential Normal weekly VaR 99%",,,,"m",'PBA Summary'!$F$2,'PBA Summary'!$G$2)</f>
        <v/>
      </c>
      <c r="FE49" s="34" t="str" cm="1">
        <f t="array" ref="FE49">_xll.ASAssetStatistic($A49,"Exponential Normal weekly VaR 97%",,,,"m",'PBA Summary'!$F$2,'PBA Summary'!$G$2)</f>
        <v/>
      </c>
      <c r="FF49" s="34" t="str" cm="1">
        <f t="array" ref="FF49">_xll.ASAssetStatistic($A49,"Exponential Normal weekly VaR 95%",,,,"m",'PBA Summary'!$F$2,'PBA Summary'!$G$2)</f>
        <v/>
      </c>
      <c r="FG49" s="34" t="str" cm="1">
        <f t="array" ref="FG49">_xll.ASAssetStatistic($A49,"Exponential Normal weekly VaR 90%",,,,"m",'PBA Summary'!$F$2,'PBA Summary'!$G$2)</f>
        <v/>
      </c>
      <c r="FH49" s="34" t="str" cm="1">
        <f t="array" ref="FH49">_xll.ASAssetStatistic($A49,"Exponential Normal daily VaR 99%",,,,"m",'PBA Summary'!$F$2,'PBA Summary'!$G$2)</f>
        <v/>
      </c>
      <c r="FI49" s="34" t="str" cm="1">
        <f t="array" ref="FI49">_xll.ASAssetStatistic($A49,"Exponential Normal daily VaR 97%",,,,"m",'PBA Summary'!$F$2,'PBA Summary'!$G$2)</f>
        <v/>
      </c>
      <c r="FJ49" s="34" t="str" cm="1">
        <f t="array" ref="FJ49">_xll.ASAssetStatistic($A49,"Exponential Normal daily VaR 95%",,,,"m",'PBA Summary'!$F$2,'PBA Summary'!$G$2)</f>
        <v/>
      </c>
      <c r="FK49" s="34" t="str" cm="1">
        <f t="array" ref="FK49">_xll.ASAssetStatistic($A49,"Exponential Normal daily VaR 90%",,,,"m",'PBA Summary'!$F$2,'PBA Summary'!$G$2)</f>
        <v/>
      </c>
      <c r="FL49" s="34" cm="1">
        <f t="array" ref="FL49">_xll.ASAssetStatistic($A49,"Bias Ratio",,,,"m",'PBA Summary'!$F$2,'PBA Summary'!$G$2)</f>
        <v>0.66666666666666663</v>
      </c>
      <c r="FM49" s="11" t="str" cm="1">
        <f t="array" ref="FM49">_xll.ASAssetInfo($A49,"Manager's Biography")</f>
        <v/>
      </c>
      <c r="FN49" s="11" cm="1">
        <f t="array" ref="FN49">_xll.ASAssetInfo($A49,"Investment Min")</f>
        <v>250000</v>
      </c>
      <c r="FO49" s="11" t="str" cm="1">
        <f t="array" ref="FO49">_xll.ASAssetInfo($A49,"Auditor")</f>
        <v>PricewaterhouseCoopers/Costa Rica</v>
      </c>
      <c r="FP49" s="11" t="str" cm="1">
        <f t="array" ref="FP49">_xll.ASAssetInfo($A49,"Custodian")</f>
        <v>DBS Bank Ltd</v>
      </c>
      <c r="FQ49" s="11" t="str" cm="1">
        <f t="array" ref="FQ49">_xll.ASAssetInfo($A49,"Administrator")</f>
        <v>Wells Fargo Global Fund Services LLC</v>
      </c>
      <c r="FR49" s="14" cm="1">
        <f t="array" ref="FR49">_xll.ASAssetInfo($A49,"Proxy 1 Start Date")</f>
        <v>41000</v>
      </c>
      <c r="FS49" s="14" cm="1">
        <f t="array" ref="FS49">_xll.ASAssetInfo($A49,"Proxy 1 End Date")</f>
        <v>41943</v>
      </c>
      <c r="FT49" s="14" t="str" cm="1">
        <f t="array" ref="FT49">_xll.ASAssetInfo($A49,"Proxy 2 Start Date")</f>
        <v/>
      </c>
      <c r="FU49" s="14" t="str" cm="1">
        <f t="array" ref="FU49">_xll.ASAssetInfo($A49,"Proxy 2 End Date")</f>
        <v/>
      </c>
      <c r="FV49" s="14" t="str" cm="1">
        <f t="array" ref="FV49">_xll.ASAssetInfo($A49,"Proxy 3 Start Date")</f>
        <v/>
      </c>
      <c r="FW49" s="14" t="str" cm="1">
        <f t="array" ref="FW49">_xll.ASAssetInfo($A49,"Proxy 3 End Date")</f>
        <v/>
      </c>
      <c r="FX49" s="14" t="str" cm="1">
        <f t="array" ref="FX49">_xll.ASAssetInfo($A49,"Fund Domicile")</f>
        <v>KY</v>
      </c>
      <c r="FY49" s="14" t="str" cm="1">
        <f t="array" ref="FY49">_xll.ASAssetInfo($A49,"Fund Contact")</f>
        <v/>
      </c>
      <c r="FZ49" s="14" t="str" cm="1">
        <f t="array" ref="FZ49">_xll.ASAssetInfo($A49,"Fund Contact Email")</f>
        <v/>
      </c>
      <c r="GA49" s="14" t="str" cm="1">
        <f t="array" ref="GA49">_xll.ASAssetInfo($A49,"Fund Contact Number")</f>
        <v/>
      </c>
      <c r="GB49" s="14" t="str" cm="1">
        <f t="array" ref="GB49">_xll.ASAssetInfo($A49,"City")</f>
        <v>Singapore</v>
      </c>
      <c r="GC49" s="14" t="str" cm="1">
        <f t="array" ref="GC49">_xll.ASAssetInfo($A49,"Leverage")</f>
        <v>N</v>
      </c>
      <c r="GD49" s="14" t="str" cm="1">
        <f t="array" ref="GD49">_xll.ASAssetInfo($A49,"Lockup 1 Duration")</f>
        <v>12 Months</v>
      </c>
      <c r="GE49" s="14" t="str" cm="1">
        <f t="array" ref="GE49">_xll.ASAssetInfo($A49,"Lockup 2 Duration")</f>
        <v>0 Months</v>
      </c>
      <c r="GF49" s="14" t="str" cm="1">
        <f t="array" ref="GF49">_xll.ASAssetInfo($A49,"Lockup 3 Duration")</f>
        <v>0 Months</v>
      </c>
      <c r="GG49" s="31" t="str" cm="1">
        <f t="array" ref="GG49">_xll.ASAssetInfo($A49,"Fund Level Gate")</f>
        <v/>
      </c>
      <c r="GH49" s="31" t="str" cm="1">
        <f t="array" ref="GH49">_xll.ASAssetInfo($A49,"Fund Level Gate Frequency")</f>
        <v>Unknown</v>
      </c>
      <c r="GI49" s="35" cm="1">
        <f t="array" ref="GI49">_xll.ASAssetInfo($A49,"Payment 2 (%)")</f>
        <v>0</v>
      </c>
      <c r="GJ49" s="35" t="str" cm="1">
        <f t="array" ref="GJ49">_xll.ASAssetInfo($A49,"Payment 2 (days)")</f>
        <v/>
      </c>
      <c r="GK49" s="35" t="str" cm="1">
        <f t="array" ref="GK49">_xll.ASAssetInfo($A49,"Payment 2 (Paid After)")</f>
        <v>NAV Date</v>
      </c>
      <c r="GL49" s="35" cm="1">
        <f t="array" ref="GL49">_xll.ASAssetInfo($A49,"Payment 3 (%)")</f>
        <v>0</v>
      </c>
      <c r="GM49" s="36" t="str" cm="1">
        <f t="array" ref="GM49">_xll.ASAssetInfo($A49,"Payment 3 (Days)")</f>
        <v/>
      </c>
      <c r="GN49" s="35" t="str" cm="1">
        <f t="array" ref="GN49">_xll.ASAssetInfo($A49,"Payment 3 (Paid After)")</f>
        <v>NAV Date</v>
      </c>
      <c r="GO49" s="35" cm="1">
        <f t="array" ref="GO49">_xll.ASAssetInfo($A49,"Payment 4 (%)")</f>
        <v>0</v>
      </c>
      <c r="GP49" s="36" t="str" cm="1">
        <f t="array" ref="GP49">_xll.ASAssetInfo($A49,"Payment 4 (days)")</f>
        <v/>
      </c>
      <c r="GQ49" s="35" t="str" cm="1">
        <f t="array" ref="GQ49">_xll.ASAssetInfo($A49,"Payment 4 (Paid After)")</f>
        <v>NAV Date</v>
      </c>
      <c r="GR49" s="11" cm="1">
        <f t="array" ref="GR49">_xll.ASAssetInfo($A49,"Payment 1 (%)")</f>
        <v>1</v>
      </c>
      <c r="GS49" s="35" cm="1">
        <f t="array" ref="GS49">_xll.ASAssetInfo($A49,"Lockup 1 Fee")</f>
        <v>0.01</v>
      </c>
      <c r="GT49" s="35" cm="1">
        <f t="array" ref="GT49">_xll.ASAssetInfo($A49,"Lockup 2 Fee")</f>
        <v>0</v>
      </c>
      <c r="GU49" s="35" cm="1">
        <f t="array" ref="GU49">_xll.ASAssetInfo($A49,"Lockup 3 Fee")</f>
        <v>0</v>
      </c>
      <c r="GV49" s="35" t="str" cm="1">
        <f t="array" ref="GV49">_xll.ASAssetInfo($A49,"Lockup 1 type")</f>
        <v>Soft</v>
      </c>
      <c r="GW49" s="35" t="str" cm="1">
        <f t="array" ref="GW49">_xll.ASAssetInfo($A49,"Lockup 2 type")</f>
        <v>None</v>
      </c>
      <c r="GX49" s="35" t="str" cm="1">
        <f t="array" ref="GX49">_xll.ASAssetInfo($A49,"Lockup 3 type")</f>
        <v>None</v>
      </c>
      <c r="GY49" s="35" t="str" cm="1">
        <f t="array" ref="GY49">_xll.ASAssetInfo($A49,"Redemption 1 type")</f>
        <v>Calendar</v>
      </c>
      <c r="GZ49" s="35" t="str" cm="1">
        <f t="array" ref="GZ49">_xll.ASAssetInfo($A49,"Redemption 2 type")</f>
        <v>Calendar</v>
      </c>
      <c r="HA49" s="35" t="str" cm="1">
        <f t="array" ref="HA49">_xll.ASAssetInfo($A49,"Redemption 3 type")</f>
        <v>Calendar</v>
      </c>
      <c r="HB49" s="35" t="str" cm="1">
        <f t="array" ref="HB49">_xll.ASAssetInfo($A49,"Redemption 1 Fee")</f>
        <v/>
      </c>
      <c r="HC49" s="35" t="str" cm="1">
        <f t="array" ref="HC49">_xll.ASAssetInfo($A49,"Redemption 2 Fee")</f>
        <v/>
      </c>
      <c r="HD49" s="35" t="str" cm="1">
        <f t="array" ref="HD49">_xll.ASAssetInfo($A49,"Redemption 3 Fee")</f>
        <v/>
      </c>
      <c r="HE49" s="35" t="str" cm="1">
        <f t="array" ref="HE49">_xll.ASAssetInfo($A49,"Redemption 1 Frequency")</f>
        <v>Weekly</v>
      </c>
      <c r="HF49" s="35" t="str" cm="1">
        <f t="array" ref="HF49">_xll.ASAssetInfo($A49,"Redemption 2 Frequency")</f>
        <v>Unknown</v>
      </c>
      <c r="HG49" s="35" t="str" cm="1">
        <f t="array" ref="HG49">_xll.ASAssetInfo($A49,"Redemption 3 Frequency")</f>
        <v>Unknown</v>
      </c>
      <c r="HH49" s="35" t="str" cm="1">
        <f t="array" ref="HH49">_xll.ASAssetInfo($A49,"Asset Calendar")</f>
        <v>[Default]</v>
      </c>
      <c r="HI49" s="16" cm="1">
        <f t="array" ref="HI49">_xll.ASAssetStatistic($A49,"Max Second Drawdown",,,,"m",'PBA Summary'!$F$2,'PBA Summary'!$G$2)</f>
        <v>-0.11872242067661276</v>
      </c>
      <c r="HJ49" s="37" cm="1">
        <f t="array" ref="HJ49">_xll.ASAssetStatistic($A49,"Date Max Second Drawdown",,,,"m",'PBA Summary'!$F$2,'PBA Summary'!$G$2)</f>
        <v>43524</v>
      </c>
      <c r="HK49" s="37"/>
      <c r="HL49" s="37" t="str" cm="1">
        <f t="array" ref="HL49">_xll.ASAssetInfo($A49,HL$1)</f>
        <v/>
      </c>
      <c r="HM49" s="34" t="str" cm="1">
        <f t="array" ref="HM49">_xll.ASAssetInfo($A49,HM$1)</f>
        <v/>
      </c>
      <c r="HN49" s="37" t="str" cm="1">
        <f t="array" ref="HN49">_xll.ASAssetInfo($A49,HN$1)</f>
        <v/>
      </c>
      <c r="HO49" s="15" cm="1">
        <f t="array" ref="HO49">_xll.ASAssetInfo($A49,HO$1)</f>
        <v>0</v>
      </c>
      <c r="HP49" s="15" t="str" cm="1">
        <f t="array" ref="HP49">_xll.ASAssetInfo($A49,HP$1)</f>
        <v/>
      </c>
      <c r="HQ49" s="34" t="str" cm="1">
        <f t="array" ref="HQ49">_xll.ASAssetInfo($A49,HQ$1)</f>
        <v/>
      </c>
      <c r="HR49" s="37" t="str" cm="1">
        <f t="array" ref="HR49">_xll.ASAssetInfo($A49,HR$1)</f>
        <v/>
      </c>
      <c r="HS49" s="37" t="str" cm="1">
        <f t="array" ref="HS49">_xll.ASAssetInfo($A49,HS$1)</f>
        <v/>
      </c>
      <c r="HT49" s="37" t="str" cm="1">
        <f t="array" ref="HT49">_xll.ASAssetInfo($A49,HT$1)</f>
        <v/>
      </c>
      <c r="HU49" s="37" t="str" cm="1">
        <f t="array" ref="HU49">_xll.ASAssetInfo($A49,HU$1)</f>
        <v>Asia Pacific</v>
      </c>
      <c r="HV49" s="37" t="str" cm="1">
        <f t="array" ref="HV49">_xll.ASAssetInfo($A49,HV$1)</f>
        <v/>
      </c>
      <c r="HW49" s="37" t="str" cm="1">
        <f t="array" ref="HW49">_xll.ASAssetInfo($A49,HW$1)</f>
        <v/>
      </c>
    </row>
    <row r="50" spans="1:231" s="11" customFormat="1" ht="45" x14ac:dyDescent="0.25">
      <c r="A50" t="s">
        <v>328</v>
      </c>
      <c r="B50" cm="1">
        <f t="array" ref="B50">_xll.ASPortfolioWeights('PBA Summary'!$C$2,"OR",$A50)</f>
        <v>0</v>
      </c>
      <c r="C50" cm="1">
        <f t="array" ref="C50">_xll.ASAssetStatistic($A50,"Annualized Return since inception",,,,"m",_xll.ASAssetInfo($A50,"Start Date"),_xll.ASAssetInfo($A50,"Last Return Date"))</f>
        <v>4.3050116045545206E-2</v>
      </c>
      <c r="D50" cm="1">
        <f t="array" ref="D50">_xll.ASAssetStatistic($A50,"Annualized Return",,,,"m",'PBA Summary'!$F$2,'PBA Summary'!$G$2)</f>
        <v>1.154041469924505E-2</v>
      </c>
      <c r="E50" s="19" cm="1">
        <f t="array" ref="E50">_xll.ASAssetStatistic($A50,"Equilibrium Annual Return",,,,"m",'PBA Summary'!$F$2,'PBA Summary'!$G$2)</f>
        <v>-0.29976946148062855</v>
      </c>
      <c r="F50" cm="1">
        <f t="array" ref="F50">_xll.ASAssetStatistic($A50,"Annualized Volatility (Inception)",,,,"m",_xll.ASAssetInfo($A50,"Start Date"),_xll.ASAssetInfo($A50,"Last Return Date"))</f>
        <v>4.1172266386204866E-2</v>
      </c>
      <c r="G50" cm="1">
        <f t="array" ref="G50">_xll.ASAssetStatistic($A50,"Annualized Volatility",,,,"m",'PBA Summary'!$F$2,'PBA Summary'!$G$2)</f>
        <v>8.8741625441944319E-2</v>
      </c>
      <c r="H50" s="20" cm="1">
        <f t="array" ref="H50">_xll.ASAssetStatistic($A50,"Skewness",,,,"m",'PBA Summary'!$F$2,'PBA Summary'!$G$2)</f>
        <v>-3.1769844964798901</v>
      </c>
      <c r="I50" s="20" cm="1">
        <f t="array" ref="I50">_xll.ASAssetStatistic($A50,"Excess kurtosis",,,,"m",'PBA Summary'!$F$2,'PBA Summary'!$G$2)</f>
        <v>11.747619264619335</v>
      </c>
      <c r="J50" s="19" cm="1">
        <f t="array" ref="J50">_xll.ASAssetStatistic($A50,"Return Last 1 month",,,,"m",'PBA Summary'!$F$2,'PBA Summary'!$G$2)</f>
        <v>-8.6692556477753868E-2</v>
      </c>
      <c r="K50" s="19" cm="1">
        <f t="array" ref="K50">_xll.ASAssetStatistic($A50,"Return Last 3 months",,,,"m",'PBA Summary'!$F$2,'PBA Summary'!$G$2)</f>
        <v>-7.4099022440315632E-2</v>
      </c>
      <c r="L50" s="19" cm="1">
        <f t="array" ref="L50">_xll.ASAssetStatistic($A50,"Return Last 1 year",,,,"m",'PBA Summary'!$F$2,'PBA Summary'!$G$2)</f>
        <v>-1.1507920658000659E-2</v>
      </c>
      <c r="M50" s="19" cm="1">
        <f t="array" ref="M50">_xll.ASAssetStatistic($A50,"Year-to-date Return",,,,"m",'PBA Summary'!$F$2,'PBA Summary'!$G$2)</f>
        <v>-8.6692556477753868E-2</v>
      </c>
      <c r="N50" s="19" cm="1">
        <f t="array" ref="N50">_xll.ASAssetStatistic($A50,"Annualized Return",,,,"m",EOMONTH('PBA Summary'!$G$2,-2),'PBA Summary'!$G$2)</f>
        <v>-0.26504936327178341</v>
      </c>
      <c r="O50" s="19" t="str" cm="1">
        <f t="array" ref="O50">_xll.ASAssetStatistic($A50,"Annualized Return Last 3 years",,,,"m",'PBA Summary'!$F$2,'PBA Summary'!$G$2)</f>
        <v/>
      </c>
      <c r="P50" s="19" t="str" cm="1">
        <f t="array" ref="P50">_xll.ASAssetStatistic($A50,"Annualized Return Last 5 years",,,,"m",'PBA Summary'!$F$2,'PBA Summary'!$G$2)</f>
        <v/>
      </c>
      <c r="Q50" s="19" cm="1">
        <f t="array" ref="Q50">_xll.ASAssetStatistic($A50,"Annualized Volatility Last 1 year",,,,"m",'PBA Summary'!$F$2,'PBA Summary'!$G$2)</f>
        <v>9.4417015452602046E-2</v>
      </c>
      <c r="R50" s="19" t="str" cm="1">
        <f t="array" ref="R50">_xll.ASAssetStatistic($A50,"Annualized Volatility Last 3 years",,,,"m",'PBA Summary'!$F$2,'PBA Summary'!$G$2)</f>
        <v/>
      </c>
      <c r="S50" s="19" t="str" cm="1">
        <f t="array" ref="S50">_xll.ASAssetStatistic($A50,"Annualized Volatility Last 5 years",,,,"m",'PBA Summary'!$F$2,'PBA Summary'!$G$2)</f>
        <v/>
      </c>
      <c r="T50" s="19" cm="1">
        <f t="array" ref="T50">_xll.ASAssetStatistic($A50,"Normal monthly VaR 99%",,,,"m",'PBA Summary'!$F$2,'PBA Summary'!$G$2)</f>
        <v>-5.8317307030965035E-2</v>
      </c>
      <c r="U50" s="19" cm="1">
        <f t="array" ref="U50">_xll.ASAssetStatistic($A50,"Modified monthly VaR 99%",,,,"m",'PBA Summary'!$F$2,'PBA Summary'!$G$2)</f>
        <v>-9.1212030436314581E-2</v>
      </c>
      <c r="V50" s="19" cm="1">
        <f t="array" ref="V50">_xll.ASAssetStatistic($A50,"Conditional monthly VaR 99%",,,,"m",'PBA Summary'!$F$2,'PBA Summary'!$G$2)</f>
        <v>-8.6692556477753868E-2</v>
      </c>
      <c r="W50" s="19" cm="1">
        <f t="array" ref="W50">_xll.ASAssetStatistic($A50,"Normal monthly VaR 97%",,,,"m",'PBA Summary'!$F$2,'PBA Summary'!$G$2)</f>
        <v>-4.690332032663385E-2</v>
      </c>
      <c r="X50" s="19" cm="1">
        <f t="array" ref="X50">_xll.ASAssetStatistic($A50,"Modified monthly VaR 97%",,,,"m",'PBA Summary'!$F$2,'PBA Summary'!$G$2)</f>
        <v>-6.5968151398458852E-2</v>
      </c>
      <c r="Y50" s="19" cm="1">
        <f t="array" ref="Y50">_xll.ASAssetStatistic($A50,"Conditional monthly VaR 97%",,,,"m",'PBA Summary'!$F$2,'PBA Summary'!$G$2)</f>
        <v>-8.6692556477753868E-2</v>
      </c>
      <c r="Z50" s="19" cm="1">
        <f t="array" ref="Z50">_xll.ASAssetStatistic($A50,"Normal monthly VaR 95%",,,,"m",'PBA Summary'!$F$2,'PBA Summary'!$G$2)</f>
        <v>-4.0859127700495337E-2</v>
      </c>
      <c r="AA50" s="19" cm="1">
        <f t="array" ref="AA50">_xll.ASAssetStatistic($A50,"Modified monthly VaR 95%",,,,"m",'PBA Summary'!$F$2,'PBA Summary'!$G$2)</f>
        <v>-5.3063992555839698E-2</v>
      </c>
      <c r="AB50" s="19" cm="1">
        <f t="array" ref="AB50">_xll.ASAssetStatistic($A50,"Conditional monthly VaR 95%",,,,"m",'PBA Summary'!$F$2,'PBA Summary'!$G$2)</f>
        <v>-8.6692556477753868E-2</v>
      </c>
      <c r="AC50" s="66" cm="1">
        <f t="array" ref="AC50">_xll.ASAssetStatistic($A50,"Correlation to Benchmark 1","MSCI ACWI Index",,,"m",'PBA Summary'!$F$2,'PBA Summary'!$G$2)</f>
        <v>0.34583318031094795</v>
      </c>
      <c r="AD50" s="38" cm="1">
        <f t="array" ref="AD50">IF('PBA Summary'!$D$3="","",_xll.ASAssetStatistic($A50,"Correlation to Benchmark 1",'PBA Summary'!$D$3,,,"m",'PBA Summary'!$F$2,'PBA Summary'!$G$2))</f>
        <v>0.27716340837017217</v>
      </c>
      <c r="AE50" s="21" cm="1">
        <f t="array" ref="AE50">IF('PBA Summary'!$D$2="","",_xll.ASAssetStatistic($A50,"Bull correlation to Benchmark 1",'PBA Summary'!$D$2,,,"m",'PBA Summary'!$F$2,'PBA Summary'!$G$2))</f>
        <v>0.69681935116006932</v>
      </c>
      <c r="AF50" s="21" cm="1">
        <f t="array" ref="AF50">IF('PBA Summary'!$D$2="","",_xll.ASAssetStatistic($A50,"Bear correlation to Benchmark 1",'PBA Summary'!$D$2,,,"m",'PBA Summary'!$F$2,'PBA Summary'!$G$2))</f>
        <v>-0.62318824865765765</v>
      </c>
      <c r="AG50" s="21" cm="1">
        <f t="array" ref="AG50">IF('PBA Summary'!$D$3="","",_xll.ASAssetStatistic($A50,"Bull correlation to Benchmark 1",'PBA Summary'!$D$3,,,"m",'PBA Summary'!$F$2,'PBA Summary'!$G$2))</f>
        <v>0.69681935116006932</v>
      </c>
      <c r="AH50" s="21" cm="1">
        <f t="array" ref="AH50">IF('PBA Summary'!$D$3="","",_xll.ASAssetStatistic($A50,"Bear correlation to Benchmark 1",'PBA Summary'!$D$3,,,"m",'PBA Summary'!$F$2,'PBA Summary'!$G$2))</f>
        <v>-0.62318824865765765</v>
      </c>
      <c r="AI50" s="24" cm="1">
        <f t="array" ref="AI50">IF('PBA Summary'!$D$2="","",_xll.ASAssetStatistic($A50,"Beta to Benchmark 1",'PBA Summary'!$D$2,,,"m",'PBA Summary'!$F$2,'PBA Summary'!$G$2))</f>
        <v>0.16020903519209609</v>
      </c>
      <c r="AJ50" s="24" t="str" cm="1">
        <f t="array" ref="AJ50">IF('PBA Summary'!$D$2="","",_xll.ASAssetStatistic($A50,"Beta to Benchmark 1 Last 3 years",'PBA Summary'!$D$2,,,"m",'PBA Summary'!$F$2,'PBA Summary'!$G$2))</f>
        <v/>
      </c>
      <c r="AK50" s="24" t="str" cm="1">
        <f t="array" ref="AK50">IF('PBA Summary'!$D$2="","",_xll.ASAssetStatistic($A50,"Beta to Benchmark 1 Last 5 years",'PBA Summary'!$D$2,,,"m",'PBA Summary'!$F$2,'PBA Summary'!$G$2))</f>
        <v/>
      </c>
      <c r="AL50" s="25" cm="1">
        <f t="array" ref="AL50">IF('PBA Summary'!$D$3="","",_xll.ASAssetStatistic($A50,"Beta to Benchmark 1",'PBA Summary'!$D$3,,,"m",'PBA Summary'!$F$2,'PBA Summary'!$G$2))</f>
        <v>0.16020903519209609</v>
      </c>
      <c r="AM50" s="25" t="str" cm="1">
        <f t="array" ref="AM50">IF('PBA Summary'!$D$3="","",_xll.ASAssetStatistic($A50,"Beta to Benchmark 1 Last 3 years",'PBA Summary'!$D$3,,,"m",'PBA Summary'!$F$2,'PBA Summary'!$G$2))</f>
        <v/>
      </c>
      <c r="AN50" s="25" t="str" cm="1">
        <f t="array" ref="AN50">IF('PBA Summary'!$D$3="","",_xll.ASAssetStatistic($A50,"Beta to Benchmark 1 Last 5 years",'PBA Summary'!$D$3,,,"m",'PBA Summary'!$F$2,'PBA Summary'!$G$2))</f>
        <v/>
      </c>
      <c r="AO50" s="25" cm="1">
        <f t="array" ref="AO50">IF('PBA Summary'!$D$2="","",_xll.ASAssetStatistic($A50,"Bull Beta to Benchmark 1",'PBA Summary'!$D$2,,,"m",'PBA Summary'!$F$2,'PBA Summary'!$G$2))</f>
        <v>0.2759502223919138</v>
      </c>
      <c r="AP50" s="25" cm="1">
        <f t="array" ref="AP50">IF('PBA Summary'!$D$2="","",_xll.ASAssetStatistic($A50,"Bear Beta to Benchmark 1",'PBA Summary'!$D$2,,,"m",'PBA Summary'!$F$2,'PBA Summary'!$G$2))</f>
        <v>-0.66781850573867219</v>
      </c>
      <c r="AQ50" s="25" cm="1">
        <f t="array" ref="AQ50">IF('PBA Summary'!$D$3="","",_xll.ASAssetStatistic($A50,"Bull Beta to Benchmark 1",'PBA Summary'!$D$3,,,"m",'PBA Summary'!$F$2,'PBA Summary'!$G$2))</f>
        <v>0.2759502223919138</v>
      </c>
      <c r="AR50" s="25" cm="1">
        <f t="array" ref="AR50">IF('PBA Summary'!$D$3="","",_xll.ASAssetStatistic($A50,"Bear Beta to Benchmark 1",'PBA Summary'!$D$3,,,"m",'PBA Summary'!$F$2,'PBA Summary'!$G$2))</f>
        <v>-0.66781850573867219</v>
      </c>
      <c r="AS50" s="25" cm="1">
        <f t="array" ref="AS50">_xll.ASAssetStatistic($A50,"Annual Sharpe Ratio (Rf)",,,'PBA Summary'!$H$2,"m",'PBA Summary'!$F$2,'PBA Summary'!$G$2)</f>
        <v>0.10187344049900665</v>
      </c>
      <c r="AT50" s="25" t="str" cm="1">
        <f t="array" ref="AT50">_xll.ASAssetStatistic($A50,"Annual Sharpe Ratio (Rf) Last 3 years",,,'PBA Summary'!$H$2,"m",'PBA Summary'!$F$2,'PBA Summary'!$G$2)</f>
        <v/>
      </c>
      <c r="AU50" s="25" t="str" cm="1">
        <f t="array" ref="AU50">_xll.ASAssetStatistic($A50,"Annual Sharpe Ratio (Rf) Last 5 years",,,'PBA Summary'!$H$2,"m",'PBA Summary'!$F$2,'PBA Summary'!$G$2)</f>
        <v/>
      </c>
      <c r="AV50" s="18" cm="1">
        <f t="array" ref="AV50">_xll.ASAssetStatistic($A50,"Ann. Downside Deviation (vs 0%)",,,'PBA Summary'!$H$2,"m",'PBA Summary'!$F$2,'PBA Summary'!$G$2)</f>
        <v>7.7626519236826688E-2</v>
      </c>
      <c r="AW50" s="18" cm="1">
        <f t="array" ref="AW50">_xll.ASAssetStatistic($A50,"Ann. Downside Deviation (vs Rf)",,,'PBA Summary'!$H$2,"m",'PBA Summary'!$F$2,'PBA Summary'!$G$2)</f>
        <v>7.7824651577104623E-2</v>
      </c>
      <c r="AX50" s="39" cm="1">
        <f t="array" ref="AX50">_xll.ASAssetStatistic($A50,"Annual Treynor ratio",,,'PBA Summary'!$H$2,"m",'PBA Summary'!$F$2,'PBA Summary'!$G$2)</f>
        <v>1.8635527825517202E-2</v>
      </c>
      <c r="AY50" s="26" cm="1">
        <f t="array" ref="AY50">_xll.ASAssetStatistic($A50,"Annual Sortino Ratio (vs 0%)",,,'PBA Summary'!$H$2,"m",'PBA Summary'!$F$2,'PBA Summary'!$G$2)</f>
        <v>0.14866587878347348</v>
      </c>
      <c r="AZ50" s="26" cm="1">
        <f t="array" ref="AZ50">_xll.ASAssetStatistic($A50,"Annual Sortino Ratio (vs Rf)",,,'PBA Summary'!$H$2,"m",'PBA Summary'!$F$2,'PBA Summary'!$G$2)</f>
        <v>0.11616389557861721</v>
      </c>
      <c r="BA50" s="26" cm="1">
        <f t="array" ref="BA50">_xll.ASAssetStatistic($A50,"Sterling ratio",,,'PBA Summary'!$H$2,"m",'PBA Summary'!$F$2,'PBA Summary'!$G$2)</f>
        <v>6.181507670671485E-2</v>
      </c>
      <c r="BB50" s="26" cm="1">
        <f t="array" ref="BB50">_xll.ASAssetStatistic($A50,"Calmar ratio",,,'PBA Summary'!$H$2,"m",'PBA Summary'!$F$2,'PBA Summary'!$G$2)</f>
        <v>0.13311886473444154</v>
      </c>
      <c r="BC50" s="26" cm="1">
        <f t="array" ref="BC50">_xll.ASAssetStatistic($A50,"Hurst index",,,'PBA Summary'!$H$2,"m",'PBA Summary'!$F$2,'PBA Summary'!$G$2)</f>
        <v>0.48793594222901965</v>
      </c>
      <c r="BD50" s="26" cm="1">
        <f t="array" ref="BD50">_xll.ASAssetStatistic($A50,"Omega (Threshold 1)",,,'PBA Summary'!$H$2,"m",'PBA Summary'!$F$2,'PBA Summary'!$G$2)</f>
        <v>1.2079180113278869</v>
      </c>
      <c r="BE50" s="26" cm="1">
        <f t="array" ref="BE50">_xll.ASAssetStatistic($A50,"Omega (Threshold 2)",,,'PBA Summary'!$H$2,"m",'PBA Summary'!$F$2,'PBA Summary'!$G$2)</f>
        <v>0.48817573946267862</v>
      </c>
      <c r="BF50" s="26" cm="1">
        <f t="array" ref="BF50">_xll.ASAssetStatistic($A50,"Omega (Threshold 3)",,,'PBA Summary'!$H$2,"m",'PBA Summary'!$F$2,'PBA Summary'!$G$2)</f>
        <v>0.16531148321716441</v>
      </c>
      <c r="BG50" s="26" cm="1">
        <f t="array" ref="BG50">_xll.ASAssetStatistic($A50,"Omega (Threshold 4)",,,'PBA Summary'!$H$2,"m",'PBA Summary'!$F$2,'PBA Summary'!$G$2)</f>
        <v>7.5983335160184587E-2</v>
      </c>
      <c r="BH50" s="26" cm="1">
        <f t="array" ref="BH50">_xll.ASAssetStatistic($A50,"Omega (Threshold 5)",,,'PBA Summary'!$H$2,"m",'PBA Summary'!$F$2,'PBA Summary'!$G$2)</f>
        <v>4.0736261088292799E-2</v>
      </c>
      <c r="BI50" s="26" t="str" cm="1">
        <f t="array" ref="BI50">_xll.ASAssetStatistic($A50,"Autocorrelated (illiquid)",,,'PBA Summary'!$H$2,"m",'PBA Summary'!$F$2,'PBA Summary'!$G$2)</f>
        <v>No</v>
      </c>
      <c r="BJ50" s="27" cm="1">
        <f t="array" ref="BJ50">_xll.ASAssetStatistic($A50,"% months in Run Up",,,'PBA Summary'!$H$2,"m",'PBA Summary'!$F$2,'PBA Summary'!$G$2)</f>
        <v>0.8</v>
      </c>
      <c r="BK50" s="27" cm="1">
        <f t="array" ref="BK50">_xll.ASAssetStatistic($A50,"% months in Drawdown",,,'PBA Summary'!$H$2,"m",'PBA Summary'!$F$2,'PBA Summary'!$G$2)</f>
        <v>0.2</v>
      </c>
      <c r="BL50" s="18" cm="1">
        <f t="array" ref="BL50">IF('PBA Summary'!$D$2="","",_xll.ASAssetStatistic($A50,"Bull Beta to Benchmark 1",'PBA Summary'!$D$2,,,"m",'PBA Summary'!$F$2,'PBA Summary'!$G$2))</f>
        <v>0.2759502223919138</v>
      </c>
      <c r="BM50" s="18" cm="1">
        <f t="array" ref="BM50">IF('PBA Summary'!$D$2="","",_xll.ASAssetStatistic($A50,"Average return during bear Benchmark 1",'PBA Summary'!$D$2,,,"m",'PBA Summary'!$F$2,'PBA Summary'!$G$2))</f>
        <v>-1.9997839794836797E-2</v>
      </c>
      <c r="BN50" s="18" cm="1">
        <f t="array" ref="BN50">IF('PBA Summary'!$D$3="","",_xll.ASAssetStatistic($A50,"Average return during bull Benchmark 1",'PBA Summary'!$D$3,,,"m",'PBA Summary'!$F$2,'PBA Summary'!$G$2))</f>
        <v>9.0145479086347919E-3</v>
      </c>
      <c r="BO50" s="18" cm="1">
        <f t="array" ref="BO50">IF('PBA Summary'!$D$3="","",_xll.ASAssetStatistic($A50,"Average return during bear Benchmark 1",'PBA Summary'!$D$3,,,"m",'PBA Summary'!$F$2,'PBA Summary'!$G$2))</f>
        <v>-1.9997839794836797E-2</v>
      </c>
      <c r="BP50" s="27" cm="1">
        <f t="array" ref="BP50">_xll.ASAssetStatistic($A50,"Maximum consecutive gain",,,'PBA Summary'!$H$2,"m",'PBA Summary'!$F$2,'PBA Summary'!$G$2)</f>
        <v>0.11687528544667902</v>
      </c>
      <c r="BQ50" s="27" cm="1">
        <f t="array" ref="BQ50">_xll.ASAssetStatistic($A50,"Maximum consecutive loss",,,'PBA Summary'!$H$2,"m",'PBA Summary'!$F$2,'PBA Summary'!$G$2)</f>
        <v>-8.6692556477753868E-2</v>
      </c>
      <c r="BR50" s="27" cm="1">
        <f t="array" ref="BR50">_xll.ASAssetStatistic($A50,"Max monthly gain",,,'PBA Summary'!$H$2,"m",'PBA Summary'!$F$2,'PBA Summary'!$G$2)</f>
        <v>3.1925832287389655E-2</v>
      </c>
      <c r="BS50" s="27" cm="1">
        <f t="array" ref="BS50">_xll.ASAssetStatistic($A50,"Max monthly loss",,,'PBA Summary'!$H$2,"m",'PBA Summary'!$F$2,'PBA Summary'!$G$2)</f>
        <v>-8.6692556477753868E-2</v>
      </c>
      <c r="BT50" s="27" cm="1">
        <f t="array" ref="BT50">_xll.ASAssetStatistic($A50,"Max drawdown",,,'PBA Summary'!$H$2,"m",'PBA Summary'!$F$2,'PBA Summary'!$G$2)</f>
        <v>-8.6692556477753868E-2</v>
      </c>
      <c r="BU50" s="28" cm="1">
        <f t="array" ref="BU50">_xll.ASAssetStatistic($A50,"Date Max drawdown",,,'PBA Summary'!$H$2,"m",'PBA Summary'!$F$2,'PBA Summary'!$G$2)</f>
        <v>43861</v>
      </c>
      <c r="BV50" s="28" cm="1">
        <f t="array" ref="BV50">_xll.ASAssetStatistic($A50,"Start Date Max Drawdown",,,'PBA Summary'!$H$2,"m",'PBA Summary'!$F$2,'PBA Summary'!$G$2)</f>
        <v>43861</v>
      </c>
      <c r="BW50" s="28" t="str" cm="1">
        <f t="array" ref="BW50">_xll.ASAssetStatistic($A50,"End Date Max Drawdown",,,'PBA Summary'!$H$2,"m",'PBA Summary'!$F$2,'PBA Summary'!$G$2)</f>
        <v/>
      </c>
      <c r="BX50" s="29" cm="1">
        <f t="array" ref="BX50">_xll.ASAssetStatistic($A50,"Max Time-under-water (months)",,,'PBA Summary'!$H$2,"m",'PBA Summary'!$F$2,'PBA Summary'!$G$2)</f>
        <v>2</v>
      </c>
      <c r="BY50" s="27" cm="1">
        <f t="array" ref="BY50">_xll.ASAssetStatistic($A50,"Max possible drawdown 99%",,,'PBA Summary'!$H$2,"m",'PBA Summary'!$F$2,'PBA Summary'!$G$2)</f>
        <v>-0.6948037681903515</v>
      </c>
      <c r="BZ50" s="27" cm="1">
        <f t="array" ref="BZ50">_xll.ASAssetStatistic($A50,"Max possible drawdown 99.9%",,,'PBA Summary'!$H$2,"m",'PBA Summary'!$F$2,'PBA Summary'!$G$2)</f>
        <v>-1</v>
      </c>
      <c r="CA50" s="30" cm="1">
        <f t="array" ref="CA50">_xll.ASAssetStatistic($A50,"Max Possible Time-under-water 99% (months)",,,'PBA Summary'!$H$2,"m",'PBA Summary'!$F$2,'PBA Summary'!$G$2)</f>
        <v>2174.8108158782306</v>
      </c>
      <c r="CB50" s="30" cm="1">
        <f t="array" ref="CB50">_xll.ASAssetStatistic($A50,"Max Possible Time-under-water 99.9% (months)",,,'PBA Summary'!$H$2,"m",'PBA Summary'!$F$2,'PBA Summary'!$G$2)</f>
        <v>3837.5533382603521</v>
      </c>
      <c r="CC50" s="17" cm="1">
        <f t="array" ref="CC50">_xll.ASPortfolioReturnAttribution('PBA Summary'!$C$2,"OR",A50,"Last 1m",'PBA Summary'!$F$2,'PBA Summary'!$G$2)</f>
        <v>0</v>
      </c>
      <c r="CD50" s="11" t="str" cm="1">
        <f t="array" ref="CD50">_xll.ASAssetInfo($A50,"Strategy")</f>
        <v>DIrect Holdings - Bonds</v>
      </c>
      <c r="CE50" s="14" cm="1">
        <f t="array" ref="CE50">_xll.ASAssetInfo($A50,"Start Date")</f>
        <v>36585</v>
      </c>
      <c r="CF50" s="14" t="str" cm="1">
        <f t="array" ref="CF50">_xll.ASAssetRatings($A50,"Quantitative",0,0,0,0,0,'PBA Summary'!$F$2,'PBA Summary'!$G$2)</f>
        <v/>
      </c>
      <c r="CG50" s="14" t="str" cm="1">
        <f t="array" ref="CG50">_xll.ASAssetRatings($A50,"Qualitative",0,0,0,0,0,'PBA Summary'!$F$2,'PBA Summary'!$G$2)</f>
        <v/>
      </c>
      <c r="CH50" s="14" t="str" cm="1">
        <f t="array" ref="CH50">_xll.ASAssetRatings($A50,"Final",0,0,0,0,0,'PBA Summary'!$F$2,'PBA Summary'!$G$2)</f>
        <v/>
      </c>
      <c r="CI50" s="14" cm="1">
        <f t="array" ref="CI50">_xll.ASAssetInfo($A50,"Last Return Date")</f>
        <v>44134</v>
      </c>
      <c r="CJ50" s="14" t="str" cm="1">
        <f t="array" ref="CJ50">_xll.ASAssetInfo($A50,"Company Name")</f>
        <v/>
      </c>
      <c r="CK50" s="14" t="str" cm="1">
        <f t="array" ref="CK50">_xll.ASAssetInfo($A50,"Manager Name")</f>
        <v/>
      </c>
      <c r="CL50" s="14" t="str" cm="1">
        <f t="array" ref="CL50">_xll.ASAssetInfo($A50,"Address")</f>
        <v/>
      </c>
      <c r="CM50" s="14" t="str" cm="1">
        <f t="array" ref="CM50">_xll.ASAssetInfo($A50,"Phone Number")</f>
        <v/>
      </c>
      <c r="CN50" s="14" t="str" cm="1">
        <f t="array" ref="CN50">_xll.ASAssetInfo($A50,"Email")</f>
        <v/>
      </c>
      <c r="CO50" s="14" t="str" cm="1">
        <f t="array" ref="CO50">_xll.ASAssetInfo($A50,"Asset Type")</f>
        <v>Fixed Income</v>
      </c>
      <c r="CP50" s="14" t="str" cm="1">
        <f t="array" ref="CP50">_xll.ASAssetInfo($A50,"Proprietary ID")</f>
        <v/>
      </c>
      <c r="CQ50" s="14" t="str" cm="1">
        <f t="array" ref="CQ50">_xll.ASAssetInfo($A50,"Country")</f>
        <v>[Not Classified]</v>
      </c>
      <c r="CR50" s="14" t="str" cm="1">
        <f t="array" ref="CR50">_xll.ASAssetInfo($A50,"Currency")</f>
        <v>USD</v>
      </c>
      <c r="CS50" s="14" t="str" cm="1">
        <f t="array" ref="CS50">_xll.ASAssetInfo($A50,"Sub-Strategy")</f>
        <v/>
      </c>
      <c r="CT50" s="31" t="str" cm="1">
        <f t="array" ref="CT50">_xll.ASAssetInfo($A50,"Fund AUM (m)")</f>
        <v/>
      </c>
      <c r="CU50" s="31" t="str" cm="1">
        <f t="array" ref="CU50">_xll.ASAssetInfo($A50,"Status")</f>
        <v>Unknown</v>
      </c>
      <c r="CV50" s="31" t="str" cm="1">
        <f t="array" ref="CV50">_xll.ASAssetInfo($A50,"Redemption 1 Frequency")</f>
        <v>Unknown</v>
      </c>
      <c r="CW50" s="31" t="str" cm="1">
        <f t="array" ref="CW50">_xll.ASAssetInfo($A50,"Redemption 2 Frequency")</f>
        <v>Unknown</v>
      </c>
      <c r="CX50" s="31" t="str" cm="1">
        <f t="array" ref="CX50">_xll.ASAssetInfo($A50,"Redemption 3 Frequency")</f>
        <v>Unknown</v>
      </c>
      <c r="CY50" s="31" t="str" cm="1">
        <f t="array" ref="CY50">_xll.ASAssetInfo($A50,"Notice Period")</f>
        <v/>
      </c>
      <c r="CZ50" s="15" t="str" cm="1">
        <f t="array" ref="CZ50">_xll.ASAssetInfo($A50,"Performance Fee")</f>
        <v/>
      </c>
      <c r="DA50" s="15" t="str" cm="1">
        <f t="array" ref="DA50">_xll.ASAssetInfo($A50,"Management Fee")</f>
        <v/>
      </c>
      <c r="DB50" s="15" t="str" cm="1">
        <f t="array" ref="DB50">_xll.ASAssetInfo($A50,"ISIN")</f>
        <v>XS1428468885</v>
      </c>
      <c r="DC50" s="16" cm="1">
        <f t="array" ref="DC50">_xll.ASAssetStatistic($A50,"Return during " &amp;YEAR(EOMONTH('PBA Summary'!$G$2,-60)),,,,"M",DATE(YEAR(EOMONTH('PBA Summary'!$G$2,-60)),1,31),DATE(YEAR(EOMONTH('PBA Summary'!$G$2,-60)),12,31))</f>
        <v>1.0169284810838786E-2</v>
      </c>
      <c r="DD50" s="16" cm="1">
        <f t="array" ref="DD50">_xll.ASAssetStatistic($A50,"Return during " &amp;YEAR(EOMONTH('PBA Summary'!$G$2,-48)),,,,"M",DATE(YEAR(EOMONTH('PBA Summary'!$G$2,-48)),1,31),DATE(YEAR(EOMONTH('PBA Summary'!$G$2,-48)),12,31))</f>
        <v>3.9485374137481211E-2</v>
      </c>
      <c r="DE50" s="16" cm="1">
        <f t="array" ref="DE50">_xll.ASAssetStatistic($A50,"Return during " &amp;YEAR(EOMONTH('PBA Summary'!$G$2,-36)),,,,"M",DATE(YEAR(EOMONTH('PBA Summary'!$G$2,-36)),1,31),DATE(YEAR(EOMONTH('PBA Summary'!$G$2,-36)),12,31))</f>
        <v>3.3135273172035129E-2</v>
      </c>
      <c r="DF50" s="16" cm="1">
        <f t="array" ref="DF50">_xll.ASAssetStatistic($A50,"Return during " &amp;YEAR(EOMONTH('PBA Summary'!$G$2,-24)),,,,"M",DATE(YEAR(EOMONTH('PBA Summary'!$G$2,-24)),1,31),DATE(YEAR(EOMONTH('PBA Summary'!$G$2,-24)),12,31))</f>
        <v>-2.7323921336819157E-2</v>
      </c>
      <c r="DG50" s="16" cm="1">
        <f t="array" ref="DG50">_xll.ASAssetStatistic($A50,"Return during " &amp;YEAR(EOMONTH('PBA Summary'!$G$2,-12)),,,,"M",DATE(YEAR(EOMONTH('PBA Summary'!$G$2,-12)),1,31),DATE(YEAR(EOMONTH('PBA Summary'!$G$2,-12)),12,31))</f>
        <v>0.11687528544667902</v>
      </c>
      <c r="DH50" s="11" t="str" cm="1">
        <f t="array" ref="DH50">_xll.ASAssetInfo($A50,"Prime Broker")</f>
        <v/>
      </c>
      <c r="DI50" s="16" cm="1">
        <f t="array" ref="DI50">_xll.ASAssetStatistic($A50,"Return",,,,"m",'PBA Summary'!$F$2,'PBA Summary'!$G$2)</f>
        <v>1.4446268195576151E-2</v>
      </c>
      <c r="DJ50" s="33" cm="1">
        <f t="array" ref="DJ50">IF('PBA Summary'!$D$2="","",_xll.ASAssetStatistic($A50,"Ann. Information Ratio vs Benchmark 1",'PBA Summary'!$D$2,,,"m",'PBA Summary'!$F$2,'PBA Summary'!$G$2))</f>
        <v>-1.040108951267583</v>
      </c>
      <c r="DK50" s="33" cm="1">
        <f t="array" ref="DK50">IF('PBA Summary'!$D$3="","",_xll.ASAssetStatistic($A50,"Ann. Information Ratio vs Benchmark 1",'PBA Summary'!$D$3,,,"m",'PBA Summary'!$F$2,'PBA Summary'!$G$2))</f>
        <v>-1.040108951267583</v>
      </c>
      <c r="DL50" s="33" cm="1">
        <f t="array" ref="DL50">IF('PBA Summary'!$D$2="","",_xll.ASAssetStatistic($A50,"Ann. Tracking Error vs Benchmark 1",'PBA Summary'!$D$2,,,"m",'PBA Summary'!$F$2,'PBA Summary'!$G$2))</f>
        <v>0.15457219104930223</v>
      </c>
      <c r="DM50" s="33" cm="1">
        <f t="array" ref="DM50">IF('PBA Summary'!$D$3="","",_xll.ASAssetStatistic($A50,"Ann. Tracking Error vs Benchmark 1",'PBA Summary'!$D$3,,,"m",'PBA Summary'!$F$2,'PBA Summary'!$G$2))</f>
        <v>0.15457219104930223</v>
      </c>
      <c r="DN50" s="33" cm="1">
        <f t="array" ref="DN50">IF('PBA Summary'!$D$2="","",_xll.ASAssetStatistic($A50,"R² vs Benchmark 1",'PBA Summary'!$D$2,,,"m",'PBA Summary'!$F$2,'PBA Summary'!$G$2))</f>
        <v>7.6819554939370829E-2</v>
      </c>
      <c r="DO50" s="33" cm="1">
        <f t="array" ref="DO50">IF('PBA Summary'!$D$3="","",_xll.ASAssetStatistic($A50,"R² vs Benchmark 1",'PBA Summary'!$D$3,,,"m",'PBA Summary'!$F$2,'PBA Summary'!$G$2))</f>
        <v>7.6819554939370829E-2</v>
      </c>
      <c r="DP50" s="11" t="str" cm="1">
        <f t="array" ref="DP50">_xll.ASAssetInfo($A50,"On-/Offshore")</f>
        <v>Unknown</v>
      </c>
      <c r="DQ50" s="16" cm="1">
        <f t="array" ref="DQ50">_xll.ASAssetStatistic($A50,"Quarter-to-date",,,,"m",'PBA Summary'!$F$2,'PBA Summary'!$G$2)</f>
        <v>-8.6692556477753868E-2</v>
      </c>
      <c r="DR50" s="16" cm="1">
        <f t="array" ref="DR50">_xll.ASAssetStatistic($A50,"Annualized Return Since inception",,,,"m",'PBA Summary'!$F$2,'PBA Summary'!$G$2)</f>
        <v>4.3050116045545206E-2</v>
      </c>
      <c r="DS50" s="16" cm="1">
        <f t="array" ref="DS50">IF('PBA Summary'!$D$2="","",_xll.ASAssetStatistic($A50,"Ann. Bear Market Return vs Benchmark 1",'PBA Summary'!$D$2,,,"m",'PBA Summary'!$F$2,'PBA Summary'!$G$2))</f>
        <v>-0.22279113587100774</v>
      </c>
      <c r="DT50" s="16" cm="1">
        <f t="array" ref="DT50">IF('PBA Summary'!$D$2="","",_xll.ASAssetStatistic($A50,"Ann. Bull Market Return vs Benchmark 1",'PBA Summary'!$D$2,,,"m",'PBA Summary'!$F$2,'PBA Summary'!$G$2))</f>
        <v>0.11326814496373538</v>
      </c>
      <c r="DU50" s="16" cm="1">
        <f t="array" ref="DU50">IF('PBA Summary'!$D$3="","",_xll.ASAssetStatistic($A50,"Ann. Bear Market Return vs Benchmark 1",'PBA Summary'!$D$3,,,"m",'PBA Summary'!$F$2,'PBA Summary'!$G$2))</f>
        <v>-0.22279113587100774</v>
      </c>
      <c r="DV50" s="16" cm="1">
        <f t="array" ref="DV50">IF('PBA Summary'!$D$3="","",_xll.ASAssetStatistic($A50,"Ann. Bull Market Return vs Benchmark 1",'PBA Summary'!$D$3,,,"m",'PBA Summary'!$F$2,'PBA Summary'!$G$2))</f>
        <v>0.11326814496373538</v>
      </c>
      <c r="DW50" s="17" cm="1">
        <f t="array" ref="DW50">_xll.ASAssetStatistic($A50,"Average Positive Return",,,,"m",'PBA Summary'!$F$2,'PBA Summary'!$G$2)</f>
        <v>9.2801720895459017E-3</v>
      </c>
      <c r="DX50" s="17" cm="1">
        <f t="array" ref="DX50">_xll.ASAssetStatistic($A50,"Average Negative Return",,,,"m",'PBA Summary'!$F$2,'PBA Summary'!$G$2)</f>
        <v>-3.0731132419638429E-2</v>
      </c>
      <c r="DY50" s="16" cm="1">
        <f t="array" ref="DY50">IF('PBA Summary'!$D$2="","",_xll.ASAssetStatistic($A50,"Outperformance vs Benchmark 1",'PBA Summary'!$D$2,,,"m",'PBA Summary'!$F$2,'PBA Summary'!$G$2))</f>
        <v>-0.2053973766131425</v>
      </c>
      <c r="DZ50" s="16" cm="1">
        <f t="array" ref="DZ50">IF('PBA Summary'!$D$3="","",_xll.ASAssetStatistic($A50,"Outperformance vs Benchmark 1",'PBA Summary'!$D$3,,,"m",'PBA Summary'!$F$2,'PBA Summary'!$G$2))</f>
        <v>-0.2053973766131425</v>
      </c>
      <c r="EA50" s="16" cm="1">
        <f t="array" ref="EA50">IF('PBA Summary'!$D$2="","",_xll.ASAssetStatistic($A50,"Annual Outperformance vs Benchmark 1",'PBA Summary'!$D$2,,,"m",'PBA Summary'!$F$2,'PBA Summary'!$G$2))</f>
        <v>-0.1607719195274222</v>
      </c>
      <c r="EB50" s="16" cm="1">
        <f t="array" ref="EB50">IF('PBA Summary'!$D$3="","",_xll.ASAssetStatistic($A50,"Annual Outperformance vs Benchmark 1",'PBA Summary'!$D$3,,,"m",'PBA Summary'!$F$2,'PBA Summary'!$G$2))</f>
        <v>-0.1607719195274222</v>
      </c>
      <c r="EC50" s="32" cm="1">
        <f t="array" ref="EC50">_xll.ASAssetStatistic($A50,"Rachev Ratio 99%",,,,"m",'PBA Summary'!$F$2,'PBA Summary'!$G$2)</f>
        <v>-0.36826497665439278</v>
      </c>
      <c r="ED50" s="32" cm="1">
        <f t="array" ref="ED50">_xll.ASAssetStatistic($A50,"Rachev Ratio 97%",,,,"m",'PBA Summary'!$F$2,'PBA Summary'!$G$2)</f>
        <v>-0.36826497665439278</v>
      </c>
      <c r="EE50" s="32" cm="1">
        <f t="array" ref="EE50">_xll.ASAssetStatistic($A50,"Rachev Ratio 95%",,,,"m",'PBA Summary'!$F$2,'PBA Summary'!$G$2)</f>
        <v>-0.36826497665439278</v>
      </c>
      <c r="EF50" s="32" cm="1">
        <f t="array" ref="EF50">_xll.ASAssetStatistic($A50,"Rachev Ratio 90%",,,,"m",'PBA Summary'!$F$2,'PBA Summary'!$G$2)</f>
        <v>-0.50782009905523395</v>
      </c>
      <c r="EG50" s="34" cm="1">
        <f t="array" ref="EG50">IF('PBA Summary'!$D$2="","",_xll.ASAssetStatistic($A50,"Annual Up Capture vs Benchmark 1",'PBA Summary'!$D$2,,,"m",'PBA Summary'!$F$2,'PBA Summary'!$G$2))</f>
        <v>0.22375816820352373</v>
      </c>
      <c r="EH50" s="34" cm="1">
        <f t="array" ref="EH50">IF('PBA Summary'!$D$3="","",_xll.ASAssetStatistic($A50,"Annual Up Capture vs Benchmark 1",'PBA Summary'!$D$3,,,"m",'PBA Summary'!$F$2,'PBA Summary'!$G$2))</f>
        <v>0.22375816820352373</v>
      </c>
      <c r="EI50" s="34" cm="1">
        <f t="array" ref="EI50">IF('PBA Summary'!$D$2="","",_xll.ASAssetStatistic($A50,"Annual Down Capture vs Benchmark 1",'PBA Summary'!$D$2,,,"m",'PBA Summary'!$F$2,'PBA Summary'!$G$2))</f>
        <v>0.54138109343313023</v>
      </c>
      <c r="EJ50" s="34" cm="1">
        <f t="array" ref="EJ50">IF('PBA Summary'!$D$3="","",_xll.ASAssetStatistic($A50,"Annual Down Capture vs Benchmark 1",'PBA Summary'!$D$3,,,"m",'PBA Summary'!$F$2,'PBA Summary'!$G$2))</f>
        <v>0.54138109343313023</v>
      </c>
      <c r="EK50" s="16" cm="1">
        <f t="array" ref="EK50">IF('PBA Summary'!$D$2="","",_xll.ASAssetStatistic($A50,"Ann. Tracking Error vs Benchmark 1",'PBA Summary'!$D$2,,,"m",'PBA Summary'!$F$2,'PBA Summary'!$G$2))</f>
        <v>0.15457219104930223</v>
      </c>
      <c r="EL50" s="16" cm="1">
        <f t="array" ref="EL50">IF('PBA Summary'!$D$3="","",_xll.ASAssetStatistic($A50,"Ann. Tracking Error vs Benchmark 1",'PBA Summary'!$D$3,,,"m",'PBA Summary'!$F$2,'PBA Summary'!$G$2))</f>
        <v>0.15457219104930223</v>
      </c>
      <c r="EM50" s="16" cm="1">
        <f t="array" ref="EM50">IF('PBA Summary'!$D$2="","",_xll.ASAssetStatistic($A50,"Annual Jensen Alpha vs Benchmark 1 (Rf)",'PBA Summary'!$D$2,,,"m",'PBA Summary'!$F$2,'PBA Summary'!$G$2))</f>
        <v>-1.8165055530927066E-2</v>
      </c>
      <c r="EN50" s="16" cm="1">
        <f t="array" ref="EN50">IF('PBA Summary'!$D$3="","",_xll.ASAssetStatistic($A50,"Annual Jensen Alpha vs Benchmark 1 (Rf)",'PBA Summary'!$D$3,,,"m",'PBA Summary'!$F$2,'PBA Summary'!$G$2))</f>
        <v>-1.8165055530927066E-2</v>
      </c>
      <c r="EO50" s="33" cm="1">
        <f t="array" ref="EO50">IF('PBA Summary'!$D$2="","",_xll.ASAssetStatistic($A50,"Ann. Information Ratio vs Benchmark 1",'PBA Summary'!$D$2,,,"m",'PBA Summary'!$F$2,'PBA Summary'!$G$2))</f>
        <v>-1.040108951267583</v>
      </c>
      <c r="EP50" s="33" cm="1">
        <f t="array" ref="EP50">IF('PBA Summary'!$D$3="","",_xll.ASAssetStatistic($A50,"Ann. Information Ratio vs Benchmark 1",'PBA Summary'!$D$3,,,"m",'PBA Summary'!$F$2,'PBA Summary'!$G$2))</f>
        <v>-1.040108951267583</v>
      </c>
      <c r="EQ50" s="17" cm="1">
        <f t="array" ref="EQ50">IF('PBA Summary'!$D$2="","",_xll.ASAssetStatistic($A50,"Alpha Monthly vs Benchmark 1",'PBA Summary'!$D$2,,,"m",'PBA Summary'!$F$2,'PBA Summary'!$G$2))</f>
        <v>-1.0078675225920781E-3</v>
      </c>
      <c r="ER50" s="17" cm="1">
        <f t="array" ref="ER50">IF('PBA Summary'!$D$3="","",_xll.ASAssetStatistic($A50,"Alpha Monthly vs Benchmark 1",'PBA Summary'!$D$3,,,"m",'PBA Summary'!$F$2,'PBA Summary'!$G$2))</f>
        <v>-1.0078675225920781E-3</v>
      </c>
      <c r="ES50" s="11" t="str" cm="1">
        <f t="array" ref="ES50">_xll.ASAssetInfo($A50,"Company AUM (m)")</f>
        <v/>
      </c>
      <c r="ET50" s="16" cm="1">
        <f t="array" ref="ET50">_xll.ASAssetStatistic($A50,"Exponential Annualized Volatility",,,,"m",'PBA Summary'!$F$2,'PBA Summary'!$G$2)</f>
        <v>0.11440377289434472</v>
      </c>
      <c r="EU50" s="16" cm="1">
        <f t="array" ref="EU50">_xll.ASAssetStatistic($A50,"Exponential Annualized Volatility Last 1 year",,,,"m",'PBA Summary'!$F$2,'PBA Summary'!$G$2)</f>
        <v>0.11823396462334912</v>
      </c>
      <c r="EV50" s="16" t="str" cm="1">
        <f t="array" ref="EV50">_xll.ASAssetStatistic($A50,"Exponential Annualized Volatility Last 3 years",,,,"m",'PBA Summary'!$F$2,'PBA Summary'!$G$2)</f>
        <v/>
      </c>
      <c r="EW50" s="34" cm="1">
        <f t="array" ref="EW50">IF('PBA Summary'!$D$2="","",_xll.ASAssetStatistic($A50,"Exponential Correlation to Benchmark 1",'PBA Summary'!$D$2,,,"m",'PBA Summary'!$F$2,'PBA Summary'!$G$2))</f>
        <v>0.2482809879022766</v>
      </c>
      <c r="EX50" s="34" cm="1">
        <f t="array" ref="EX50">IF('PBA Summary'!$D$3="","",_xll.ASAssetStatistic($A50,"Exponential Correlation to Benchmark 1",'PBA Summary'!$D$3,,,"m",'PBA Summary'!$F$2,'PBA Summary'!$G$2))</f>
        <v>0.2482809879022766</v>
      </c>
      <c r="EY50" s="34" cm="1">
        <f t="array" ref="EY50">_xll.ASAssetStatistic($A50,"Exponential Annual Sharpe Ratio (Rf)",,,,"m",'PBA Summary'!$F$2,'PBA Summary'!$G$2)</f>
        <v>-0.4916379459328804</v>
      </c>
      <c r="EZ50" s="34" cm="1">
        <f t="array" ref="EZ50">_xll.ASAssetStatistic($A50,"Exponential Normal Monthly VaR 99%",,,,"m",'PBA Summary'!$F$2,'PBA Summary'!$G$2)</f>
        <v>-8.1421898344701177E-2</v>
      </c>
      <c r="FA50" s="34" cm="1">
        <f t="array" ref="FA50">_xll.ASAssetStatistic($A50,"Exponential Normal Monthly VaR 97%",,,,"m",'PBA Summary'!$F$2,'PBA Summary'!$G$2)</f>
        <v>-6.6707235003362619E-2</v>
      </c>
      <c r="FB50" s="34" cm="1">
        <f t="array" ref="FB50">_xll.ASAssetStatistic($A50,"Exponential Normal Monthly VaR 95%",,,,"m",'PBA Summary'!$F$2,'PBA Summary'!$G$2)</f>
        <v>-5.8915193364652771E-2</v>
      </c>
      <c r="FC50" s="34" cm="1">
        <f t="array" ref="FC50">_xll.ASAssetStatistic($A50,"Exponential Normal Monthly VaR 90%",,,,"m",'PBA Summary'!$F$2,'PBA Summary'!$G$2)</f>
        <v>-4.6916952220798162E-2</v>
      </c>
      <c r="FD50" s="34" t="str" cm="1">
        <f t="array" ref="FD50">_xll.ASAssetStatistic($A50,"Exponential Normal weekly VaR 99%",,,,"m",'PBA Summary'!$F$2,'PBA Summary'!$G$2)</f>
        <v/>
      </c>
      <c r="FE50" s="34" t="str" cm="1">
        <f t="array" ref="FE50">_xll.ASAssetStatistic($A50,"Exponential Normal weekly VaR 97%",,,,"m",'PBA Summary'!$F$2,'PBA Summary'!$G$2)</f>
        <v/>
      </c>
      <c r="FF50" s="34" t="str" cm="1">
        <f t="array" ref="FF50">_xll.ASAssetStatistic($A50,"Exponential Normal weekly VaR 95%",,,,"m",'PBA Summary'!$F$2,'PBA Summary'!$G$2)</f>
        <v/>
      </c>
      <c r="FG50" s="34" t="str" cm="1">
        <f t="array" ref="FG50">_xll.ASAssetStatistic($A50,"Exponential Normal weekly VaR 90%",,,,"m",'PBA Summary'!$F$2,'PBA Summary'!$G$2)</f>
        <v/>
      </c>
      <c r="FH50" s="34" t="str" cm="1">
        <f t="array" ref="FH50">_xll.ASAssetStatistic($A50,"Exponential Normal daily VaR 99%",,,,"m",'PBA Summary'!$F$2,'PBA Summary'!$G$2)</f>
        <v/>
      </c>
      <c r="FI50" s="34" t="str" cm="1">
        <f t="array" ref="FI50">_xll.ASAssetStatistic($A50,"Exponential Normal daily VaR 97%",,,,"m",'PBA Summary'!$F$2,'PBA Summary'!$G$2)</f>
        <v/>
      </c>
      <c r="FJ50" s="34" t="str" cm="1">
        <f t="array" ref="FJ50">_xll.ASAssetStatistic($A50,"Exponential Normal daily VaR 95%",,,,"m",'PBA Summary'!$F$2,'PBA Summary'!$G$2)</f>
        <v/>
      </c>
      <c r="FK50" s="34" t="str" cm="1">
        <f t="array" ref="FK50">_xll.ASAssetStatistic($A50,"Exponential Normal daily VaR 90%",,,,"m",'PBA Summary'!$F$2,'PBA Summary'!$G$2)</f>
        <v/>
      </c>
      <c r="FL50" s="34" cm="1">
        <f t="array" ref="FL50">_xll.ASAssetStatistic($A50,"Bias Ratio",,,,"m",'PBA Summary'!$F$2,'PBA Summary'!$G$2)</f>
        <v>3.6666666666666665</v>
      </c>
      <c r="FM50" s="11" t="str" cm="1">
        <f t="array" ref="FM50">_xll.ASAssetInfo($A50,"Manager's Biography")</f>
        <v/>
      </c>
      <c r="FN50" s="11" cm="1">
        <f t="array" ref="FN50">_xll.ASAssetInfo($A50,"Investment Min")</f>
        <v>0</v>
      </c>
      <c r="FO50" s="11" t="str" cm="1">
        <f t="array" ref="FO50">_xll.ASAssetInfo($A50,"Auditor")</f>
        <v/>
      </c>
      <c r="FP50" s="11" t="str" cm="1">
        <f t="array" ref="FP50">_xll.ASAssetInfo($A50,"Custodian")</f>
        <v/>
      </c>
      <c r="FQ50" s="11" t="str" cm="1">
        <f t="array" ref="FQ50">_xll.ASAssetInfo($A50,"Administrator")</f>
        <v/>
      </c>
      <c r="FR50" s="14" cm="1">
        <f t="array" ref="FR50">_xll.ASAssetInfo($A50,"Proxy 1 Start Date")</f>
        <v>36585</v>
      </c>
      <c r="FS50" s="14" cm="1">
        <f t="array" ref="FS50">_xll.ASAssetInfo($A50,"Proxy 1 End Date")</f>
        <v>44134</v>
      </c>
      <c r="FT50" s="14" t="str" cm="1">
        <f t="array" ref="FT50">_xll.ASAssetInfo($A50,"Proxy 2 Start Date")</f>
        <v/>
      </c>
      <c r="FU50" s="14" t="str" cm="1">
        <f t="array" ref="FU50">_xll.ASAssetInfo($A50,"Proxy 2 End Date")</f>
        <v/>
      </c>
      <c r="FV50" s="14" t="str" cm="1">
        <f t="array" ref="FV50">_xll.ASAssetInfo($A50,"Proxy 3 Start Date")</f>
        <v/>
      </c>
      <c r="FW50" s="14" t="str" cm="1">
        <f t="array" ref="FW50">_xll.ASAssetInfo($A50,"Proxy 3 End Date")</f>
        <v/>
      </c>
      <c r="FX50" s="14" t="str" cm="1">
        <f t="array" ref="FX50">_xll.ASAssetInfo($A50,"Fund Domicile")</f>
        <v/>
      </c>
      <c r="FY50" s="14" t="str" cm="1">
        <f t="array" ref="FY50">_xll.ASAssetInfo($A50,"Fund Contact")</f>
        <v/>
      </c>
      <c r="FZ50" s="14" t="str" cm="1">
        <f t="array" ref="FZ50">_xll.ASAssetInfo($A50,"Fund Contact Email")</f>
        <v/>
      </c>
      <c r="GA50" s="14" t="str" cm="1">
        <f t="array" ref="GA50">_xll.ASAssetInfo($A50,"Fund Contact Number")</f>
        <v/>
      </c>
      <c r="GB50" s="14" t="str" cm="1">
        <f t="array" ref="GB50">_xll.ASAssetInfo($A50,"City")</f>
        <v/>
      </c>
      <c r="GC50" s="14" t="str" cm="1">
        <f t="array" ref="GC50">_xll.ASAssetInfo($A50,"Leverage")</f>
        <v/>
      </c>
      <c r="GD50" s="14" t="str" cm="1">
        <f t="array" ref="GD50">_xll.ASAssetInfo($A50,"Lockup 1 Duration")</f>
        <v>0 Months</v>
      </c>
      <c r="GE50" s="14" t="str" cm="1">
        <f t="array" ref="GE50">_xll.ASAssetInfo($A50,"Lockup 2 Duration")</f>
        <v>0 Months</v>
      </c>
      <c r="GF50" s="14" t="str" cm="1">
        <f t="array" ref="GF50">_xll.ASAssetInfo($A50,"Lockup 3 Duration")</f>
        <v>0 Months</v>
      </c>
      <c r="GG50" s="31" t="str" cm="1">
        <f t="array" ref="GG50">_xll.ASAssetInfo($A50,"Fund Level Gate")</f>
        <v/>
      </c>
      <c r="GH50" s="31" t="str" cm="1">
        <f t="array" ref="GH50">_xll.ASAssetInfo($A50,"Fund Level Gate Frequency")</f>
        <v>Unknown</v>
      </c>
      <c r="GI50" s="35" cm="1">
        <f t="array" ref="GI50">_xll.ASAssetInfo($A50,"Payment 2 (%)")</f>
        <v>0</v>
      </c>
      <c r="GJ50" s="35" t="str" cm="1">
        <f t="array" ref="GJ50">_xll.ASAssetInfo($A50,"Payment 2 (days)")</f>
        <v/>
      </c>
      <c r="GK50" s="35" t="str" cm="1">
        <f t="array" ref="GK50">_xll.ASAssetInfo($A50,"Payment 2 (Paid After)")</f>
        <v>NAV Date</v>
      </c>
      <c r="GL50" s="35" cm="1">
        <f t="array" ref="GL50">_xll.ASAssetInfo($A50,"Payment 3 (%)")</f>
        <v>0</v>
      </c>
      <c r="GM50" s="36" t="str" cm="1">
        <f t="array" ref="GM50">_xll.ASAssetInfo($A50,"Payment 3 (Days)")</f>
        <v/>
      </c>
      <c r="GN50" s="35" t="str" cm="1">
        <f t="array" ref="GN50">_xll.ASAssetInfo($A50,"Payment 3 (Paid After)")</f>
        <v>NAV Date</v>
      </c>
      <c r="GO50" s="35" cm="1">
        <f t="array" ref="GO50">_xll.ASAssetInfo($A50,"Payment 4 (%)")</f>
        <v>0</v>
      </c>
      <c r="GP50" s="36" t="str" cm="1">
        <f t="array" ref="GP50">_xll.ASAssetInfo($A50,"Payment 4 (days)")</f>
        <v/>
      </c>
      <c r="GQ50" s="35" t="str" cm="1">
        <f t="array" ref="GQ50">_xll.ASAssetInfo($A50,"Payment 4 (Paid After)")</f>
        <v>NAV Date</v>
      </c>
      <c r="GR50" s="11" cm="1">
        <f t="array" ref="GR50">_xll.ASAssetInfo($A50,"Payment 1 (%)")</f>
        <v>1</v>
      </c>
      <c r="GS50" s="35" cm="1">
        <f t="array" ref="GS50">_xll.ASAssetInfo($A50,"Lockup 1 Fee")</f>
        <v>0</v>
      </c>
      <c r="GT50" s="35" cm="1">
        <f t="array" ref="GT50">_xll.ASAssetInfo($A50,"Lockup 2 Fee")</f>
        <v>0</v>
      </c>
      <c r="GU50" s="35" cm="1">
        <f t="array" ref="GU50">_xll.ASAssetInfo($A50,"Lockup 3 Fee")</f>
        <v>0</v>
      </c>
      <c r="GV50" s="35" t="str" cm="1">
        <f t="array" ref="GV50">_xll.ASAssetInfo($A50,"Lockup 1 type")</f>
        <v>None</v>
      </c>
      <c r="GW50" s="35" t="str" cm="1">
        <f t="array" ref="GW50">_xll.ASAssetInfo($A50,"Lockup 2 type")</f>
        <v>None</v>
      </c>
      <c r="GX50" s="35" t="str" cm="1">
        <f t="array" ref="GX50">_xll.ASAssetInfo($A50,"Lockup 3 type")</f>
        <v>None</v>
      </c>
      <c r="GY50" s="35" t="str" cm="1">
        <f t="array" ref="GY50">_xll.ASAssetInfo($A50,"Redemption 1 type")</f>
        <v>Calendar</v>
      </c>
      <c r="GZ50" s="35" t="str" cm="1">
        <f t="array" ref="GZ50">_xll.ASAssetInfo($A50,"Redemption 2 type")</f>
        <v>Calendar</v>
      </c>
      <c r="HA50" s="35" t="str" cm="1">
        <f t="array" ref="HA50">_xll.ASAssetInfo($A50,"Redemption 3 type")</f>
        <v>Calendar</v>
      </c>
      <c r="HB50" s="35" t="str" cm="1">
        <f t="array" ref="HB50">_xll.ASAssetInfo($A50,"Redemption 1 Fee")</f>
        <v/>
      </c>
      <c r="HC50" s="35" t="str" cm="1">
        <f t="array" ref="HC50">_xll.ASAssetInfo($A50,"Redemption 2 Fee")</f>
        <v/>
      </c>
      <c r="HD50" s="35" t="str" cm="1">
        <f t="array" ref="HD50">_xll.ASAssetInfo($A50,"Redemption 3 Fee")</f>
        <v/>
      </c>
      <c r="HE50" s="35" t="str" cm="1">
        <f t="array" ref="HE50">_xll.ASAssetInfo($A50,"Redemption 1 Frequency")</f>
        <v>Unknown</v>
      </c>
      <c r="HF50" s="35" t="str" cm="1">
        <f t="array" ref="HF50">_xll.ASAssetInfo($A50,"Redemption 2 Frequency")</f>
        <v>Unknown</v>
      </c>
      <c r="HG50" s="35" t="str" cm="1">
        <f t="array" ref="HG50">_xll.ASAssetInfo($A50,"Redemption 3 Frequency")</f>
        <v>Unknown</v>
      </c>
      <c r="HH50" s="35" t="str" cm="1">
        <f t="array" ref="HH50">_xll.ASAssetInfo($A50,"Asset Calendar")</f>
        <v>[Default]</v>
      </c>
      <c r="HI50" s="16" cm="1">
        <f t="array" ref="HI50">_xll.ASAssetStatistic($A50,"Max Second Drawdown",,,,"m",'PBA Summary'!$F$2,'PBA Summary'!$G$2)</f>
        <v>-5.4940842877031493E-3</v>
      </c>
      <c r="HJ50" s="37" cm="1">
        <f t="array" ref="HJ50">_xll.ASAssetStatistic($A50,"Date Max Second Drawdown",,,,"m",'PBA Summary'!$F$2,'PBA Summary'!$G$2)</f>
        <v>43465</v>
      </c>
      <c r="HK50" s="37"/>
      <c r="HL50" s="37" t="str" cm="1">
        <f t="array" ref="HL50">_xll.ASAssetInfo($A50,HL$1)</f>
        <v/>
      </c>
      <c r="HM50" s="34" cm="1">
        <f t="array" ref="HM50">_xll.ASAssetInfo($A50,HM$1)</f>
        <v>99.319000000000003</v>
      </c>
      <c r="HN50" s="37" t="str" cm="1">
        <f t="array" ref="HN50">_xll.ASAssetInfo($A50,HN$1)</f>
        <v/>
      </c>
      <c r="HO50" s="15" cm="1">
        <f t="array" ref="HO50">_xll.ASAssetInfo($A50,HO$1)</f>
        <v>4.8750000000000002E-2</v>
      </c>
      <c r="HP50" s="15" cm="1">
        <f t="array" ref="HP50">_xll.ASAssetInfo($A50,HP$1)</f>
        <v>5.4939328278828484E-2</v>
      </c>
      <c r="HQ50" s="34" t="str" cm="1">
        <f t="array" ref="HQ50">_xll.ASAssetInfo($A50,HQ$1)</f>
        <v/>
      </c>
      <c r="HR50" s="37" t="str" cm="1">
        <f t="array" ref="HR50">_xll.ASAssetInfo($A50,HR$1)</f>
        <v/>
      </c>
      <c r="HS50" s="37" t="str" cm="1">
        <f t="array" ref="HS50">_xll.ASAssetInfo($A50,HS$1)</f>
        <v/>
      </c>
      <c r="HT50" s="37" t="str" cm="1">
        <f t="array" ref="HT50">_xll.ASAssetInfo($A50,HT$1)</f>
        <v>BB</v>
      </c>
      <c r="HU50" s="37" t="str" cm="1">
        <f t="array" ref="HU50">_xll.ASAssetInfo($A50,HU$1)</f>
        <v>Netherlands</v>
      </c>
      <c r="HV50" s="37" t="str" cm="1">
        <f t="array" ref="HV50">_xll.ASAssetInfo($A50,HV$1)</f>
        <v/>
      </c>
      <c r="HW50" s="37" t="str" cm="1">
        <f t="array" ref="HW50">_xll.ASAssetInfo($A50,HW$1)</f>
        <v/>
      </c>
    </row>
    <row r="51" spans="1:231" s="11" customFormat="1" ht="135" x14ac:dyDescent="0.25">
      <c r="A51" t="s">
        <v>310</v>
      </c>
      <c r="B51" cm="1">
        <f t="array" ref="B51">_xll.ASPortfolioWeights('PBA Summary'!$C$2,"OR",$A51)</f>
        <v>0</v>
      </c>
      <c r="C51" cm="1">
        <f t="array" ref="C51">_xll.ASAssetStatistic($A51,"Annualized Return since inception",,,,"m",_xll.ASAssetInfo($A51,"Start Date"),_xll.ASAssetInfo($A51,"Last Return Date"))</f>
        <v>7.9155621676934906E-2</v>
      </c>
      <c r="D51" cm="1">
        <f t="array" ref="D51">_xll.ASAssetStatistic($A51,"Annualized Return",,,,"m",'PBA Summary'!$F$2,'PBA Summary'!$G$2)</f>
        <v>0.23267450441835691</v>
      </c>
      <c r="E51" s="19" cm="1">
        <f t="array" ref="E51">_xll.ASAssetStatistic($A51,"Equilibrium Annual Return",,,,"m",'PBA Summary'!$F$2,'PBA Summary'!$G$2)</f>
        <v>8.1782900231760935E-2</v>
      </c>
      <c r="F51" cm="1">
        <f t="array" ref="F51">_xll.ASAssetStatistic($A51,"Annualized Volatility (Inception)",,,,"m",_xll.ASAssetInfo($A51,"Start Date"),_xll.ASAssetInfo($A51,"Last Return Date"))</f>
        <v>0.1317311422477698</v>
      </c>
      <c r="G51" cm="1">
        <f t="array" ref="G51">_xll.ASAssetStatistic($A51,"Annualized Volatility",,,,"m",'PBA Summary'!$F$2,'PBA Summary'!$G$2)</f>
        <v>0.12711425516826377</v>
      </c>
      <c r="H51" s="20" cm="1">
        <f t="array" ref="H51">_xll.ASAssetStatistic($A51,"Skewness",,,,"m",'PBA Summary'!$F$2,'PBA Summary'!$G$2)</f>
        <v>-1.0915118260890364</v>
      </c>
      <c r="I51" s="20" cm="1">
        <f t="array" ref="I51">_xll.ASAssetStatistic($A51,"Excess kurtosis",,,,"m",'PBA Summary'!$F$2,'PBA Summary'!$G$2)</f>
        <v>1.5057962321029801</v>
      </c>
      <c r="J51" s="19" cm="1">
        <f t="array" ref="J51">_xll.ASAssetStatistic($A51,"Return Last 1 month",,,,"m",'PBA Summary'!$F$2,'PBA Summary'!$G$2)</f>
        <v>6.9814096562794692E-3</v>
      </c>
      <c r="K51" s="19" cm="1">
        <f t="array" ref="K51">_xll.ASAssetStatistic($A51,"Return Last 3 months",,,,"m",'PBA Summary'!$F$2,'PBA Summary'!$G$2)</f>
        <v>6.8395958678625357E-2</v>
      </c>
      <c r="L51" s="19" cm="1">
        <f t="array" ref="L51">_xll.ASAssetStatistic($A51,"Return Last 1 year",,,,"m",'PBA Summary'!$F$2,'PBA Summary'!$G$2)</f>
        <v>0.26835349213301574</v>
      </c>
      <c r="M51" s="19" cm="1">
        <f t="array" ref="M51">_xll.ASAssetStatistic($A51,"Year-to-date Return",,,,"m",'PBA Summary'!$F$2,'PBA Summary'!$G$2)</f>
        <v>6.9814096562794692E-3</v>
      </c>
      <c r="N51" s="19" cm="1">
        <f t="array" ref="N51">_xll.ASAssetStatistic($A51,"Annualized Return",,,,"m",EOMONTH('PBA Summary'!$G$2,-2),'PBA Summary'!$G$2)</f>
        <v>0.30295358858556409</v>
      </c>
      <c r="O51" s="19" t="str" cm="1">
        <f t="array" ref="O51">_xll.ASAssetStatistic($A51,"Annualized Return Last 3 years",,,,"m",'PBA Summary'!$F$2,'PBA Summary'!$G$2)</f>
        <v/>
      </c>
      <c r="P51" s="19" t="str" cm="1">
        <f t="array" ref="P51">_xll.ASAssetStatistic($A51,"Annualized Return Last 5 years",,,,"m",'PBA Summary'!$F$2,'PBA Summary'!$G$2)</f>
        <v/>
      </c>
      <c r="Q51" s="19" cm="1">
        <f t="array" ref="Q51">_xll.ASAssetStatistic($A51,"Annualized Volatility Last 1 year",,,,"m",'PBA Summary'!$F$2,'PBA Summary'!$G$2)</f>
        <v>9.6519521577013392E-2</v>
      </c>
      <c r="R51" s="19" t="str" cm="1">
        <f t="array" ref="R51">_xll.ASAssetStatistic($A51,"Annualized Volatility Last 3 years",,,,"m",'PBA Summary'!$F$2,'PBA Summary'!$G$2)</f>
        <v/>
      </c>
      <c r="S51" s="19" t="str" cm="1">
        <f t="array" ref="S51">_xll.ASAssetStatistic($A51,"Annualized Volatility Last 5 years",,,,"m",'PBA Summary'!$F$2,'PBA Summary'!$G$2)</f>
        <v/>
      </c>
      <c r="T51" s="19" cm="1">
        <f t="array" ref="T51">_xll.ASAssetStatistic($A51,"Normal monthly VaR 99%",,,,"m",'PBA Summary'!$F$2,'PBA Summary'!$G$2)</f>
        <v>-6.7147284227134174E-2</v>
      </c>
      <c r="U51" s="19" cm="1">
        <f t="array" ref="U51">_xll.ASAssetStatistic($A51,"Modified monthly VaR 99%",,,,"m",'PBA Summary'!$F$2,'PBA Summary'!$G$2)</f>
        <v>-9.306383047907521E-2</v>
      </c>
      <c r="V51" s="19" cm="1">
        <f t="array" ref="V51">_xll.ASAssetStatistic($A51,"Conditional monthly VaR 99%",,,,"m",'PBA Summary'!$F$2,'PBA Summary'!$G$2)</f>
        <v>-6.6801619433198289E-2</v>
      </c>
      <c r="W51" s="19" cm="1">
        <f t="array" ref="W51">_xll.ASAssetStatistic($A51,"Normal monthly VaR 97%",,,,"m",'PBA Summary'!$F$2,'PBA Summary'!$G$2)</f>
        <v>-5.079779309266421E-2</v>
      </c>
      <c r="X51" s="19" cm="1">
        <f t="array" ref="X51">_xll.ASAssetStatistic($A51,"Modified monthly VaR 97%",,,,"m",'PBA Summary'!$F$2,'PBA Summary'!$G$2)</f>
        <v>-6.53241205607617E-2</v>
      </c>
      <c r="Y51" s="19" cm="1">
        <f t="array" ref="Y51">_xll.ASAssetStatistic($A51,"Conditional monthly VaR 97%",,,,"m",'PBA Summary'!$F$2,'PBA Summary'!$G$2)</f>
        <v>-6.6801619433198289E-2</v>
      </c>
      <c r="Z51" s="19" cm="1">
        <f t="array" ref="Z51">_xll.ASAssetStatistic($A51,"Normal monthly VaR 95%",,,,"m",'PBA Summary'!$F$2,'PBA Summary'!$G$2)</f>
        <v>-4.2140040432186512E-2</v>
      </c>
      <c r="AA51" s="19" cm="1">
        <f t="array" ref="AA51">_xll.ASAssetStatistic($A51,"Modified monthly VaR 95%",,,,"m",'PBA Summary'!$F$2,'PBA Summary'!$G$2)</f>
        <v>-5.158909194427664E-2</v>
      </c>
      <c r="AB51" s="19" cm="1">
        <f t="array" ref="AB51">_xll.ASAssetStatistic($A51,"Conditional monthly VaR 95%",,,,"m",'PBA Summary'!$F$2,'PBA Summary'!$G$2)</f>
        <v>-6.6801619433198289E-2</v>
      </c>
      <c r="AC51" s="66" cm="1">
        <f t="array" ref="AC51">_xll.ASAssetStatistic($A51,"Correlation to Benchmark 1","MSCI ACWI Index",,,"m",'PBA Summary'!$F$2,'PBA Summary'!$G$2)</f>
        <v>0.93083791998368071</v>
      </c>
      <c r="AD51" s="38" cm="1">
        <f t="array" ref="AD51">IF('PBA Summary'!$D$3="","",_xll.ASAssetStatistic($A51,"Correlation to Benchmark 1",'PBA Summary'!$D$3,,,"m",'PBA Summary'!$F$2,'PBA Summary'!$G$2))</f>
        <v>0.9594386534440873</v>
      </c>
      <c r="AE51" s="21" cm="1">
        <f t="array" ref="AE51">IF('PBA Summary'!$D$2="","",_xll.ASAssetStatistic($A51,"Bull correlation to Benchmark 1",'PBA Summary'!$D$2,,,"m",'PBA Summary'!$F$2,'PBA Summary'!$G$2))</f>
        <v>0.86387453613589504</v>
      </c>
      <c r="AF51" s="21" cm="1">
        <f t="array" ref="AF51">IF('PBA Summary'!$D$2="","",_xll.ASAssetStatistic($A51,"Bear correlation to Benchmark 1",'PBA Summary'!$D$2,,,"m",'PBA Summary'!$F$2,'PBA Summary'!$G$2))</f>
        <v>0.9718418184835621</v>
      </c>
      <c r="AG51" s="21" cm="1">
        <f t="array" ref="AG51">IF('PBA Summary'!$D$3="","",_xll.ASAssetStatistic($A51,"Bull correlation to Benchmark 1",'PBA Summary'!$D$3,,,"m",'PBA Summary'!$F$2,'PBA Summary'!$G$2))</f>
        <v>0.86387453613589504</v>
      </c>
      <c r="AH51" s="21" cm="1">
        <f t="array" ref="AH51">IF('PBA Summary'!$D$3="","",_xll.ASAssetStatistic($A51,"Bear correlation to Benchmark 1",'PBA Summary'!$D$3,,,"m",'PBA Summary'!$F$2,'PBA Summary'!$G$2))</f>
        <v>0.9718418184835621</v>
      </c>
      <c r="AI51" s="24" cm="1">
        <f t="array" ref="AI51">IF('PBA Summary'!$D$2="","",_xll.ASAssetStatistic($A51,"Beta to Benchmark 1",'PBA Summary'!$D$2,,,"m",'PBA Summary'!$F$2,'PBA Summary'!$G$2))</f>
        <v>0.7943926195554859</v>
      </c>
      <c r="AJ51" s="24" t="str" cm="1">
        <f t="array" ref="AJ51">IF('PBA Summary'!$D$2="","",_xll.ASAssetStatistic($A51,"Beta to Benchmark 1 Last 3 years",'PBA Summary'!$D$2,,,"m",'PBA Summary'!$F$2,'PBA Summary'!$G$2))</f>
        <v/>
      </c>
      <c r="AK51" s="24" t="str" cm="1">
        <f t="array" ref="AK51">IF('PBA Summary'!$D$2="","",_xll.ASAssetStatistic($A51,"Beta to Benchmark 1 Last 5 years",'PBA Summary'!$D$2,,,"m",'PBA Summary'!$F$2,'PBA Summary'!$G$2))</f>
        <v/>
      </c>
      <c r="AL51" s="25" cm="1">
        <f t="array" ref="AL51">IF('PBA Summary'!$D$3="","",_xll.ASAssetStatistic($A51,"Beta to Benchmark 1",'PBA Summary'!$D$3,,,"m",'PBA Summary'!$F$2,'PBA Summary'!$G$2))</f>
        <v>0.7943926195554859</v>
      </c>
      <c r="AM51" s="25" t="str" cm="1">
        <f t="array" ref="AM51">IF('PBA Summary'!$D$3="","",_xll.ASAssetStatistic($A51,"Beta to Benchmark 1 Last 3 years",'PBA Summary'!$D$3,,,"m",'PBA Summary'!$F$2,'PBA Summary'!$G$2))</f>
        <v/>
      </c>
      <c r="AN51" s="25" t="str" cm="1">
        <f t="array" ref="AN51">IF('PBA Summary'!$D$3="","",_xll.ASAssetStatistic($A51,"Beta to Benchmark 1 Last 5 years",'PBA Summary'!$D$3,,,"m",'PBA Summary'!$F$2,'PBA Summary'!$G$2))</f>
        <v/>
      </c>
      <c r="AO51" s="25" cm="1">
        <f t="array" ref="AO51">IF('PBA Summary'!$D$2="","",_xll.ASAssetStatistic($A51,"Bull Beta to Benchmark 1",'PBA Summary'!$D$2,,,"m",'PBA Summary'!$F$2,'PBA Summary'!$G$2))</f>
        <v>0.82001021851839939</v>
      </c>
      <c r="AP51" s="25" cm="1">
        <f t="array" ref="AP51">IF('PBA Summary'!$D$2="","",_xll.ASAssetStatistic($A51,"Bear Beta to Benchmark 1",'PBA Summary'!$D$2,,,"m",'PBA Summary'!$F$2,'PBA Summary'!$G$2))</f>
        <v>0.93967542461815645</v>
      </c>
      <c r="AQ51" s="25" cm="1">
        <f t="array" ref="AQ51">IF('PBA Summary'!$D$3="","",_xll.ASAssetStatistic($A51,"Bull Beta to Benchmark 1",'PBA Summary'!$D$3,,,"m",'PBA Summary'!$F$2,'PBA Summary'!$G$2))</f>
        <v>0.82001021851839939</v>
      </c>
      <c r="AR51" s="25" cm="1">
        <f t="array" ref="AR51">IF('PBA Summary'!$D$3="","",_xll.ASAssetStatistic($A51,"Bear Beta to Benchmark 1",'PBA Summary'!$D$3,,,"m",'PBA Summary'!$F$2,'PBA Summary'!$G$2))</f>
        <v>0.93967542461815645</v>
      </c>
      <c r="AS51" s="25" cm="1">
        <f t="array" ref="AS51">_xll.ASAssetStatistic($A51,"Annual Sharpe Ratio (Rf)",,,'PBA Summary'!$H$2,"m",'PBA Summary'!$F$2,'PBA Summary'!$G$2)</f>
        <v>1.8107686200392721</v>
      </c>
      <c r="AT51" s="25" t="str" cm="1">
        <f t="array" ref="AT51">_xll.ASAssetStatistic($A51,"Annual Sharpe Ratio (Rf) Last 3 years",,,'PBA Summary'!$H$2,"m",'PBA Summary'!$F$2,'PBA Summary'!$G$2)</f>
        <v/>
      </c>
      <c r="AU51" s="25" t="str" cm="1">
        <f t="array" ref="AU51">_xll.ASAssetStatistic($A51,"Annual Sharpe Ratio (Rf) Last 5 years",,,'PBA Summary'!$H$2,"m",'PBA Summary'!$F$2,'PBA Summary'!$G$2)</f>
        <v/>
      </c>
      <c r="AV51" s="18" cm="1">
        <f t="array" ref="AV51">_xll.ASAssetStatistic($A51,"Ann. Downside Deviation (vs 0%)",,,'PBA Summary'!$H$2,"m",'PBA Summary'!$F$2,'PBA Summary'!$G$2)</f>
        <v>7.462097221292377E-2</v>
      </c>
      <c r="AW51" s="18" cm="1">
        <f t="array" ref="AW51">_xll.ASAssetStatistic($A51,"Ann. Downside Deviation (vs Rf)",,,'PBA Summary'!$H$2,"m",'PBA Summary'!$F$2,'PBA Summary'!$G$2)</f>
        <v>7.4881513987600762E-2</v>
      </c>
      <c r="AX51" s="39" cm="1">
        <f t="array" ref="AX51">_xll.ASAssetStatistic($A51,"Annual Treynor ratio",,,'PBA Summary'!$H$2,"m",'PBA Summary'!$F$2,'PBA Summary'!$G$2)</f>
        <v>0.28970460041077145</v>
      </c>
      <c r="AY51" s="26" cm="1">
        <f t="array" ref="AY51">_xll.ASAssetStatistic($A51,"Annual Sortino Ratio (vs 0%)",,,'PBA Summary'!$H$2,"m",'PBA Summary'!$F$2,'PBA Summary'!$G$2)</f>
        <v>3.118084601664564</v>
      </c>
      <c r="AZ51" s="26" cm="1">
        <f t="array" ref="AZ51">_xll.ASAssetStatistic($A51,"Annual Sortino Ratio (vs Rf)",,,'PBA Summary'!$H$2,"m",'PBA Summary'!$F$2,'PBA Summary'!$G$2)</f>
        <v>3.073849501179561</v>
      </c>
      <c r="BA51" s="26" cm="1">
        <f t="array" ref="BA51">_xll.ASAssetStatistic($A51,"Sterling ratio",,,'PBA Summary'!$H$2,"m",'PBA Summary'!$F$2,'PBA Summary'!$G$2)</f>
        <v>1.5513800316548196</v>
      </c>
      <c r="BB51" s="26" cm="1">
        <f t="array" ref="BB51">_xll.ASAssetStatistic($A51,"Calmar ratio",,,'PBA Summary'!$H$2,"m",'PBA Summary'!$F$2,'PBA Summary'!$G$2)</f>
        <v>3.4830668237172264</v>
      </c>
      <c r="BC51" s="26" cm="1">
        <f t="array" ref="BC51">_xll.ASAssetStatistic($A51,"Hurst index",,,'PBA Summary'!$H$2,"m",'PBA Summary'!$F$2,'PBA Summary'!$G$2)</f>
        <v>0.44088109331557418</v>
      </c>
      <c r="BD51" s="26" cm="1">
        <f t="array" ref="BD51">_xll.ASAssetStatistic($A51,"Omega (Threshold 1)",,,'PBA Summary'!$H$2,"m",'PBA Summary'!$F$2,'PBA Summary'!$G$2)</f>
        <v>3.3399519705406155</v>
      </c>
      <c r="BE51" s="26" cm="1">
        <f t="array" ref="BE51">_xll.ASAssetStatistic($A51,"Omega (Threshold 2)",,,'PBA Summary'!$H$2,"m",'PBA Summary'!$F$2,'PBA Summary'!$G$2)</f>
        <v>2.5638122040911147</v>
      </c>
      <c r="BF51" s="26" cm="1">
        <f t="array" ref="BF51">_xll.ASAssetStatistic($A51,"Omega (Threshold 3)",,,'PBA Summary'!$H$2,"m",'PBA Summary'!$F$2,'PBA Summary'!$G$2)</f>
        <v>1.8596832631083557</v>
      </c>
      <c r="BG51" s="26" cm="1">
        <f t="array" ref="BG51">_xll.ASAssetStatistic($A51,"Omega (Threshold 4)",,,'PBA Summary'!$H$2,"m",'PBA Summary'!$F$2,'PBA Summary'!$G$2)</f>
        <v>1.2875660166171712</v>
      </c>
      <c r="BH51" s="26" cm="1">
        <f t="array" ref="BH51">_xll.ASAssetStatistic($A51,"Omega (Threshold 5)",,,'PBA Summary'!$H$2,"m",'PBA Summary'!$F$2,'PBA Summary'!$G$2)</f>
        <v>0.86816881108761534</v>
      </c>
      <c r="BI51" s="26" t="str" cm="1">
        <f t="array" ref="BI51">_xll.ASAssetStatistic($A51,"Autocorrelated (illiquid)",,,'PBA Summary'!$H$2,"m",'PBA Summary'!$F$2,'PBA Summary'!$G$2)</f>
        <v>No</v>
      </c>
      <c r="BJ51" s="27" cm="1">
        <f t="array" ref="BJ51">_xll.ASAssetStatistic($A51,"% months in Run Up",,,'PBA Summary'!$H$2,"m",'PBA Summary'!$F$2,'PBA Summary'!$G$2)</f>
        <v>0.8666666666666667</v>
      </c>
      <c r="BK51" s="27" cm="1">
        <f t="array" ref="BK51">_xll.ASAssetStatistic($A51,"% months in Drawdown",,,'PBA Summary'!$H$2,"m",'PBA Summary'!$F$2,'PBA Summary'!$G$2)</f>
        <v>0.13333333333333333</v>
      </c>
      <c r="BL51" s="18" cm="1">
        <f t="array" ref="BL51">IF('PBA Summary'!$D$2="","",_xll.ASAssetStatistic($A51,"Bull Beta to Benchmark 1",'PBA Summary'!$D$2,,,"m",'PBA Summary'!$F$2,'PBA Summary'!$G$2))</f>
        <v>0.82001021851839939</v>
      </c>
      <c r="BM51" s="18" cm="1">
        <f t="array" ref="BM51">IF('PBA Summary'!$D$2="","",_xll.ASAssetStatistic($A51,"Average return during bear Benchmark 1",'PBA Summary'!$D$2,,,"m",'PBA Summary'!$F$2,'PBA Summary'!$G$2))</f>
        <v>-2.4079555462031499E-2</v>
      </c>
      <c r="BN51" s="18" cm="1">
        <f t="array" ref="BN51">IF('PBA Summary'!$D$3="","",_xll.ASAssetStatistic($A51,"Average return during bull Benchmark 1",'PBA Summary'!$D$3,,,"m",'PBA Summary'!$F$2,'PBA Summary'!$G$2))</f>
        <v>3.3598125549188111E-2</v>
      </c>
      <c r="BO51" s="18" cm="1">
        <f t="array" ref="BO51">IF('PBA Summary'!$D$3="","",_xll.ASAssetStatistic($A51,"Average return during bear Benchmark 1",'PBA Summary'!$D$3,,,"m",'PBA Summary'!$F$2,'PBA Summary'!$G$2))</f>
        <v>-2.4079555462031499E-2</v>
      </c>
      <c r="BP51" s="27" cm="1">
        <f t="array" ref="BP51">_xll.ASAssetStatistic($A51,"Maximum consecutive gain",,,'PBA Summary'!$H$2,"m",'PBA Summary'!$F$2,'PBA Summary'!$G$2)</f>
        <v>0.20802603036876355</v>
      </c>
      <c r="BQ51" s="27" cm="1">
        <f t="array" ref="BQ51">_xll.ASAssetStatistic($A51,"Maximum consecutive loss",,,'PBA Summary'!$H$2,"m",'PBA Summary'!$F$2,'PBA Summary'!$G$2)</f>
        <v>-6.6801619433198289E-2</v>
      </c>
      <c r="BR51" s="27" cm="1">
        <f t="array" ref="BR51">_xll.ASAssetStatistic($A51,"Max monthly gain",,,'PBA Summary'!$H$2,"m",'PBA Summary'!$F$2,'PBA Summary'!$G$2)</f>
        <v>7.3065798987707486E-2</v>
      </c>
      <c r="BS51" s="27" cm="1">
        <f t="array" ref="BS51">_xll.ASAssetStatistic($A51,"Max monthly loss",,,'PBA Summary'!$H$2,"m",'PBA Summary'!$F$2,'PBA Summary'!$G$2)</f>
        <v>-6.6801619433198289E-2</v>
      </c>
      <c r="BT51" s="27" cm="1">
        <f t="array" ref="BT51">_xll.ASAssetStatistic($A51,"Max drawdown",,,'PBA Summary'!$H$2,"m",'PBA Summary'!$F$2,'PBA Summary'!$G$2)</f>
        <v>-6.6801619433198289E-2</v>
      </c>
      <c r="BU51" s="28" cm="1">
        <f t="array" ref="BU51">_xll.ASAssetStatistic($A51,"Date Max drawdown",,,'PBA Summary'!$H$2,"m",'PBA Summary'!$F$2,'PBA Summary'!$G$2)</f>
        <v>43465</v>
      </c>
      <c r="BV51" s="28" cm="1">
        <f t="array" ref="BV51">_xll.ASAssetStatistic($A51,"Start Date Max Drawdown",,,'PBA Summary'!$H$2,"m",'PBA Summary'!$F$2,'PBA Summary'!$G$2)</f>
        <v>43465</v>
      </c>
      <c r="BW51" s="28" cm="1">
        <f t="array" ref="BW51">_xll.ASAssetStatistic($A51,"End Date Max Drawdown",,,'PBA Summary'!$H$2,"m",'PBA Summary'!$F$2,'PBA Summary'!$G$2)</f>
        <v>43465</v>
      </c>
      <c r="BX51" s="29" cm="1">
        <f t="array" ref="BX51">_xll.ASAssetStatistic($A51,"Max Time-under-water (months)",,,'PBA Summary'!$H$2,"m",'PBA Summary'!$F$2,'PBA Summary'!$G$2)</f>
        <v>1</v>
      </c>
      <c r="BY51" s="27" cm="1">
        <f t="array" ref="BY51">_xll.ASAssetStatistic($A51,"Max possible drawdown 99%",,,'PBA Summary'!$H$2,"m",'PBA Summary'!$F$2,'PBA Summary'!$G$2)</f>
        <v>-0.10000229011663916</v>
      </c>
      <c r="BZ51" s="27" cm="1">
        <f t="array" ref="BZ51">_xll.ASAssetStatistic($A51,"Max possible drawdown 99.9%",,,'PBA Summary'!$H$2,"m",'PBA Summary'!$F$2,'PBA Summary'!$G$2)</f>
        <v>-0.17645862319100958</v>
      </c>
      <c r="CA51" s="30" cm="1">
        <f t="array" ref="CA51">_xll.ASAssetStatistic($A51,"Max Possible Time-under-water 99% (months)",,,'PBA Summary'!$H$2,"m",'PBA Summary'!$F$2,'PBA Summary'!$G$2)</f>
        <v>21.957520141974491</v>
      </c>
      <c r="CB51" s="30" cm="1">
        <f t="array" ref="CB51">_xll.ASAssetStatistic($A51,"Max Possible Time-under-water 99.9% (months)",,,'PBA Summary'!$H$2,"m",'PBA Summary'!$F$2,'PBA Summary'!$G$2)</f>
        <v>38.74505042257023</v>
      </c>
      <c r="CC51" s="17" cm="1">
        <f t="array" ref="CC51">_xll.ASPortfolioReturnAttribution('PBA Summary'!$C$2,"OR",A51,"Last 1m",'PBA Summary'!$F$2,'PBA Summary'!$G$2)</f>
        <v>0</v>
      </c>
      <c r="CD51" s="11" t="str" cm="1">
        <f t="array" ref="CD51">_xll.ASAssetInfo($A51,"Strategy")</f>
        <v>Funds - Equities Long Only</v>
      </c>
      <c r="CE51" s="14" cm="1">
        <f t="array" ref="CE51">_xll.ASAssetInfo($A51,"Start Date")</f>
        <v>37077</v>
      </c>
      <c r="CF51" s="14" t="str" cm="1">
        <f t="array" ref="CF51">_xll.ASAssetRatings($A51,"Quantitative",0,0,0,0,0,'PBA Summary'!$F$2,'PBA Summary'!$G$2)</f>
        <v/>
      </c>
      <c r="CG51" s="14" t="str" cm="1">
        <f t="array" ref="CG51">_xll.ASAssetRatings($A51,"Qualitative",0,0,0,0,0,'PBA Summary'!$F$2,'PBA Summary'!$G$2)</f>
        <v/>
      </c>
      <c r="CH51" s="14" t="str" cm="1">
        <f t="array" ref="CH51">_xll.ASAssetRatings($A51,"Final",0,0,0,0,0,'PBA Summary'!$F$2,'PBA Summary'!$G$2)</f>
        <v/>
      </c>
      <c r="CI51" s="14" cm="1">
        <f t="array" ref="CI51">_xll.ASAssetInfo($A51,"Last Return Date")</f>
        <v>44133</v>
      </c>
      <c r="CJ51" s="14" t="str" cm="1">
        <f t="array" ref="CJ51">_xll.ASAssetInfo($A51,"Company Name")</f>
        <v>Seilern International Funds PL</v>
      </c>
      <c r="CK51" s="14" t="str" cm="1">
        <f t="array" ref="CK51">_xll.ASAssetInfo($A51,"Manager Name")</f>
        <v/>
      </c>
      <c r="CL51" s="14" t="str" cm="1">
        <f t="array" ref="CL51">_xll.ASAssetInfo($A51,"Address")</f>
        <v>Seilern Investment Management Ltd. 43 Portland Place. London W1B 1QH. United Kingdom</v>
      </c>
      <c r="CM51" s="14" t="str" cm="1">
        <f t="array" ref="CM51">_xll.ASAssetInfo($A51,"Phone Number")</f>
        <v>44-20-7494-1996 Tel</v>
      </c>
      <c r="CN51" s="14" t="str" cm="1">
        <f t="array" ref="CN51">_xll.ASAssetInfo($A51,"Email")</f>
        <v/>
      </c>
      <c r="CO51" s="14" t="str" cm="1">
        <f t="array" ref="CO51">_xll.ASAssetInfo($A51,"Asset Type")</f>
        <v>Equities</v>
      </c>
      <c r="CP51" s="14" t="str" cm="1">
        <f t="array" ref="CP51">_xll.ASAssetInfo($A51,"Proprietary ID")</f>
        <v/>
      </c>
      <c r="CQ51" s="14" t="str" cm="1">
        <f t="array" ref="CQ51">_xll.ASAssetInfo($A51,"Country")</f>
        <v>United Kingdom</v>
      </c>
      <c r="CR51" s="14" t="str" cm="1">
        <f t="array" ref="CR51">_xll.ASAssetInfo($A51,"Currency")</f>
        <v>USD</v>
      </c>
      <c r="CS51" s="14" t="str" cm="1">
        <f t="array" ref="CS51">_xll.ASAssetInfo($A51,"Sub-Strategy")</f>
        <v>OECD Countries</v>
      </c>
      <c r="CT51" s="31" cm="1">
        <f t="array" ref="CT51">_xll.ASAssetInfo($A51,"Fund AUM (m)")</f>
        <v>1278.42</v>
      </c>
      <c r="CU51" s="31" t="str" cm="1">
        <f t="array" ref="CU51">_xll.ASAssetInfo($A51,"Status")</f>
        <v>Unknown</v>
      </c>
      <c r="CV51" s="31" t="str" cm="1">
        <f t="array" ref="CV51">_xll.ASAssetInfo($A51,"Redemption 1 Frequency")</f>
        <v>Daily</v>
      </c>
      <c r="CW51" s="31" t="str" cm="1">
        <f t="array" ref="CW51">_xll.ASAssetInfo($A51,"Redemption 2 Frequency")</f>
        <v>Unknown</v>
      </c>
      <c r="CX51" s="31" t="str" cm="1">
        <f t="array" ref="CX51">_xll.ASAssetInfo($A51,"Redemption 3 Frequency")</f>
        <v>Unknown</v>
      </c>
      <c r="CY51" s="31" t="str" cm="1">
        <f t="array" ref="CY51">_xll.ASAssetInfo($A51,"Notice Period")</f>
        <v/>
      </c>
      <c r="CZ51" s="15" t="str" cm="1">
        <f t="array" ref="CZ51">_xll.ASAssetInfo($A51,"Performance Fee")</f>
        <v/>
      </c>
      <c r="DA51" s="15" cm="1">
        <f t="array" ref="DA51">_xll.ASAssetInfo($A51,"Management Fee")</f>
        <v>7.4999999999999997E-3</v>
      </c>
      <c r="DB51" s="15" t="str" cm="1">
        <f t="array" ref="DB51">_xll.ASAssetInfo($A51,"ISIN")</f>
        <v>IE00B5ST2S55</v>
      </c>
      <c r="DC51" s="16" cm="1">
        <f t="array" ref="DC51">_xll.ASAssetStatistic($A51,"Return during " &amp;YEAR(EOMONTH('PBA Summary'!$G$2,-60)),,,,"M",DATE(YEAR(EOMONTH('PBA Summary'!$G$2,-60)),1,31),DATE(YEAR(EOMONTH('PBA Summary'!$G$2,-60)),12,31))</f>
        <v>0.10239260467645539</v>
      </c>
      <c r="DD51" s="16" cm="1">
        <f t="array" ref="DD51">_xll.ASAssetStatistic($A51,"Return during " &amp;YEAR(EOMONTH('PBA Summary'!$G$2,-48)),,,,"M",DATE(YEAR(EOMONTH('PBA Summary'!$G$2,-48)),1,31),DATE(YEAR(EOMONTH('PBA Summary'!$G$2,-48)),12,31))</f>
        <v>4.5281902037193511E-2</v>
      </c>
      <c r="DE51" s="16" cm="1">
        <f t="array" ref="DE51">_xll.ASAssetStatistic($A51,"Return during " &amp;YEAR(EOMONTH('PBA Summary'!$G$2,-36)),,,,"M",DATE(YEAR(EOMONTH('PBA Summary'!$G$2,-36)),1,31),DATE(YEAR(EOMONTH('PBA Summary'!$G$2,-36)),12,31))</f>
        <v>0.28483790288329813</v>
      </c>
      <c r="DF51" s="16" cm="1">
        <f t="array" ref="DF51">_xll.ASAssetStatistic($A51,"Return during " &amp;YEAR(EOMONTH('PBA Summary'!$G$2,-24)),,,,"M",DATE(YEAR(EOMONTH('PBA Summary'!$G$2,-24)),1,31),DATE(YEAR(EOMONTH('PBA Summary'!$G$2,-24)),12,31))</f>
        <v>1.5903331252065556E-2</v>
      </c>
      <c r="DG51" s="16" cm="1">
        <f t="array" ref="DG51">_xll.ASAssetStatistic($A51,"Return during " &amp;YEAR(EOMONTH('PBA Summary'!$G$2,-12)),,,,"M",DATE(YEAR(EOMONTH('PBA Summary'!$G$2,-12)),1,31),DATE(YEAR(EOMONTH('PBA Summary'!$G$2,-12)),12,31))</f>
        <v>0.35159074475777397</v>
      </c>
      <c r="DH51" s="11" t="str" cm="1">
        <f t="array" ref="DH51">_xll.ASAssetInfo($A51,"Prime Broker")</f>
        <v/>
      </c>
      <c r="DI51" s="16" cm="1">
        <f t="array" ref="DI51">_xll.ASAssetStatistic($A51,"Return",,,,"m",'PBA Summary'!$F$2,'PBA Summary'!$G$2)</f>
        <v>0.29885454043610427</v>
      </c>
      <c r="DJ51" s="33" cm="1">
        <f t="array" ref="DJ51">IF('PBA Summary'!$D$2="","",_xll.ASAssetStatistic($A51,"Ann. Information Ratio vs Benchmark 1",'PBA Summary'!$D$2,,,"m",'PBA Summary'!$F$2,'PBA Summary'!$G$2))</f>
        <v>1.2639827435462712</v>
      </c>
      <c r="DK51" s="33" cm="1">
        <f t="array" ref="DK51">IF('PBA Summary'!$D$3="","",_xll.ASAssetStatistic($A51,"Ann. Information Ratio vs Benchmark 1",'PBA Summary'!$D$3,,,"m",'PBA Summary'!$F$2,'PBA Summary'!$G$2))</f>
        <v>1.2639827435462712</v>
      </c>
      <c r="DL51" s="33" cm="1">
        <f t="array" ref="DL51">IF('PBA Summary'!$D$2="","",_xll.ASAssetStatistic($A51,"Ann. Tracking Error vs Benchmark 1",'PBA Summary'!$D$2,,,"m",'PBA Summary'!$F$2,'PBA Summary'!$G$2))</f>
        <v>4.7755533451616268E-2</v>
      </c>
      <c r="DM51" s="33" cm="1">
        <f t="array" ref="DM51">IF('PBA Summary'!$D$3="","",_xll.ASAssetStatistic($A51,"Ann. Tracking Error vs Benchmark 1",'PBA Summary'!$D$3,,,"m",'PBA Summary'!$F$2,'PBA Summary'!$G$2))</f>
        <v>4.7755533451616268E-2</v>
      </c>
      <c r="DN51" s="33" cm="1">
        <f t="array" ref="DN51">IF('PBA Summary'!$D$2="","",_xll.ASAssetStatistic($A51,"R² vs Benchmark 1",'PBA Summary'!$D$2,,,"m",'PBA Summary'!$F$2,'PBA Summary'!$G$2))</f>
        <v>0.9205225297226034</v>
      </c>
      <c r="DO51" s="33" cm="1">
        <f t="array" ref="DO51">IF('PBA Summary'!$D$3="","",_xll.ASAssetStatistic($A51,"R² vs Benchmark 1",'PBA Summary'!$D$3,,,"m",'PBA Summary'!$F$2,'PBA Summary'!$G$2))</f>
        <v>0.9205225297226034</v>
      </c>
      <c r="DP51" s="11" t="str" cm="1">
        <f t="array" ref="DP51">_xll.ASAssetInfo($A51,"On-/Offshore")</f>
        <v>Unknown</v>
      </c>
      <c r="DQ51" s="16" cm="1">
        <f t="array" ref="DQ51">_xll.ASAssetStatistic($A51,"Quarter-to-date",,,,"m",'PBA Summary'!$F$2,'PBA Summary'!$G$2)</f>
        <v>6.9814096562794692E-3</v>
      </c>
      <c r="DR51" s="16" cm="1">
        <f t="array" ref="DR51">_xll.ASAssetStatistic($A51,"Annualized Return Since inception",,,,"m",'PBA Summary'!$F$2,'PBA Summary'!$G$2)</f>
        <v>7.9155621676934906E-2</v>
      </c>
      <c r="DS51" s="16" cm="1">
        <f t="array" ref="DS51">IF('PBA Summary'!$D$2="","",_xll.ASAssetStatistic($A51,"Ann. Bear Market Return vs Benchmark 1",'PBA Summary'!$D$2,,,"m",'PBA Summary'!$F$2,'PBA Summary'!$G$2))</f>
        <v>-0.25931641793006399</v>
      </c>
      <c r="DT51" s="16" cm="1">
        <f t="array" ref="DT51">IF('PBA Summary'!$D$2="","",_xll.ASAssetStatistic($A51,"Ann. Bull Market Return vs Benchmark 1",'PBA Summary'!$D$2,,,"m",'PBA Summary'!$F$2,'PBA Summary'!$G$2))</f>
        <v>0.48351002175165814</v>
      </c>
      <c r="DU51" s="16" cm="1">
        <f t="array" ref="DU51">IF('PBA Summary'!$D$3="","",_xll.ASAssetStatistic($A51,"Ann. Bear Market Return vs Benchmark 1",'PBA Summary'!$D$3,,,"m",'PBA Summary'!$F$2,'PBA Summary'!$G$2))</f>
        <v>-0.25931641793006399</v>
      </c>
      <c r="DV51" s="16" cm="1">
        <f t="array" ref="DV51">IF('PBA Summary'!$D$3="","",_xll.ASAssetStatistic($A51,"Ann. Bull Market Return vs Benchmark 1",'PBA Summary'!$D$3,,,"m",'PBA Summary'!$F$2,'PBA Summary'!$G$2))</f>
        <v>0.48351002175165814</v>
      </c>
      <c r="DW51" s="17" cm="1">
        <f t="array" ref="DW51">_xll.ASAssetStatistic($A51,"Average Positive Return",,,,"m",'PBA Summary'!$F$2,'PBA Summary'!$G$2)</f>
        <v>3.0003217640265725E-2</v>
      </c>
      <c r="DX51" s="17" cm="1">
        <f t="array" ref="DX51">_xll.ASAssetStatistic($A51,"Average Negative Return",,,,"m",'PBA Summary'!$F$2,'PBA Summary'!$G$2)</f>
        <v>-5.8390335065255594E-2</v>
      </c>
      <c r="DY51" s="16" cm="1">
        <f t="array" ref="DY51">IF('PBA Summary'!$D$2="","",_xll.ASAssetStatistic($A51,"Outperformance vs Benchmark 1",'PBA Summary'!$D$2,,,"m",'PBA Summary'!$F$2,'PBA Summary'!$G$2))</f>
        <v>7.9010895627385613E-2</v>
      </c>
      <c r="DZ51" s="16" cm="1">
        <f t="array" ref="DZ51">IF('PBA Summary'!$D$3="","",_xll.ASAssetStatistic($A51,"Outperformance vs Benchmark 1",'PBA Summary'!$D$3,,,"m",'PBA Summary'!$F$2,'PBA Summary'!$G$2))</f>
        <v>7.9010895627385613E-2</v>
      </c>
      <c r="EA51" s="16" cm="1">
        <f t="array" ref="EA51">IF('PBA Summary'!$D$2="","",_xll.ASAssetStatistic($A51,"Annual Outperformance vs Benchmark 1",'PBA Summary'!$D$2,,,"m",'PBA Summary'!$F$2,'PBA Summary'!$G$2))</f>
        <v>6.0362170191689657E-2</v>
      </c>
      <c r="EB51" s="16" cm="1">
        <f t="array" ref="EB51">IF('PBA Summary'!$D$3="","",_xll.ASAssetStatistic($A51,"Annual Outperformance vs Benchmark 1",'PBA Summary'!$D$3,,,"m",'PBA Summary'!$F$2,'PBA Summary'!$G$2))</f>
        <v>6.0362170191689657E-2</v>
      </c>
      <c r="EC51" s="32" cm="1">
        <f t="array" ref="EC51">_xll.ASAssetStatistic($A51,"Rachev Ratio 99%",,,,"m",'PBA Summary'!$F$2,'PBA Summary'!$G$2)</f>
        <v>-1.0937728696947742</v>
      </c>
      <c r="ED51" s="32" cm="1">
        <f t="array" ref="ED51">_xll.ASAssetStatistic($A51,"Rachev Ratio 97%",,,,"m",'PBA Summary'!$F$2,'PBA Summary'!$G$2)</f>
        <v>-1.0937728696947742</v>
      </c>
      <c r="EE51" s="32" cm="1">
        <f t="array" ref="EE51">_xll.ASAssetStatistic($A51,"Rachev Ratio 95%",,,,"m",'PBA Summary'!$F$2,'PBA Summary'!$G$2)</f>
        <v>-1.0937728696947742</v>
      </c>
      <c r="EF51" s="32" cm="1">
        <f t="array" ref="EF51">_xll.ASAssetStatistic($A51,"Rachev Ratio 90%",,,,"m",'PBA Summary'!$F$2,'PBA Summary'!$G$2)</f>
        <v>-1.1341525891477919</v>
      </c>
      <c r="EG51" s="34" cm="1">
        <f t="array" ref="EG51">IF('PBA Summary'!$D$2="","",_xll.ASAssetStatistic($A51,"Annual Up Capture vs Benchmark 1",'PBA Summary'!$D$2,,,"m",'PBA Summary'!$F$2,'PBA Summary'!$G$2))</f>
        <v>0.95516101910060847</v>
      </c>
      <c r="EH51" s="34" cm="1">
        <f t="array" ref="EH51">IF('PBA Summary'!$D$3="","",_xll.ASAssetStatistic($A51,"Annual Up Capture vs Benchmark 1",'PBA Summary'!$D$3,,,"m",'PBA Summary'!$F$2,'PBA Summary'!$G$2))</f>
        <v>0.95516101910060847</v>
      </c>
      <c r="EI51" s="34" cm="1">
        <f t="array" ref="EI51">IF('PBA Summary'!$D$2="","",_xll.ASAssetStatistic($A51,"Annual Down Capture vs Benchmark 1",'PBA Summary'!$D$2,,,"m",'PBA Summary'!$F$2,'PBA Summary'!$G$2))</f>
        <v>0.63013730476881924</v>
      </c>
      <c r="EJ51" s="34" cm="1">
        <f t="array" ref="EJ51">IF('PBA Summary'!$D$3="","",_xll.ASAssetStatistic($A51,"Annual Down Capture vs Benchmark 1",'PBA Summary'!$D$3,,,"m",'PBA Summary'!$F$2,'PBA Summary'!$G$2))</f>
        <v>0.63013730476881924</v>
      </c>
      <c r="EK51" s="16" cm="1">
        <f t="array" ref="EK51">IF('PBA Summary'!$D$2="","",_xll.ASAssetStatistic($A51,"Ann. Tracking Error vs Benchmark 1",'PBA Summary'!$D$2,,,"m",'PBA Summary'!$F$2,'PBA Summary'!$G$2))</f>
        <v>4.7755533451616268E-2</v>
      </c>
      <c r="EL51" s="16" cm="1">
        <f t="array" ref="EL51">IF('PBA Summary'!$D$3="","",_xll.ASAssetStatistic($A51,"Ann. Tracking Error vs Benchmark 1",'PBA Summary'!$D$3,,,"m",'PBA Summary'!$F$2,'PBA Summary'!$G$2))</f>
        <v>4.7755533451616268E-2</v>
      </c>
      <c r="EM51" s="16" cm="1">
        <f t="array" ref="EM51">IF('PBA Summary'!$D$2="","",_xll.ASAssetStatistic($A51,"Annual Jensen Alpha vs Benchmark 1 (Rf)",'PBA Summary'!$D$2,,,"m",'PBA Summary'!$F$2,'PBA Summary'!$G$2))</f>
        <v>9.5276839399203006E-2</v>
      </c>
      <c r="EN51" s="16" cm="1">
        <f t="array" ref="EN51">IF('PBA Summary'!$D$3="","",_xll.ASAssetStatistic($A51,"Annual Jensen Alpha vs Benchmark 1 (Rf)",'PBA Summary'!$D$3,,,"m",'PBA Summary'!$F$2,'PBA Summary'!$G$2))</f>
        <v>9.5276839399203006E-2</v>
      </c>
      <c r="EO51" s="33" cm="1">
        <f t="array" ref="EO51">IF('PBA Summary'!$D$2="","",_xll.ASAssetStatistic($A51,"Ann. Information Ratio vs Benchmark 1",'PBA Summary'!$D$2,,,"m",'PBA Summary'!$F$2,'PBA Summary'!$G$2))</f>
        <v>1.2639827435462712</v>
      </c>
      <c r="EP51" s="33" cm="1">
        <f t="array" ref="EP51">IF('PBA Summary'!$D$3="","",_xll.ASAssetStatistic($A51,"Ann. Information Ratio vs Benchmark 1",'PBA Summary'!$D$3,,,"m",'PBA Summary'!$F$2,'PBA Summary'!$G$2))</f>
        <v>1.2639827435462712</v>
      </c>
      <c r="EQ51" s="17" cm="1">
        <f t="array" ref="EQ51">IF('PBA Summary'!$D$2="","",_xll.ASAssetStatistic($A51,"Alpha Monthly vs Benchmark 1",'PBA Summary'!$D$2,,,"m",'PBA Summary'!$F$2,'PBA Summary'!$G$2))</f>
        <v>6.8834322562549132E-3</v>
      </c>
      <c r="ER51" s="17" cm="1">
        <f t="array" ref="ER51">IF('PBA Summary'!$D$3="","",_xll.ASAssetStatistic($A51,"Alpha Monthly vs Benchmark 1",'PBA Summary'!$D$3,,,"m",'PBA Summary'!$F$2,'PBA Summary'!$G$2))</f>
        <v>6.8834322562549132E-3</v>
      </c>
      <c r="ES51" s="11" t="str" cm="1">
        <f t="array" ref="ES51">_xll.ASAssetInfo($A51,"Company AUM (m)")</f>
        <v/>
      </c>
      <c r="ET51" s="16" cm="1">
        <f t="array" ref="ET51">_xll.ASAssetStatistic($A51,"Exponential Annualized Volatility",,,,"m",'PBA Summary'!$F$2,'PBA Summary'!$G$2)</f>
        <v>0.10401688698234562</v>
      </c>
      <c r="EU51" s="16" cm="1">
        <f t="array" ref="EU51">_xll.ASAssetStatistic($A51,"Exponential Annualized Volatility Last 1 year",,,,"m",'PBA Summary'!$F$2,'PBA Summary'!$G$2)</f>
        <v>8.4757201219357162E-2</v>
      </c>
      <c r="EV51" s="16" t="str" cm="1">
        <f t="array" ref="EV51">_xll.ASAssetStatistic($A51,"Exponential Annualized Volatility Last 3 years",,,,"m",'PBA Summary'!$F$2,'PBA Summary'!$G$2)</f>
        <v/>
      </c>
      <c r="EW51" s="34" cm="1">
        <f t="array" ref="EW51">IF('PBA Summary'!$D$2="","",_xll.ASAssetStatistic($A51,"Exponential Correlation to Benchmark 1",'PBA Summary'!$D$2,,,"m",'PBA Summary'!$F$2,'PBA Summary'!$G$2))</f>
        <v>0.86413616945824101</v>
      </c>
      <c r="EX51" s="34" cm="1">
        <f t="array" ref="EX51">IF('PBA Summary'!$D$3="","",_xll.ASAssetStatistic($A51,"Exponential Correlation to Benchmark 1",'PBA Summary'!$D$3,,,"m",'PBA Summary'!$F$2,'PBA Summary'!$G$2))</f>
        <v>0.86413616945824101</v>
      </c>
      <c r="EY51" s="34" cm="1">
        <f t="array" ref="EY51">_xll.ASAssetStatistic($A51,"Exponential Annual Sharpe Ratio (Rf)",,,,"m",'PBA Summary'!$F$2,'PBA Summary'!$G$2)</f>
        <v>2.3129646916207904</v>
      </c>
      <c r="EZ51" s="34" cm="1">
        <f t="array" ref="EZ51">_xll.ASAssetStatistic($A51,"Exponential Normal Monthly VaR 99%",,,,"m",'PBA Summary'!$F$2,'PBA Summary'!$G$2)</f>
        <v>-5.1554873907784002E-2</v>
      </c>
      <c r="FA51" s="34" cm="1">
        <f t="array" ref="FA51">_xll.ASAssetStatistic($A51,"Exponential Normal Monthly VaR 97%",,,,"m",'PBA Summary'!$F$2,'PBA Summary'!$G$2)</f>
        <v>-3.8176176378526758E-2</v>
      </c>
      <c r="FB51" s="34" cm="1">
        <f t="array" ref="FB51">_xll.ASAssetStatistic($A51,"Exponential Normal Monthly VaR 95%",,,,"m",'PBA Summary'!$F$2,'PBA Summary'!$G$2)</f>
        <v>-3.1091585599829812E-2</v>
      </c>
      <c r="FC51" s="34" cm="1">
        <f t="array" ref="FC51">_xll.ASAssetStatistic($A51,"Exponential Normal Monthly VaR 90%",,,,"m",'PBA Summary'!$F$2,'PBA Summary'!$G$2)</f>
        <v>-2.0182682322663969E-2</v>
      </c>
      <c r="FD51" s="34" t="str" cm="1">
        <f t="array" ref="FD51">_xll.ASAssetStatistic($A51,"Exponential Normal weekly VaR 99%",,,,"m",'PBA Summary'!$F$2,'PBA Summary'!$G$2)</f>
        <v/>
      </c>
      <c r="FE51" s="34" t="str" cm="1">
        <f t="array" ref="FE51">_xll.ASAssetStatistic($A51,"Exponential Normal weekly VaR 97%",,,,"m",'PBA Summary'!$F$2,'PBA Summary'!$G$2)</f>
        <v/>
      </c>
      <c r="FF51" s="34" t="str" cm="1">
        <f t="array" ref="FF51">_xll.ASAssetStatistic($A51,"Exponential Normal weekly VaR 95%",,,,"m",'PBA Summary'!$F$2,'PBA Summary'!$G$2)</f>
        <v/>
      </c>
      <c r="FG51" s="34" t="str" cm="1">
        <f t="array" ref="FG51">_xll.ASAssetStatistic($A51,"Exponential Normal weekly VaR 90%",,,,"m",'PBA Summary'!$F$2,'PBA Summary'!$G$2)</f>
        <v/>
      </c>
      <c r="FH51" s="34" t="str" cm="1">
        <f t="array" ref="FH51">_xll.ASAssetStatistic($A51,"Exponential Normal daily VaR 99%",,,,"m",'PBA Summary'!$F$2,'PBA Summary'!$G$2)</f>
        <v/>
      </c>
      <c r="FI51" s="34" t="str" cm="1">
        <f t="array" ref="FI51">_xll.ASAssetStatistic($A51,"Exponential Normal daily VaR 97%",,,,"m",'PBA Summary'!$F$2,'PBA Summary'!$G$2)</f>
        <v/>
      </c>
      <c r="FJ51" s="34" t="str" cm="1">
        <f t="array" ref="FJ51">_xll.ASAssetStatistic($A51,"Exponential Normal daily VaR 95%",,,,"m",'PBA Summary'!$F$2,'PBA Summary'!$G$2)</f>
        <v/>
      </c>
      <c r="FK51" s="34" t="str" cm="1">
        <f t="array" ref="FK51">_xll.ASAssetStatistic($A51,"Exponential Normal daily VaR 90%",,,,"m",'PBA Summary'!$F$2,'PBA Summary'!$G$2)</f>
        <v/>
      </c>
      <c r="FL51" s="34" cm="1">
        <f t="array" ref="FL51">_xll.ASAssetStatistic($A51,"Bias Ratio",,,,"m",'PBA Summary'!$F$2,'PBA Summary'!$G$2)</f>
        <v>9</v>
      </c>
      <c r="FM51" s="11" t="str" cm="1">
        <f t="array" ref="FM51">_xll.ASAssetInfo($A51,"Manager's Biography")</f>
        <v/>
      </c>
      <c r="FN51" s="11" cm="1">
        <f t="array" ref="FN51">_xll.ASAssetInfo($A51,"Investment Min")</f>
        <v>5000000</v>
      </c>
      <c r="FO51" s="11" t="str" cm="1">
        <f t="array" ref="FO51">_xll.ASAssetInfo($A51,"Auditor")</f>
        <v>PwC</v>
      </c>
      <c r="FP51" s="11" t="str" cm="1">
        <f t="array" ref="FP51">_xll.ASAssetInfo($A51,"Custodian")</f>
        <v>Brown Brothers Harriman Trustee Services Ireland Ltd/Ireland</v>
      </c>
      <c r="FQ51" s="11" t="str" cm="1">
        <f t="array" ref="FQ51">_xll.ASAssetInfo($A51,"Administrator")</f>
        <v>Brown Brothers Harriman Fund Administration Services Ireland Ltd</v>
      </c>
      <c r="FR51" s="14" cm="1">
        <f t="array" ref="FR51">_xll.ASAssetInfo($A51,"Proxy 1 Start Date")</f>
        <v>37077</v>
      </c>
      <c r="FS51" s="14" cm="1">
        <f t="array" ref="FS51">_xll.ASAssetInfo($A51,"Proxy 1 End Date")</f>
        <v>44133</v>
      </c>
      <c r="FT51" s="14" t="str" cm="1">
        <f t="array" ref="FT51">_xll.ASAssetInfo($A51,"Proxy 2 Start Date")</f>
        <v/>
      </c>
      <c r="FU51" s="14" t="str" cm="1">
        <f t="array" ref="FU51">_xll.ASAssetInfo($A51,"Proxy 2 End Date")</f>
        <v/>
      </c>
      <c r="FV51" s="14" t="str" cm="1">
        <f t="array" ref="FV51">_xll.ASAssetInfo($A51,"Proxy 3 Start Date")</f>
        <v/>
      </c>
      <c r="FW51" s="14" t="str" cm="1">
        <f t="array" ref="FW51">_xll.ASAssetInfo($A51,"Proxy 3 End Date")</f>
        <v/>
      </c>
      <c r="FX51" s="14" t="str" cm="1">
        <f t="array" ref="FX51">_xll.ASAssetInfo($A51,"Fund Domicile")</f>
        <v>IE</v>
      </c>
      <c r="FY51" s="14" t="str" cm="1">
        <f t="array" ref="FY51">_xll.ASAssetInfo($A51,"Fund Contact")</f>
        <v/>
      </c>
      <c r="FZ51" s="14" t="str" cm="1">
        <f t="array" ref="FZ51">_xll.ASAssetInfo($A51,"Fund Contact Email")</f>
        <v/>
      </c>
      <c r="GA51" s="14" t="str" cm="1">
        <f t="array" ref="GA51">_xll.ASAssetInfo($A51,"Fund Contact Number")</f>
        <v/>
      </c>
      <c r="GB51" s="14" t="str" cm="1">
        <f t="array" ref="GB51">_xll.ASAssetInfo($A51,"City")</f>
        <v>London</v>
      </c>
      <c r="GC51" s="14" t="str" cm="1">
        <f t="array" ref="GC51">_xll.ASAssetInfo($A51,"Leverage")</f>
        <v>N</v>
      </c>
      <c r="GD51" s="14" t="str" cm="1">
        <f t="array" ref="GD51">_xll.ASAssetInfo($A51,"Lockup 1 Duration")</f>
        <v>0 Months</v>
      </c>
      <c r="GE51" s="14" t="str" cm="1">
        <f t="array" ref="GE51">_xll.ASAssetInfo($A51,"Lockup 2 Duration")</f>
        <v>0 Months</v>
      </c>
      <c r="GF51" s="14" t="str" cm="1">
        <f t="array" ref="GF51">_xll.ASAssetInfo($A51,"Lockup 3 Duration")</f>
        <v>0 Months</v>
      </c>
      <c r="GG51" s="31" t="str" cm="1">
        <f t="array" ref="GG51">_xll.ASAssetInfo($A51,"Fund Level Gate")</f>
        <v/>
      </c>
      <c r="GH51" s="31" t="str" cm="1">
        <f t="array" ref="GH51">_xll.ASAssetInfo($A51,"Fund Level Gate Frequency")</f>
        <v>Unknown</v>
      </c>
      <c r="GI51" s="35" cm="1">
        <f t="array" ref="GI51">_xll.ASAssetInfo($A51,"Payment 2 (%)")</f>
        <v>0</v>
      </c>
      <c r="GJ51" s="35" t="str" cm="1">
        <f t="array" ref="GJ51">_xll.ASAssetInfo($A51,"Payment 2 (days)")</f>
        <v/>
      </c>
      <c r="GK51" s="35" t="str" cm="1">
        <f t="array" ref="GK51">_xll.ASAssetInfo($A51,"Payment 2 (Paid After)")</f>
        <v>NAV Date</v>
      </c>
      <c r="GL51" s="35" cm="1">
        <f t="array" ref="GL51">_xll.ASAssetInfo($A51,"Payment 3 (%)")</f>
        <v>0</v>
      </c>
      <c r="GM51" s="36" t="str" cm="1">
        <f t="array" ref="GM51">_xll.ASAssetInfo($A51,"Payment 3 (Days)")</f>
        <v/>
      </c>
      <c r="GN51" s="35" t="str" cm="1">
        <f t="array" ref="GN51">_xll.ASAssetInfo($A51,"Payment 3 (Paid After)")</f>
        <v>NAV Date</v>
      </c>
      <c r="GO51" s="35" cm="1">
        <f t="array" ref="GO51">_xll.ASAssetInfo($A51,"Payment 4 (%)")</f>
        <v>0</v>
      </c>
      <c r="GP51" s="36" t="str" cm="1">
        <f t="array" ref="GP51">_xll.ASAssetInfo($A51,"Payment 4 (days)")</f>
        <v/>
      </c>
      <c r="GQ51" s="35" t="str" cm="1">
        <f t="array" ref="GQ51">_xll.ASAssetInfo($A51,"Payment 4 (Paid After)")</f>
        <v>NAV Date</v>
      </c>
      <c r="GR51" s="11" cm="1">
        <f t="array" ref="GR51">_xll.ASAssetInfo($A51,"Payment 1 (%)")</f>
        <v>1</v>
      </c>
      <c r="GS51" s="35" cm="1">
        <f t="array" ref="GS51">_xll.ASAssetInfo($A51,"Lockup 1 Fee")</f>
        <v>0</v>
      </c>
      <c r="GT51" s="35" cm="1">
        <f t="array" ref="GT51">_xll.ASAssetInfo($A51,"Lockup 2 Fee")</f>
        <v>0</v>
      </c>
      <c r="GU51" s="35" cm="1">
        <f t="array" ref="GU51">_xll.ASAssetInfo($A51,"Lockup 3 Fee")</f>
        <v>0</v>
      </c>
      <c r="GV51" s="35" t="str" cm="1">
        <f t="array" ref="GV51">_xll.ASAssetInfo($A51,"Lockup 1 type")</f>
        <v>None</v>
      </c>
      <c r="GW51" s="35" t="str" cm="1">
        <f t="array" ref="GW51">_xll.ASAssetInfo($A51,"Lockup 2 type")</f>
        <v>None</v>
      </c>
      <c r="GX51" s="35" t="str" cm="1">
        <f t="array" ref="GX51">_xll.ASAssetInfo($A51,"Lockup 3 type")</f>
        <v>None</v>
      </c>
      <c r="GY51" s="35" t="str" cm="1">
        <f t="array" ref="GY51">_xll.ASAssetInfo($A51,"Redemption 1 type")</f>
        <v>Calendar</v>
      </c>
      <c r="GZ51" s="35" t="str" cm="1">
        <f t="array" ref="GZ51">_xll.ASAssetInfo($A51,"Redemption 2 type")</f>
        <v>Calendar</v>
      </c>
      <c r="HA51" s="35" t="str" cm="1">
        <f t="array" ref="HA51">_xll.ASAssetInfo($A51,"Redemption 3 type")</f>
        <v>Calendar</v>
      </c>
      <c r="HB51" s="35" t="str" cm="1">
        <f t="array" ref="HB51">_xll.ASAssetInfo($A51,"Redemption 1 Fee")</f>
        <v/>
      </c>
      <c r="HC51" s="35" t="str" cm="1">
        <f t="array" ref="HC51">_xll.ASAssetInfo($A51,"Redemption 2 Fee")</f>
        <v/>
      </c>
      <c r="HD51" s="35" t="str" cm="1">
        <f t="array" ref="HD51">_xll.ASAssetInfo($A51,"Redemption 3 Fee")</f>
        <v/>
      </c>
      <c r="HE51" s="35" t="str" cm="1">
        <f t="array" ref="HE51">_xll.ASAssetInfo($A51,"Redemption 1 Frequency")</f>
        <v>Daily</v>
      </c>
      <c r="HF51" s="35" t="str" cm="1">
        <f t="array" ref="HF51">_xll.ASAssetInfo($A51,"Redemption 2 Frequency")</f>
        <v>Unknown</v>
      </c>
      <c r="HG51" s="35" t="str" cm="1">
        <f t="array" ref="HG51">_xll.ASAssetInfo($A51,"Redemption 3 Frequency")</f>
        <v>Unknown</v>
      </c>
      <c r="HH51" s="35" t="str" cm="1">
        <f t="array" ref="HH51">_xll.ASAssetInfo($A51,"Asset Calendar")</f>
        <v>[Default]</v>
      </c>
      <c r="HI51" s="16" cm="1">
        <f t="array" ref="HI51">_xll.ASAssetStatistic($A51,"Max Second Drawdown",,,,"m",'PBA Summary'!$F$2,'PBA Summary'!$G$2)</f>
        <v>-4.9979050697312788E-2</v>
      </c>
      <c r="HJ51" s="37" cm="1">
        <f t="array" ref="HJ51">_xll.ASAssetStatistic($A51,"Date Max Second Drawdown",,,,"m",'PBA Summary'!$F$2,'PBA Summary'!$G$2)</f>
        <v>43616</v>
      </c>
      <c r="HK51" s="37"/>
      <c r="HL51" s="37" t="str" cm="1">
        <f t="array" ref="HL51">_xll.ASAssetInfo($A51,HL$1)</f>
        <v/>
      </c>
      <c r="HM51" s="34" t="str" cm="1">
        <f t="array" ref="HM51">_xll.ASAssetInfo($A51,HM$1)</f>
        <v/>
      </c>
      <c r="HN51" s="37" t="str" cm="1">
        <f t="array" ref="HN51">_xll.ASAssetInfo($A51,HN$1)</f>
        <v/>
      </c>
      <c r="HO51" s="15" cm="1">
        <f t="array" ref="HO51">_xll.ASAssetInfo($A51,HO$1)</f>
        <v>0</v>
      </c>
      <c r="HP51" s="15" t="str" cm="1">
        <f t="array" ref="HP51">_xll.ASAssetInfo($A51,HP$1)</f>
        <v/>
      </c>
      <c r="HQ51" s="34" t="str" cm="1">
        <f t="array" ref="HQ51">_xll.ASAssetInfo($A51,HQ$1)</f>
        <v/>
      </c>
      <c r="HR51" s="37" t="str" cm="1">
        <f t="array" ref="HR51">_xll.ASAssetInfo($A51,HR$1)</f>
        <v/>
      </c>
      <c r="HS51" s="37" t="str" cm="1">
        <f t="array" ref="HS51">_xll.ASAssetInfo($A51,HS$1)</f>
        <v/>
      </c>
      <c r="HT51" s="37" t="str" cm="1">
        <f t="array" ref="HT51">_xll.ASAssetInfo($A51,HT$1)</f>
        <v/>
      </c>
      <c r="HU51" s="37" t="str" cm="1">
        <f t="array" ref="HU51">_xll.ASAssetInfo($A51,HU$1)</f>
        <v>Global</v>
      </c>
      <c r="HV51" s="37" t="str" cm="1">
        <f t="array" ref="HV51">_xll.ASAssetInfo($A51,HV$1)</f>
        <v/>
      </c>
      <c r="HW51" s="37" t="str" cm="1">
        <f t="array" ref="HW51">_xll.ASAssetInfo($A51,HW$1)</f>
        <v/>
      </c>
    </row>
    <row r="52" spans="1:231" s="11" customFormat="1" ht="45" x14ac:dyDescent="0.25">
      <c r="A52" t="s">
        <v>329</v>
      </c>
      <c r="B52" cm="1">
        <f t="array" ref="B52">_xll.ASPortfolioWeights('PBA Summary'!$C$2,"OR",$A52)</f>
        <v>0</v>
      </c>
      <c r="C52" cm="1">
        <f t="array" ref="C52">_xll.ASAssetStatistic($A52,"Annualized Return since inception",,,,"m",_xll.ASAssetInfo($A52,"Start Date"),_xll.ASAssetInfo($A52,"Last Return Date"))</f>
        <v>1.8808788261003739E-2</v>
      </c>
      <c r="D52" cm="1">
        <f t="array" ref="D52">_xll.ASAssetStatistic($A52,"Annualized Return",,,,"m",'PBA Summary'!$F$2,'PBA Summary'!$G$2)</f>
        <v>-0.25586460827352175</v>
      </c>
      <c r="E52" s="19" cm="1">
        <f t="array" ref="E52">_xll.ASAssetStatistic($A52,"Equilibrium Annual Return",,,,"m",'PBA Summary'!$F$2,'PBA Summary'!$G$2)</f>
        <v>1.66821587994467</v>
      </c>
      <c r="F52" cm="1">
        <f t="array" ref="F52">_xll.ASAssetStatistic($A52,"Annualized Volatility (Inception)",,,,"m",_xll.ASAssetInfo($A52,"Start Date"),_xll.ASAssetInfo($A52,"Last Return Date"))</f>
        <v>0.33938523354931965</v>
      </c>
      <c r="G52" cm="1">
        <f t="array" ref="G52">_xll.ASAssetStatistic($A52,"Annualized Volatility",,,,"m",'PBA Summary'!$F$2,'PBA Summary'!$G$2)</f>
        <v>0.30562735068555502</v>
      </c>
      <c r="H52" s="20" cm="1">
        <f t="array" ref="H52">_xll.ASAssetStatistic($A52,"Skewness",,,,"m",'PBA Summary'!$F$2,'PBA Summary'!$G$2)</f>
        <v>0.47623540933930431</v>
      </c>
      <c r="I52" s="20" cm="1">
        <f t="array" ref="I52">_xll.ASAssetStatistic($A52,"Excess kurtosis",,,,"m",'PBA Summary'!$F$2,'PBA Summary'!$G$2)</f>
        <v>-0.7159186433440754</v>
      </c>
      <c r="J52" s="19" cm="1">
        <f t="array" ref="J52">_xll.ASAssetStatistic($A52,"Return Last 1 month",,,,"m",'PBA Summary'!$F$2,'PBA Summary'!$G$2)</f>
        <v>-0.10368896372263925</v>
      </c>
      <c r="K52" s="19" cm="1">
        <f t="array" ref="K52">_xll.ASAssetStatistic($A52,"Return Last 3 months",,,,"m",'PBA Summary'!$F$2,'PBA Summary'!$G$2)</f>
        <v>-9.4149314687046015E-2</v>
      </c>
      <c r="L52" s="19" cm="1">
        <f t="array" ref="L52">_xll.ASAssetStatistic($A52,"Return Last 1 year",,,,"m",'PBA Summary'!$F$2,'PBA Summary'!$G$2)</f>
        <v>-0.25463340122199629</v>
      </c>
      <c r="M52" s="19" cm="1">
        <f t="array" ref="M52">_xll.ASAssetStatistic($A52,"Year-to-date Return",,,,"m",'PBA Summary'!$F$2,'PBA Summary'!$G$2)</f>
        <v>-0.10368896372263925</v>
      </c>
      <c r="N52" s="19" cm="1">
        <f t="array" ref="N52">_xll.ASAssetStatistic($A52,"Annualized Return",,,,"m",EOMONTH('PBA Summary'!$G$2,-2),'PBA Summary'!$G$2)</f>
        <v>-0.32667231915597672</v>
      </c>
      <c r="O52" s="19" t="str" cm="1">
        <f t="array" ref="O52">_xll.ASAssetStatistic($A52,"Annualized Return Last 3 years",,,,"m",'PBA Summary'!$F$2,'PBA Summary'!$G$2)</f>
        <v/>
      </c>
      <c r="P52" s="19" t="str" cm="1">
        <f t="array" ref="P52">_xll.ASAssetStatistic($A52,"Annualized Return Last 5 years",,,,"m",'PBA Summary'!$F$2,'PBA Summary'!$G$2)</f>
        <v/>
      </c>
      <c r="Q52" s="19" cm="1">
        <f t="array" ref="Q52">_xll.ASAssetStatistic($A52,"Annualized Volatility Last 1 year",,,,"m",'PBA Summary'!$F$2,'PBA Summary'!$G$2)</f>
        <v>0.30286583400158085</v>
      </c>
      <c r="R52" s="19" t="str" cm="1">
        <f t="array" ref="R52">_xll.ASAssetStatistic($A52,"Annualized Volatility Last 3 years",,,,"m",'PBA Summary'!$F$2,'PBA Summary'!$G$2)</f>
        <v/>
      </c>
      <c r="S52" s="19" t="str" cm="1">
        <f t="array" ref="S52">_xll.ASAssetStatistic($A52,"Annualized Volatility Last 5 years",,,,"m",'PBA Summary'!$F$2,'PBA Summary'!$G$2)</f>
        <v/>
      </c>
      <c r="T52" s="19" cm="1">
        <f t="array" ref="T52">_xll.ASAssetStatistic($A52,"Normal monthly VaR 99%",,,,"m",'PBA Summary'!$F$2,'PBA Summary'!$G$2)</f>
        <v>-0.22593459558901044</v>
      </c>
      <c r="U52" s="19" cm="1">
        <f t="array" ref="U52">_xll.ASAssetStatistic($A52,"Modified monthly VaR 99%",,,,"m",'PBA Summary'!$F$2,'PBA Summary'!$G$2)</f>
        <v>-0.17274165843292918</v>
      </c>
      <c r="V52" s="19" cm="1">
        <f t="array" ref="V52">_xll.ASAssetStatistic($A52,"Conditional monthly VaR 99%",,,,"m",'PBA Summary'!$F$2,'PBA Summary'!$G$2)</f>
        <v>-0.14656728855145595</v>
      </c>
      <c r="W52" s="19" cm="1">
        <f t="array" ref="W52">_xll.ASAssetStatistic($A52,"Normal monthly VaR 97%",,,,"m",'PBA Summary'!$F$2,'PBA Summary'!$G$2)</f>
        <v>-0.18662467197839264</v>
      </c>
      <c r="X52" s="19" cm="1">
        <f t="array" ref="X52">_xll.ASAssetStatistic($A52,"Modified monthly VaR 97%",,,,"m",'PBA Summary'!$F$2,'PBA Summary'!$G$2)</f>
        <v>-0.16402690119068181</v>
      </c>
      <c r="Y52" s="19" cm="1">
        <f t="array" ref="Y52">_xll.ASAssetStatistic($A52,"Conditional monthly VaR 97%",,,,"m",'PBA Summary'!$F$2,'PBA Summary'!$G$2)</f>
        <v>-0.14656728855145595</v>
      </c>
      <c r="Z52" s="19" cm="1">
        <f t="array" ref="Z52">_xll.ASAssetStatistic($A52,"Normal monthly VaR 95%",,,,"m",'PBA Summary'!$F$2,'PBA Summary'!$G$2)</f>
        <v>-0.16580839134165376</v>
      </c>
      <c r="AA52" s="19" cm="1">
        <f t="array" ref="AA52">_xll.ASAssetStatistic($A52,"Modified monthly VaR 95%",,,,"m",'PBA Summary'!$F$2,'PBA Summary'!$G$2)</f>
        <v>-0.1547636468625401</v>
      </c>
      <c r="AB52" s="19" cm="1">
        <f t="array" ref="AB52">_xll.ASAssetStatistic($A52,"Conditional monthly VaR 95%",,,,"m",'PBA Summary'!$F$2,'PBA Summary'!$G$2)</f>
        <v>-0.14656728855145595</v>
      </c>
      <c r="AC52" s="66" cm="1">
        <f t="array" ref="AC52">_xll.ASAssetStatistic($A52,"Correlation to Benchmark 1","MSCI ACWI Index",,,"m",'PBA Summary'!$F$2,'PBA Summary'!$G$2)</f>
        <v>0.39417596491899409</v>
      </c>
      <c r="AD52" s="38" cm="1">
        <f t="array" ref="AD52">IF('PBA Summary'!$D$3="","",_xll.ASAssetStatistic($A52,"Correlation to Benchmark 1",'PBA Summary'!$D$3,,,"m",'PBA Summary'!$F$2,'PBA Summary'!$G$2))</f>
        <v>0.36925937317214647</v>
      </c>
      <c r="AE52" s="21" cm="1">
        <f t="array" ref="AE52">IF('PBA Summary'!$D$2="","",_xll.ASAssetStatistic($A52,"Bull correlation to Benchmark 1",'PBA Summary'!$D$2,,,"m",'PBA Summary'!$F$2,'PBA Summary'!$G$2))</f>
        <v>-6.160983395857153E-2</v>
      </c>
      <c r="AF52" s="21" cm="1">
        <f t="array" ref="AF52">IF('PBA Summary'!$D$2="","",_xll.ASAssetStatistic($A52,"Bear correlation to Benchmark 1",'PBA Summary'!$D$2,,,"m",'PBA Summary'!$F$2,'PBA Summary'!$G$2))</f>
        <v>0.40894570997333979</v>
      </c>
      <c r="AG52" s="21" cm="1">
        <f t="array" ref="AG52">IF('PBA Summary'!$D$3="","",_xll.ASAssetStatistic($A52,"Bull correlation to Benchmark 1",'PBA Summary'!$D$3,,,"m",'PBA Summary'!$F$2,'PBA Summary'!$G$2))</f>
        <v>-6.160983395857153E-2</v>
      </c>
      <c r="AH52" s="21" cm="1">
        <f t="array" ref="AH52">IF('PBA Summary'!$D$3="","",_xll.ASAssetStatistic($A52,"Bear correlation to Benchmark 1",'PBA Summary'!$D$3,,,"m",'PBA Summary'!$F$2,'PBA Summary'!$G$2))</f>
        <v>0.40894570997333979</v>
      </c>
      <c r="AI52" s="24" cm="1">
        <f t="array" ref="AI52">IF('PBA Summary'!$D$2="","",_xll.ASAssetStatistic($A52,"Beta to Benchmark 1",'PBA Summary'!$D$2,,,"m",'PBA Summary'!$F$2,'PBA Summary'!$G$2))</f>
        <v>0.73510178505258394</v>
      </c>
      <c r="AJ52" s="24" t="str" cm="1">
        <f t="array" ref="AJ52">IF('PBA Summary'!$D$2="","",_xll.ASAssetStatistic($A52,"Beta to Benchmark 1 Last 3 years",'PBA Summary'!$D$2,,,"m",'PBA Summary'!$F$2,'PBA Summary'!$G$2))</f>
        <v/>
      </c>
      <c r="AK52" s="24" t="str" cm="1">
        <f t="array" ref="AK52">IF('PBA Summary'!$D$2="","",_xll.ASAssetStatistic($A52,"Beta to Benchmark 1 Last 5 years",'PBA Summary'!$D$2,,,"m",'PBA Summary'!$F$2,'PBA Summary'!$G$2))</f>
        <v/>
      </c>
      <c r="AL52" s="25" cm="1">
        <f t="array" ref="AL52">IF('PBA Summary'!$D$3="","",_xll.ASAssetStatistic($A52,"Beta to Benchmark 1",'PBA Summary'!$D$3,,,"m",'PBA Summary'!$F$2,'PBA Summary'!$G$2))</f>
        <v>0.73510178505258394</v>
      </c>
      <c r="AM52" s="25" t="str" cm="1">
        <f t="array" ref="AM52">IF('PBA Summary'!$D$3="","",_xll.ASAssetStatistic($A52,"Beta to Benchmark 1 Last 3 years",'PBA Summary'!$D$3,,,"m",'PBA Summary'!$F$2,'PBA Summary'!$G$2))</f>
        <v/>
      </c>
      <c r="AN52" s="25" t="str" cm="1">
        <f t="array" ref="AN52">IF('PBA Summary'!$D$3="","",_xll.ASAssetStatistic($A52,"Beta to Benchmark 1 Last 5 years",'PBA Summary'!$D$3,,,"m",'PBA Summary'!$F$2,'PBA Summary'!$G$2))</f>
        <v/>
      </c>
      <c r="AO52" s="25" cm="1">
        <f t="array" ref="AO52">IF('PBA Summary'!$D$2="","",_xll.ASAssetStatistic($A52,"Bull Beta to Benchmark 1",'PBA Summary'!$D$2,,,"m",'PBA Summary'!$F$2,'PBA Summary'!$G$2))</f>
        <v>-0.25519624965245813</v>
      </c>
      <c r="AP52" s="25" cm="1">
        <f t="array" ref="AP52">IF('PBA Summary'!$D$2="","",_xll.ASAssetStatistic($A52,"Bear Beta to Benchmark 1",'PBA Summary'!$D$2,,,"m",'PBA Summary'!$F$2,'PBA Summary'!$G$2))</f>
        <v>0.5340788347904446</v>
      </c>
      <c r="AQ52" s="25" cm="1">
        <f t="array" ref="AQ52">IF('PBA Summary'!$D$3="","",_xll.ASAssetStatistic($A52,"Bull Beta to Benchmark 1",'PBA Summary'!$D$3,,,"m",'PBA Summary'!$F$2,'PBA Summary'!$G$2))</f>
        <v>-0.25519624965245813</v>
      </c>
      <c r="AR52" s="25" cm="1">
        <f t="array" ref="AR52">IF('PBA Summary'!$D$3="","",_xll.ASAssetStatistic($A52,"Bear Beta to Benchmark 1",'PBA Summary'!$D$3,,,"m",'PBA Summary'!$F$2,'PBA Summary'!$G$2))</f>
        <v>0.5340788347904446</v>
      </c>
      <c r="AS52" s="25" cm="1">
        <f t="array" ref="AS52">_xll.ASAssetStatistic($A52,"Annual Sharpe Ratio (Rf)",,,'PBA Summary'!$H$2,"m",'PBA Summary'!$F$2,'PBA Summary'!$G$2)</f>
        <v>-0.84535826945455683</v>
      </c>
      <c r="AT52" s="25" t="str" cm="1">
        <f t="array" ref="AT52">_xll.ASAssetStatistic($A52,"Annual Sharpe Ratio (Rf) Last 3 years",,,'PBA Summary'!$H$2,"m",'PBA Summary'!$F$2,'PBA Summary'!$G$2)</f>
        <v/>
      </c>
      <c r="AU52" s="25" t="str" cm="1">
        <f t="array" ref="AU52">_xll.ASAssetStatistic($A52,"Annual Sharpe Ratio (Rf) Last 5 years",,,'PBA Summary'!$H$2,"m",'PBA Summary'!$F$2,'PBA Summary'!$G$2)</f>
        <v/>
      </c>
      <c r="AV52" s="18" cm="1">
        <f t="array" ref="AV52">_xll.ASAssetStatistic($A52,"Ann. Downside Deviation (vs 0%)",,,'PBA Summary'!$H$2,"m",'PBA Summary'!$F$2,'PBA Summary'!$G$2)</f>
        <v>0.23899171613685508</v>
      </c>
      <c r="AW52" s="18" cm="1">
        <f t="array" ref="AW52">_xll.ASAssetStatistic($A52,"Ann. Downside Deviation (vs Rf)",,,'PBA Summary'!$H$2,"m",'PBA Summary'!$F$2,'PBA Summary'!$G$2)</f>
        <v>0.23950080014355615</v>
      </c>
      <c r="AX52" s="39" cm="1">
        <f t="array" ref="AX52">_xll.ASAssetStatistic($A52,"Annual Treynor ratio",,,'PBA Summary'!$H$2,"m",'PBA Summary'!$F$2,'PBA Summary'!$G$2)</f>
        <v>-0.11110364346087592</v>
      </c>
      <c r="AY52" s="26" cm="1">
        <f t="array" ref="AY52">_xll.ASAssetStatistic($A52,"Annual Sortino Ratio (vs 0%)",,,'PBA Summary'!$H$2,"m",'PBA Summary'!$F$2,'PBA Summary'!$G$2)</f>
        <v>-1.0706003220923552</v>
      </c>
      <c r="AZ52" s="26" cm="1">
        <f t="array" ref="AZ52">_xll.ASAssetStatistic($A52,"Annual Sortino Ratio (vs Rf)",,,'PBA Summary'!$H$2,"m",'PBA Summary'!$F$2,'PBA Summary'!$G$2)</f>
        <v>-1.0787630275918021</v>
      </c>
      <c r="BA52" s="26" cm="1">
        <f t="array" ref="BA52">_xll.ASAssetStatistic($A52,"Sterling ratio",,,'PBA Summary'!$H$2,"m",'PBA Summary'!$F$2,'PBA Summary'!$G$2)</f>
        <v>-0.66913194493900974</v>
      </c>
      <c r="BB52" s="26" cm="1">
        <f t="array" ref="BB52">_xll.ASAssetStatistic($A52,"Calmar ratio",,,'PBA Summary'!$H$2,"m",'PBA Summary'!$F$2,'PBA Summary'!$G$2)</f>
        <v>-0.73623703254513584</v>
      </c>
      <c r="BC52" s="26" cm="1">
        <f t="array" ref="BC52">_xll.ASAssetStatistic($A52,"Hurst index",,,'PBA Summary'!$H$2,"m",'PBA Summary'!$F$2,'PBA Summary'!$G$2)</f>
        <v>0.3498626466220871</v>
      </c>
      <c r="BD52" s="26" cm="1">
        <f t="array" ref="BD52">_xll.ASAssetStatistic($A52,"Omega (Threshold 1)",,,'PBA Summary'!$H$2,"m",'PBA Summary'!$F$2,'PBA Summary'!$G$2)</f>
        <v>0.57524158576754147</v>
      </c>
      <c r="BE52" s="26" cm="1">
        <f t="array" ref="BE52">_xll.ASAssetStatistic($A52,"Omega (Threshold 2)",,,'PBA Summary'!$H$2,"m",'PBA Summary'!$F$2,'PBA Summary'!$G$2)</f>
        <v>0.50636663043598329</v>
      </c>
      <c r="BF52" s="26" cm="1">
        <f t="array" ref="BF52">_xll.ASAssetStatistic($A52,"Omega (Threshold 3)",,,'PBA Summary'!$H$2,"m",'PBA Summary'!$F$2,'PBA Summary'!$G$2)</f>
        <v>0.44578411613034902</v>
      </c>
      <c r="BG52" s="26" cm="1">
        <f t="array" ref="BG52">_xll.ASAssetStatistic($A52,"Omega (Threshold 4)",,,'PBA Summary'!$H$2,"m",'PBA Summary'!$F$2,'PBA Summary'!$G$2)</f>
        <v>0.39208148182214636</v>
      </c>
      <c r="BH52" s="26" cm="1">
        <f t="array" ref="BH52">_xll.ASAssetStatistic($A52,"Omega (Threshold 5)",,,'PBA Summary'!$H$2,"m",'PBA Summary'!$F$2,'PBA Summary'!$G$2)</f>
        <v>0.34427018554231364</v>
      </c>
      <c r="BI52" s="26" t="str" cm="1">
        <f t="array" ref="BI52">_xll.ASAssetStatistic($A52,"Autocorrelated (illiquid)",,,'PBA Summary'!$H$2,"m",'PBA Summary'!$F$2,'PBA Summary'!$G$2)</f>
        <v>No</v>
      </c>
      <c r="BJ52" s="27" cm="1">
        <f t="array" ref="BJ52">_xll.ASAssetStatistic($A52,"% months in Run Up",,,'PBA Summary'!$H$2,"m",'PBA Summary'!$F$2,'PBA Summary'!$G$2)</f>
        <v>0.33333333333333337</v>
      </c>
      <c r="BK52" s="27" cm="1">
        <f t="array" ref="BK52">_xll.ASAssetStatistic($A52,"% months in Drawdown",,,'PBA Summary'!$H$2,"m",'PBA Summary'!$F$2,'PBA Summary'!$G$2)</f>
        <v>0.66666666666666663</v>
      </c>
      <c r="BL52" s="18" cm="1">
        <f t="array" ref="BL52">IF('PBA Summary'!$D$2="","",_xll.ASAssetStatistic($A52,"Bull Beta to Benchmark 1",'PBA Summary'!$D$2,,,"m",'PBA Summary'!$F$2,'PBA Summary'!$G$2))</f>
        <v>-0.25519624965245813</v>
      </c>
      <c r="BM52" s="18" cm="1">
        <f t="array" ref="BM52">IF('PBA Summary'!$D$2="","",_xll.ASAssetStatistic($A52,"Average return during bear Benchmark 1",'PBA Summary'!$D$2,,,"m",'PBA Summary'!$F$2,'PBA Summary'!$G$2))</f>
        <v>-8.0800147876086803E-2</v>
      </c>
      <c r="BN52" s="18" cm="1">
        <f t="array" ref="BN52">IF('PBA Summary'!$D$3="","",_xll.ASAssetStatistic($A52,"Average return during bull Benchmark 1",'PBA Summary'!$D$3,,,"m",'PBA Summary'!$F$2,'PBA Summary'!$G$2))</f>
        <v>1.1711495455142577E-3</v>
      </c>
      <c r="BO52" s="18" cm="1">
        <f t="array" ref="BO52">IF('PBA Summary'!$D$3="","",_xll.ASAssetStatistic($A52,"Average return during bear Benchmark 1",'PBA Summary'!$D$3,,,"m",'PBA Summary'!$F$2,'PBA Summary'!$G$2))</f>
        <v>-8.0800147876086803E-2</v>
      </c>
      <c r="BP52" s="27" cm="1">
        <f t="array" ref="BP52">_xll.ASAssetStatistic($A52,"Maximum consecutive gain",,,'PBA Summary'!$H$2,"m",'PBA Summary'!$F$2,'PBA Summary'!$G$2)</f>
        <v>0.14662267631616333</v>
      </c>
      <c r="BQ52" s="27" cm="1">
        <f t="array" ref="BQ52">_xll.ASAssetStatistic($A52,"Maximum consecutive loss",,,'PBA Summary'!$H$2,"m",'PBA Summary'!$F$2,'PBA Summary'!$G$2)</f>
        <v>-0.21540224032586586</v>
      </c>
      <c r="BR52" s="27" cm="1">
        <f t="array" ref="BR52">_xll.ASAssetStatistic($A52,"Max monthly gain",,,'PBA Summary'!$H$2,"m",'PBA Summary'!$F$2,'PBA Summary'!$G$2)</f>
        <v>0.14662267631616333</v>
      </c>
      <c r="BS52" s="27" cm="1">
        <f t="array" ref="BS52">_xll.ASAssetStatistic($A52,"Max monthly loss",,,'PBA Summary'!$H$2,"m",'PBA Summary'!$F$2,'PBA Summary'!$G$2)</f>
        <v>-0.14656728855145595</v>
      </c>
      <c r="BT52" s="27" cm="1">
        <f t="array" ref="BT52">_xll.ASAssetStatistic($A52,"Max drawdown",,,'PBA Summary'!$H$2,"m",'PBA Summary'!$F$2,'PBA Summary'!$G$2)</f>
        <v>-0.34753020693486469</v>
      </c>
      <c r="BU52" s="28" cm="1">
        <f t="array" ref="BU52">_xll.ASAssetStatistic($A52,"Date Max drawdown",,,'PBA Summary'!$H$2,"m",'PBA Summary'!$F$2,'PBA Summary'!$G$2)</f>
        <v>43738</v>
      </c>
      <c r="BV52" s="28" cm="1">
        <f t="array" ref="BV52">_xll.ASAssetStatistic($A52,"Start Date Max Drawdown",,,'PBA Summary'!$H$2,"m",'PBA Summary'!$F$2,'PBA Summary'!$G$2)</f>
        <v>43465</v>
      </c>
      <c r="BW52" s="28" t="str" cm="1">
        <f t="array" ref="BW52">_xll.ASAssetStatistic($A52,"End Date Max Drawdown",,,'PBA Summary'!$H$2,"m",'PBA Summary'!$F$2,'PBA Summary'!$G$2)</f>
        <v/>
      </c>
      <c r="BX52" s="29" cm="1">
        <f t="array" ref="BX52">_xll.ASAssetStatistic($A52,"Max Time-under-water (months)",,,'PBA Summary'!$H$2,"m",'PBA Summary'!$F$2,'PBA Summary'!$G$2)</f>
        <v>14</v>
      </c>
      <c r="BY52" s="27" cm="1">
        <f t="array" ref="BY52">_xll.ASAssetStatistic($A52,"Max possible drawdown 99%",,,'PBA Summary'!$H$2,"m",'PBA Summary'!$F$2,'PBA Summary'!$G$2)</f>
        <v>-1</v>
      </c>
      <c r="BZ52" s="27" cm="1">
        <f t="array" ref="BZ52">_xll.ASAssetStatistic($A52,"Max possible drawdown 99.9%",,,'PBA Summary'!$H$2,"m",'PBA Summary'!$F$2,'PBA Summary'!$G$2)</f>
        <v>-1</v>
      </c>
      <c r="CA52" s="30" t="str" cm="1">
        <f t="array" ref="CA52">_xll.ASAssetStatistic($A52,"Max Possible Time-under-water 99% (months)",,,'PBA Summary'!$H$2,"m",'PBA Summary'!$F$2,'PBA Summary'!$G$2)</f>
        <v/>
      </c>
      <c r="CB52" s="30" t="str" cm="1">
        <f t="array" ref="CB52">_xll.ASAssetStatistic($A52,"Max Possible Time-under-water 99.9% (months)",,,'PBA Summary'!$H$2,"m",'PBA Summary'!$F$2,'PBA Summary'!$G$2)</f>
        <v/>
      </c>
      <c r="CC52" s="17" t="str" cm="1">
        <f t="array" ref="CC52">_xll.ASPortfolioReturnAttribution('PBA Summary'!$C$2,"OR",A52,"Last 1m",'PBA Summary'!$F$2,'PBA Summary'!$G$2)</f>
        <v/>
      </c>
      <c r="CD52" s="11" t="str" cm="1">
        <f t="array" ref="CD52">_xll.ASAssetInfo($A52,"Strategy")</f>
        <v>Direct Holdings - Stocks</v>
      </c>
      <c r="CE52" s="14" cm="1">
        <f t="array" ref="CE52">_xll.ASAssetInfo($A52,"Start Date")</f>
        <v>40078</v>
      </c>
      <c r="CF52" s="14" t="str" cm="1">
        <f t="array" ref="CF52">_xll.ASAssetRatings($A52,"Quantitative",0,0,0,0,0,'PBA Summary'!$F$2,'PBA Summary'!$G$2)</f>
        <v/>
      </c>
      <c r="CG52" s="14" t="str" cm="1">
        <f t="array" ref="CG52">_xll.ASAssetRatings($A52,"Qualitative",0,0,0,0,0,'PBA Summary'!$F$2,'PBA Summary'!$G$2)</f>
        <v/>
      </c>
      <c r="CH52" s="14" t="str" cm="1">
        <f t="array" ref="CH52">_xll.ASAssetRatings($A52,"Final",0,0,0,0,0,'PBA Summary'!$F$2,'PBA Summary'!$G$2)</f>
        <v/>
      </c>
      <c r="CI52" s="14" cm="1">
        <f t="array" ref="CI52">_xll.ASAssetInfo($A52,"Last Return Date")</f>
        <v>44126</v>
      </c>
      <c r="CJ52" s="14" t="str" cm="1">
        <f t="array" ref="CJ52">_xll.ASAssetInfo($A52,"Company Name")</f>
        <v/>
      </c>
      <c r="CK52" s="14" t="str" cm="1">
        <f t="array" ref="CK52">_xll.ASAssetInfo($A52,"Manager Name")</f>
        <v/>
      </c>
      <c r="CL52" s="14" t="str" cm="1">
        <f t="array" ref="CL52">_xll.ASAssetInfo($A52,"Address")</f>
        <v/>
      </c>
      <c r="CM52" s="14" t="str" cm="1">
        <f t="array" ref="CM52">_xll.ASAssetInfo($A52,"Phone Number")</f>
        <v/>
      </c>
      <c r="CN52" s="14" t="str" cm="1">
        <f t="array" ref="CN52">_xll.ASAssetInfo($A52,"Email")</f>
        <v/>
      </c>
      <c r="CO52" s="14" t="str" cm="1">
        <f t="array" ref="CO52">_xll.ASAssetInfo($A52,"Asset Type")</f>
        <v>Equities</v>
      </c>
      <c r="CP52" s="14" t="str" cm="1">
        <f t="array" ref="CP52">_xll.ASAssetInfo($A52,"Proprietary ID")</f>
        <v/>
      </c>
      <c r="CQ52" s="14" t="str" cm="1">
        <f t="array" ref="CQ52">_xll.ASAssetInfo($A52,"Country")</f>
        <v>[Not Classified]</v>
      </c>
      <c r="CR52" s="14" t="str" cm="1">
        <f t="array" ref="CR52">_xll.ASAssetInfo($A52,"Currency")</f>
        <v>HKD</v>
      </c>
      <c r="CS52" s="14" t="str" cm="1">
        <f t="array" ref="CS52">_xll.ASAssetInfo($A52,"Sub-Strategy")</f>
        <v/>
      </c>
      <c r="CT52" s="31" t="str" cm="1">
        <f t="array" ref="CT52">_xll.ASAssetInfo($A52,"Fund AUM (m)")</f>
        <v/>
      </c>
      <c r="CU52" s="31" t="str" cm="1">
        <f t="array" ref="CU52">_xll.ASAssetInfo($A52,"Status")</f>
        <v>Unknown</v>
      </c>
      <c r="CV52" s="31" t="str" cm="1">
        <f t="array" ref="CV52">_xll.ASAssetInfo($A52,"Redemption 1 Frequency")</f>
        <v>Unknown</v>
      </c>
      <c r="CW52" s="31" t="str" cm="1">
        <f t="array" ref="CW52">_xll.ASAssetInfo($A52,"Redemption 2 Frequency")</f>
        <v>Unknown</v>
      </c>
      <c r="CX52" s="31" t="str" cm="1">
        <f t="array" ref="CX52">_xll.ASAssetInfo($A52,"Redemption 3 Frequency")</f>
        <v>Unknown</v>
      </c>
      <c r="CY52" s="31" t="str" cm="1">
        <f t="array" ref="CY52">_xll.ASAssetInfo($A52,"Notice Period")</f>
        <v/>
      </c>
      <c r="CZ52" s="15" t="str" cm="1">
        <f t="array" ref="CZ52">_xll.ASAssetInfo($A52,"Performance Fee")</f>
        <v/>
      </c>
      <c r="DA52" s="15" t="str" cm="1">
        <f t="array" ref="DA52">_xll.ASAssetInfo($A52,"Management Fee")</f>
        <v/>
      </c>
      <c r="DB52" s="15" t="str" cm="1">
        <f t="array" ref="DB52">_xll.ASAssetInfo($A52,"ISIN")</f>
        <v>CNE100000FN7</v>
      </c>
      <c r="DC52" s="16" cm="1">
        <f t="array" ref="DC52">_xll.ASAssetStatistic($A52,"Return during " &amp;YEAR(EOMONTH('PBA Summary'!$G$2,-60)),,,,"M",DATE(YEAR(EOMONTH('PBA Summary'!$G$2,-60)),1,31),DATE(YEAR(EOMONTH('PBA Summary'!$G$2,-60)),12,31))</f>
        <v>0.14533434860861094</v>
      </c>
      <c r="DD52" s="16" cm="1">
        <f t="array" ref="DD52">_xll.ASAssetStatistic($A52,"Return during " &amp;YEAR(EOMONTH('PBA Summary'!$G$2,-48)),,,,"M",DATE(YEAR(EOMONTH('PBA Summary'!$G$2,-48)),1,31),DATE(YEAR(EOMONTH('PBA Summary'!$G$2,-48)),12,31))</f>
        <v>4.1280106373336567E-2</v>
      </c>
      <c r="DE52" s="16" cm="1">
        <f t="array" ref="DE52">_xll.ASAssetStatistic($A52,"Return during " &amp;YEAR(EOMONTH('PBA Summary'!$G$2,-36)),,,,"M",DATE(YEAR(EOMONTH('PBA Summary'!$G$2,-36)),1,31),DATE(YEAR(EOMONTH('PBA Summary'!$G$2,-36)),12,31))</f>
        <v>7.5398322546942342E-2</v>
      </c>
      <c r="DF52" s="16" cm="1">
        <f t="array" ref="DF52">_xll.ASAssetStatistic($A52,"Return during " &amp;YEAR(EOMONTH('PBA Summary'!$G$2,-24)),,,,"M",DATE(YEAR(EOMONTH('PBA Summary'!$G$2,-24)),1,31),DATE(YEAR(EOMONTH('PBA Summary'!$G$2,-24)),12,31))</f>
        <v>-4.9925785993785166E-3</v>
      </c>
      <c r="DG52" s="16" cm="1">
        <f t="array" ref="DG52">_xll.ASAssetStatistic($A52,"Return during " &amp;YEAR(EOMONTH('PBA Summary'!$G$2,-12)),,,,"M",DATE(YEAR(EOMONTH('PBA Summary'!$G$2,-12)),1,31),DATE(YEAR(EOMONTH('PBA Summary'!$G$2,-12)),12,31))</f>
        <v>-0.11404936262544119</v>
      </c>
      <c r="DH52" s="11" t="str" cm="1">
        <f t="array" ref="DH52">_xll.ASAssetInfo($A52,"Prime Broker")</f>
        <v/>
      </c>
      <c r="DI52" s="16" cm="1">
        <f t="array" ref="DI52">_xll.ASAssetStatistic($A52,"Return",,,,"m",'PBA Summary'!$F$2,'PBA Summary'!$G$2)</f>
        <v>-0.30886171568858867</v>
      </c>
      <c r="DJ52" s="33" cm="1">
        <f t="array" ref="DJ52">IF('PBA Summary'!$D$2="","",_xll.ASAssetStatistic($A52,"Ann. Information Ratio vs Benchmark 1",'PBA Summary'!$D$2,,,"m",'PBA Summary'!$F$2,'PBA Summary'!$G$2))</f>
        <v>-1.4922992888711692</v>
      </c>
      <c r="DK52" s="33" cm="1">
        <f t="array" ref="DK52">IF('PBA Summary'!$D$3="","",_xll.ASAssetStatistic($A52,"Ann. Information Ratio vs Benchmark 1",'PBA Summary'!$D$3,,,"m",'PBA Summary'!$F$2,'PBA Summary'!$G$2))</f>
        <v>-1.4922992888711692</v>
      </c>
      <c r="DL52" s="33" cm="1">
        <f t="array" ref="DL52">IF('PBA Summary'!$D$2="","",_xll.ASAssetStatistic($A52,"Ann. Tracking Error vs Benchmark 1",'PBA Summary'!$D$2,,,"m",'PBA Summary'!$F$2,'PBA Summary'!$G$2))</f>
        <v>0.28692430914718053</v>
      </c>
      <c r="DM52" s="33" cm="1">
        <f t="array" ref="DM52">IF('PBA Summary'!$D$3="","",_xll.ASAssetStatistic($A52,"Ann. Tracking Error vs Benchmark 1",'PBA Summary'!$D$3,,,"m",'PBA Summary'!$F$2,'PBA Summary'!$G$2))</f>
        <v>0.28692430914718053</v>
      </c>
      <c r="DN52" s="33" cm="1">
        <f t="array" ref="DN52">IF('PBA Summary'!$D$2="","",_xll.ASAssetStatistic($A52,"R² vs Benchmark 1",'PBA Summary'!$D$2,,,"m",'PBA Summary'!$F$2,'PBA Summary'!$G$2))</f>
        <v>0.13635248467548652</v>
      </c>
      <c r="DO52" s="33" cm="1">
        <f t="array" ref="DO52">IF('PBA Summary'!$D$3="","",_xll.ASAssetStatistic($A52,"R² vs Benchmark 1",'PBA Summary'!$D$3,,,"m",'PBA Summary'!$F$2,'PBA Summary'!$G$2))</f>
        <v>0.13635248467548652</v>
      </c>
      <c r="DP52" s="11" t="str" cm="1">
        <f t="array" ref="DP52">_xll.ASAssetInfo($A52,"On-/Offshore")</f>
        <v>Unknown</v>
      </c>
      <c r="DQ52" s="16" cm="1">
        <f t="array" ref="DQ52">_xll.ASAssetStatistic($A52,"Quarter-to-date",,,,"m",'PBA Summary'!$F$2,'PBA Summary'!$G$2)</f>
        <v>-0.10368896372263925</v>
      </c>
      <c r="DR52" s="16" cm="1">
        <f t="array" ref="DR52">_xll.ASAssetStatistic($A52,"Annualized Return Since inception",,,,"m",'PBA Summary'!$F$2,'PBA Summary'!$G$2)</f>
        <v>1.8808788261003739E-2</v>
      </c>
      <c r="DS52" s="16" cm="1">
        <f t="array" ref="DS52">IF('PBA Summary'!$D$2="","",_xll.ASAssetStatistic($A52,"Ann. Bear Market Return vs Benchmark 1",'PBA Summary'!$D$2,,,"m",'PBA Summary'!$F$2,'PBA Summary'!$G$2))</f>
        <v>-0.64190882639014291</v>
      </c>
      <c r="DT52" s="16" cm="1">
        <f t="array" ref="DT52">IF('PBA Summary'!$D$2="","",_xll.ASAssetStatistic($A52,"Ann. Bull Market Return vs Benchmark 1",'PBA Summary'!$D$2,,,"m",'PBA Summary'!$F$2,'PBA Summary'!$G$2))</f>
        <v>-2.9123284509544267E-2</v>
      </c>
      <c r="DU52" s="16" cm="1">
        <f t="array" ref="DU52">IF('PBA Summary'!$D$3="","",_xll.ASAssetStatistic($A52,"Ann. Bear Market Return vs Benchmark 1",'PBA Summary'!$D$3,,,"m",'PBA Summary'!$F$2,'PBA Summary'!$G$2))</f>
        <v>-0.64190882639014291</v>
      </c>
      <c r="DV52" s="16" cm="1">
        <f t="array" ref="DV52">IF('PBA Summary'!$D$3="","",_xll.ASAssetStatistic($A52,"Ann. Bull Market Return vs Benchmark 1",'PBA Summary'!$D$3,,,"m",'PBA Summary'!$F$2,'PBA Summary'!$G$2))</f>
        <v>-2.9123284509544267E-2</v>
      </c>
      <c r="DW52" s="17" cm="1">
        <f t="array" ref="DW52">_xll.ASAssetStatistic($A52,"Average Positive Return",,,,"m",'PBA Summary'!$F$2,'PBA Summary'!$G$2)</f>
        <v>8.4051442729615997E-2</v>
      </c>
      <c r="DX52" s="17" cm="1">
        <f t="array" ref="DX52">_xll.ASAssetStatistic($A52,"Average Negative Return",,,,"m",'PBA Summary'!$F$2,'PBA Summary'!$G$2)</f>
        <v>-7.3057516015177043E-2</v>
      </c>
      <c r="DY52" s="16" cm="1">
        <f t="array" ref="DY52">IF('PBA Summary'!$D$2="","",_xll.ASAssetStatistic($A52,"Outperformance vs Benchmark 1",'PBA Summary'!$D$2,,,"m",'PBA Summary'!$F$2,'PBA Summary'!$G$2))</f>
        <v>-0.52870536049730732</v>
      </c>
      <c r="DZ52" s="16" cm="1">
        <f t="array" ref="DZ52">IF('PBA Summary'!$D$3="","",_xll.ASAssetStatistic($A52,"Outperformance vs Benchmark 1",'PBA Summary'!$D$3,,,"m",'PBA Summary'!$F$2,'PBA Summary'!$G$2))</f>
        <v>-0.52870536049730732</v>
      </c>
      <c r="EA52" s="16" cm="1">
        <f t="array" ref="EA52">IF('PBA Summary'!$D$2="","",_xll.ASAssetStatistic($A52,"Annual Outperformance vs Benchmark 1",'PBA Summary'!$D$2,,,"m",'PBA Summary'!$F$2,'PBA Summary'!$G$2))</f>
        <v>-0.42817694250018901</v>
      </c>
      <c r="EB52" s="16" cm="1">
        <f t="array" ref="EB52">IF('PBA Summary'!$D$3="","",_xll.ASAssetStatistic($A52,"Annual Outperformance vs Benchmark 1",'PBA Summary'!$D$3,,,"m",'PBA Summary'!$F$2,'PBA Summary'!$G$2))</f>
        <v>-0.42817694250018901</v>
      </c>
      <c r="EC52" s="32" cm="1">
        <f t="array" ref="EC52">_xll.ASAssetStatistic($A52,"Rachev Ratio 99%",,,,"m",'PBA Summary'!$F$2,'PBA Summary'!$G$2)</f>
        <v>-1.0003778999069628</v>
      </c>
      <c r="ED52" s="32" cm="1">
        <f t="array" ref="ED52">_xll.ASAssetStatistic($A52,"Rachev Ratio 97%",,,,"m",'PBA Summary'!$F$2,'PBA Summary'!$G$2)</f>
        <v>-1.0003778999069628</v>
      </c>
      <c r="EE52" s="32" cm="1">
        <f t="array" ref="EE52">_xll.ASAssetStatistic($A52,"Rachev Ratio 95%",,,,"m",'PBA Summary'!$F$2,'PBA Summary'!$G$2)</f>
        <v>-1.0003778999069628</v>
      </c>
      <c r="EF52" s="32" cm="1">
        <f t="array" ref="EF52">_xll.ASAssetStatistic($A52,"Rachev Ratio 90%",,,,"m",'PBA Summary'!$F$2,'PBA Summary'!$G$2)</f>
        <v>-0.88094338386071591</v>
      </c>
      <c r="EG52" s="34" cm="1">
        <f t="array" ref="EG52">IF('PBA Summary'!$D$2="","",_xll.ASAssetStatistic($A52,"Annual Up Capture vs Benchmark 1",'PBA Summary'!$D$2,,,"m",'PBA Summary'!$F$2,'PBA Summary'!$G$2))</f>
        <v>-5.7532263780006893E-2</v>
      </c>
      <c r="EH52" s="34" cm="1">
        <f t="array" ref="EH52">IF('PBA Summary'!$D$3="","",_xll.ASAssetStatistic($A52,"Annual Up Capture vs Benchmark 1",'PBA Summary'!$D$3,,,"m",'PBA Summary'!$F$2,'PBA Summary'!$G$2))</f>
        <v>-5.7532263780006893E-2</v>
      </c>
      <c r="EI52" s="34" cm="1">
        <f t="array" ref="EI52">IF('PBA Summary'!$D$2="","",_xll.ASAssetStatistic($A52,"Annual Down Capture vs Benchmark 1",'PBA Summary'!$D$2,,,"m",'PBA Summary'!$F$2,'PBA Summary'!$G$2))</f>
        <v>1.5598345102772828</v>
      </c>
      <c r="EJ52" s="34" cm="1">
        <f t="array" ref="EJ52">IF('PBA Summary'!$D$3="","",_xll.ASAssetStatistic($A52,"Annual Down Capture vs Benchmark 1",'PBA Summary'!$D$3,,,"m",'PBA Summary'!$F$2,'PBA Summary'!$G$2))</f>
        <v>1.5598345102772828</v>
      </c>
      <c r="EK52" s="16" cm="1">
        <f t="array" ref="EK52">IF('PBA Summary'!$D$2="","",_xll.ASAssetStatistic($A52,"Ann. Tracking Error vs Benchmark 1",'PBA Summary'!$D$2,,,"m",'PBA Summary'!$F$2,'PBA Summary'!$G$2))</f>
        <v>0.28692430914718053</v>
      </c>
      <c r="EL52" s="16" cm="1">
        <f t="array" ref="EL52">IF('PBA Summary'!$D$3="","",_xll.ASAssetStatistic($A52,"Ann. Tracking Error vs Benchmark 1",'PBA Summary'!$D$3,,,"m",'PBA Summary'!$F$2,'PBA Summary'!$G$2))</f>
        <v>0.28692430914718053</v>
      </c>
      <c r="EM52" s="16" cm="1">
        <f t="array" ref="EM52">IF('PBA Summary'!$D$2="","",_xll.ASAssetStatistic($A52,"Annual Jensen Alpha vs Benchmark 1 (Rf)",'PBA Summary'!$D$2,,,"m",'PBA Summary'!$F$2,'PBA Summary'!$G$2))</f>
        <v>-0.38319395828749087</v>
      </c>
      <c r="EN52" s="16" cm="1">
        <f t="array" ref="EN52">IF('PBA Summary'!$D$3="","",_xll.ASAssetStatistic($A52,"Annual Jensen Alpha vs Benchmark 1 (Rf)",'PBA Summary'!$D$3,,,"m",'PBA Summary'!$F$2,'PBA Summary'!$G$2))</f>
        <v>-0.38319395828749087</v>
      </c>
      <c r="EO52" s="33" cm="1">
        <f t="array" ref="EO52">IF('PBA Summary'!$D$2="","",_xll.ASAssetStatistic($A52,"Ann. Information Ratio vs Benchmark 1",'PBA Summary'!$D$2,,,"m",'PBA Summary'!$F$2,'PBA Summary'!$G$2))</f>
        <v>-1.4922992888711692</v>
      </c>
      <c r="EP52" s="33" cm="1">
        <f t="array" ref="EP52">IF('PBA Summary'!$D$3="","",_xll.ASAssetStatistic($A52,"Ann. Information Ratio vs Benchmark 1",'PBA Summary'!$D$3,,,"m",'PBA Summary'!$F$2,'PBA Summary'!$G$2))</f>
        <v>-1.4922992888711692</v>
      </c>
      <c r="EQ52" s="17" cm="1">
        <f t="array" ref="EQ52">IF('PBA Summary'!$D$2="","",_xll.ASAssetStatistic($A52,"Alpha Monthly vs Benchmark 1",'PBA Summary'!$D$2,,,"m",'PBA Summary'!$F$2,'PBA Summary'!$G$2))</f>
        <v>-3.1175910844637146E-2</v>
      </c>
      <c r="ER52" s="17" cm="1">
        <f t="array" ref="ER52">IF('PBA Summary'!$D$3="","",_xll.ASAssetStatistic($A52,"Alpha Monthly vs Benchmark 1",'PBA Summary'!$D$3,,,"m",'PBA Summary'!$F$2,'PBA Summary'!$G$2))</f>
        <v>-3.1175910844637146E-2</v>
      </c>
      <c r="ES52" s="11" t="str" cm="1">
        <f t="array" ref="ES52">_xll.ASAssetInfo($A52,"Company AUM (m)")</f>
        <v/>
      </c>
      <c r="ET52" s="16" cm="1">
        <f t="array" ref="ET52">_xll.ASAssetStatistic($A52,"Exponential Annualized Volatility",,,,"m",'PBA Summary'!$F$2,'PBA Summary'!$G$2)</f>
        <v>0.33217712911608693</v>
      </c>
      <c r="EU52" s="16" cm="1">
        <f t="array" ref="EU52">_xll.ASAssetStatistic($A52,"Exponential Annualized Volatility Last 1 year",,,,"m",'PBA Summary'!$F$2,'PBA Summary'!$G$2)</f>
        <v>0.33471319080063938</v>
      </c>
      <c r="EV52" s="16" t="str" cm="1">
        <f t="array" ref="EV52">_xll.ASAssetStatistic($A52,"Exponential Annualized Volatility Last 3 years",,,,"m",'PBA Summary'!$F$2,'PBA Summary'!$G$2)</f>
        <v/>
      </c>
      <c r="EW52" s="34" cm="1">
        <f t="array" ref="EW52">IF('PBA Summary'!$D$2="","",_xll.ASAssetStatistic($A52,"Exponential Correlation to Benchmark 1",'PBA Summary'!$D$2,,,"m",'PBA Summary'!$F$2,'PBA Summary'!$G$2))</f>
        <v>0.24044344099279019</v>
      </c>
      <c r="EX52" s="34" cm="1">
        <f t="array" ref="EX52">IF('PBA Summary'!$D$3="","",_xll.ASAssetStatistic($A52,"Exponential Correlation to Benchmark 1",'PBA Summary'!$D$3,,,"m",'PBA Summary'!$F$2,'PBA Summary'!$G$2))</f>
        <v>0.24044344099279019</v>
      </c>
      <c r="EY52" s="34" cm="1">
        <f t="array" ref="EY52">_xll.ASAssetStatistic($A52,"Exponential Annual Sharpe Ratio (Rf)",,,,"m",'PBA Summary'!$F$2,'PBA Summary'!$G$2)</f>
        <v>-0.59186858547800003</v>
      </c>
      <c r="EZ52" s="34" cm="1">
        <f t="array" ref="EZ52">_xll.ASAssetStatistic($A52,"Exponential Normal Monthly VaR 99%",,,,"m",'PBA Summary'!$F$2,'PBA Summary'!$G$2)</f>
        <v>-0.24089923747648884</v>
      </c>
      <c r="FA52" s="34" cm="1">
        <f t="array" ref="FA52">_xll.ASAssetStatistic($A52,"Exponential Normal Monthly VaR 97%",,,,"m",'PBA Summary'!$F$2,'PBA Summary'!$G$2)</f>
        <v>-0.19817446974396252</v>
      </c>
      <c r="FB52" s="34" cm="1">
        <f t="array" ref="FB52">_xll.ASAssetStatistic($A52,"Exponential Normal Monthly VaR 95%",,,,"m",'PBA Summary'!$F$2,'PBA Summary'!$G$2)</f>
        <v>-0.17554988354355763</v>
      </c>
      <c r="FC52" s="34" cm="1">
        <f t="array" ref="FC52">_xll.ASAssetStatistic($A52,"Exponential Normal Monthly VaR 90%",,,,"m",'PBA Summary'!$F$2,'PBA Summary'!$G$2)</f>
        <v>-0.14071238477252579</v>
      </c>
      <c r="FD52" s="34" t="str" cm="1">
        <f t="array" ref="FD52">_xll.ASAssetStatistic($A52,"Exponential Normal weekly VaR 99%",,,,"m",'PBA Summary'!$F$2,'PBA Summary'!$G$2)</f>
        <v/>
      </c>
      <c r="FE52" s="34" t="str" cm="1">
        <f t="array" ref="FE52">_xll.ASAssetStatistic($A52,"Exponential Normal weekly VaR 97%",,,,"m",'PBA Summary'!$F$2,'PBA Summary'!$G$2)</f>
        <v/>
      </c>
      <c r="FF52" s="34" t="str" cm="1">
        <f t="array" ref="FF52">_xll.ASAssetStatistic($A52,"Exponential Normal weekly VaR 95%",,,,"m",'PBA Summary'!$F$2,'PBA Summary'!$G$2)</f>
        <v/>
      </c>
      <c r="FG52" s="34" t="str" cm="1">
        <f t="array" ref="FG52">_xll.ASAssetStatistic($A52,"Exponential Normal weekly VaR 90%",,,,"m",'PBA Summary'!$F$2,'PBA Summary'!$G$2)</f>
        <v/>
      </c>
      <c r="FH52" s="34" t="str" cm="1">
        <f t="array" ref="FH52">_xll.ASAssetStatistic($A52,"Exponential Normal daily VaR 99%",,,,"m",'PBA Summary'!$F$2,'PBA Summary'!$G$2)</f>
        <v/>
      </c>
      <c r="FI52" s="34" t="str" cm="1">
        <f t="array" ref="FI52">_xll.ASAssetStatistic($A52,"Exponential Normal daily VaR 97%",,,,"m",'PBA Summary'!$F$2,'PBA Summary'!$G$2)</f>
        <v/>
      </c>
      <c r="FJ52" s="34" t="str" cm="1">
        <f t="array" ref="FJ52">_xll.ASAssetStatistic($A52,"Exponential Normal daily VaR 95%",,,,"m",'PBA Summary'!$F$2,'PBA Summary'!$G$2)</f>
        <v/>
      </c>
      <c r="FK52" s="34" t="str" cm="1">
        <f t="array" ref="FK52">_xll.ASAssetStatistic($A52,"Exponential Normal daily VaR 90%",,,,"m",'PBA Summary'!$F$2,'PBA Summary'!$G$2)</f>
        <v/>
      </c>
      <c r="FL52" s="34" cm="1">
        <f t="array" ref="FL52">_xll.ASAssetStatistic($A52,"Bias Ratio",,,,"m",'PBA Summary'!$F$2,'PBA Summary'!$G$2)</f>
        <v>0.375</v>
      </c>
      <c r="FM52" s="11" t="str" cm="1">
        <f t="array" ref="FM52">_xll.ASAssetInfo($A52,"Manager's Biography")</f>
        <v/>
      </c>
      <c r="FN52" s="11" cm="1">
        <f t="array" ref="FN52">_xll.ASAssetInfo($A52,"Investment Min")</f>
        <v>0</v>
      </c>
      <c r="FO52" s="11" t="str" cm="1">
        <f t="array" ref="FO52">_xll.ASAssetInfo($A52,"Auditor")</f>
        <v/>
      </c>
      <c r="FP52" s="11" t="str" cm="1">
        <f t="array" ref="FP52">_xll.ASAssetInfo($A52,"Custodian")</f>
        <v/>
      </c>
      <c r="FQ52" s="11" t="str" cm="1">
        <f t="array" ref="FQ52">_xll.ASAssetInfo($A52,"Administrator")</f>
        <v/>
      </c>
      <c r="FR52" s="14" t="str" cm="1">
        <f t="array" ref="FR52">_xll.ASAssetInfo($A52,"Proxy 1 Start Date")</f>
        <v/>
      </c>
      <c r="FS52" s="14" t="str" cm="1">
        <f t="array" ref="FS52">_xll.ASAssetInfo($A52,"Proxy 1 End Date")</f>
        <v/>
      </c>
      <c r="FT52" s="14" t="str" cm="1">
        <f t="array" ref="FT52">_xll.ASAssetInfo($A52,"Proxy 2 Start Date")</f>
        <v/>
      </c>
      <c r="FU52" s="14" t="str" cm="1">
        <f t="array" ref="FU52">_xll.ASAssetInfo($A52,"Proxy 2 End Date")</f>
        <v/>
      </c>
      <c r="FV52" s="14" t="str" cm="1">
        <f t="array" ref="FV52">_xll.ASAssetInfo($A52,"Proxy 3 Start Date")</f>
        <v/>
      </c>
      <c r="FW52" s="14" t="str" cm="1">
        <f t="array" ref="FW52">_xll.ASAssetInfo($A52,"Proxy 3 End Date")</f>
        <v/>
      </c>
      <c r="FX52" s="14" t="str" cm="1">
        <f t="array" ref="FX52">_xll.ASAssetInfo($A52,"Fund Domicile")</f>
        <v/>
      </c>
      <c r="FY52" s="14" t="str" cm="1">
        <f t="array" ref="FY52">_xll.ASAssetInfo($A52,"Fund Contact")</f>
        <v/>
      </c>
      <c r="FZ52" s="14" t="str" cm="1">
        <f t="array" ref="FZ52">_xll.ASAssetInfo($A52,"Fund Contact Email")</f>
        <v/>
      </c>
      <c r="GA52" s="14" t="str" cm="1">
        <f t="array" ref="GA52">_xll.ASAssetInfo($A52,"Fund Contact Number")</f>
        <v/>
      </c>
      <c r="GB52" s="14" t="str" cm="1">
        <f t="array" ref="GB52">_xll.ASAssetInfo($A52,"City")</f>
        <v/>
      </c>
      <c r="GC52" s="14" t="str" cm="1">
        <f t="array" ref="GC52">_xll.ASAssetInfo($A52,"Leverage")</f>
        <v/>
      </c>
      <c r="GD52" s="14" t="str" cm="1">
        <f t="array" ref="GD52">_xll.ASAssetInfo($A52,"Lockup 1 Duration")</f>
        <v>0 Months</v>
      </c>
      <c r="GE52" s="14" t="str" cm="1">
        <f t="array" ref="GE52">_xll.ASAssetInfo($A52,"Lockup 2 Duration")</f>
        <v>0 Months</v>
      </c>
      <c r="GF52" s="14" t="str" cm="1">
        <f t="array" ref="GF52">_xll.ASAssetInfo($A52,"Lockup 3 Duration")</f>
        <v>0 Months</v>
      </c>
      <c r="GG52" s="31" t="str" cm="1">
        <f t="array" ref="GG52">_xll.ASAssetInfo($A52,"Fund Level Gate")</f>
        <v/>
      </c>
      <c r="GH52" s="31" t="str" cm="1">
        <f t="array" ref="GH52">_xll.ASAssetInfo($A52,"Fund Level Gate Frequency")</f>
        <v>Unknown</v>
      </c>
      <c r="GI52" s="35" cm="1">
        <f t="array" ref="GI52">_xll.ASAssetInfo($A52,"Payment 2 (%)")</f>
        <v>0</v>
      </c>
      <c r="GJ52" s="35" t="str" cm="1">
        <f t="array" ref="GJ52">_xll.ASAssetInfo($A52,"Payment 2 (days)")</f>
        <v/>
      </c>
      <c r="GK52" s="35" t="str" cm="1">
        <f t="array" ref="GK52">_xll.ASAssetInfo($A52,"Payment 2 (Paid After)")</f>
        <v>NAV Date</v>
      </c>
      <c r="GL52" s="35" cm="1">
        <f t="array" ref="GL52">_xll.ASAssetInfo($A52,"Payment 3 (%)")</f>
        <v>0</v>
      </c>
      <c r="GM52" s="36" t="str" cm="1">
        <f t="array" ref="GM52">_xll.ASAssetInfo($A52,"Payment 3 (Days)")</f>
        <v/>
      </c>
      <c r="GN52" s="35" t="str" cm="1">
        <f t="array" ref="GN52">_xll.ASAssetInfo($A52,"Payment 3 (Paid After)")</f>
        <v>NAV Date</v>
      </c>
      <c r="GO52" s="35" cm="1">
        <f t="array" ref="GO52">_xll.ASAssetInfo($A52,"Payment 4 (%)")</f>
        <v>0</v>
      </c>
      <c r="GP52" s="36" t="str" cm="1">
        <f t="array" ref="GP52">_xll.ASAssetInfo($A52,"Payment 4 (days)")</f>
        <v/>
      </c>
      <c r="GQ52" s="35" t="str" cm="1">
        <f t="array" ref="GQ52">_xll.ASAssetInfo($A52,"Payment 4 (Paid After)")</f>
        <v>NAV Date</v>
      </c>
      <c r="GR52" s="11" cm="1">
        <f t="array" ref="GR52">_xll.ASAssetInfo($A52,"Payment 1 (%)")</f>
        <v>1</v>
      </c>
      <c r="GS52" s="35" cm="1">
        <f t="array" ref="GS52">_xll.ASAssetInfo($A52,"Lockup 1 Fee")</f>
        <v>0</v>
      </c>
      <c r="GT52" s="35" cm="1">
        <f t="array" ref="GT52">_xll.ASAssetInfo($A52,"Lockup 2 Fee")</f>
        <v>0</v>
      </c>
      <c r="GU52" s="35" cm="1">
        <f t="array" ref="GU52">_xll.ASAssetInfo($A52,"Lockup 3 Fee")</f>
        <v>0</v>
      </c>
      <c r="GV52" s="35" t="str" cm="1">
        <f t="array" ref="GV52">_xll.ASAssetInfo($A52,"Lockup 1 type")</f>
        <v>None</v>
      </c>
      <c r="GW52" s="35" t="str" cm="1">
        <f t="array" ref="GW52">_xll.ASAssetInfo($A52,"Lockup 2 type")</f>
        <v>None</v>
      </c>
      <c r="GX52" s="35" t="str" cm="1">
        <f t="array" ref="GX52">_xll.ASAssetInfo($A52,"Lockup 3 type")</f>
        <v>None</v>
      </c>
      <c r="GY52" s="35" t="str" cm="1">
        <f t="array" ref="GY52">_xll.ASAssetInfo($A52,"Redemption 1 type")</f>
        <v>Calendar</v>
      </c>
      <c r="GZ52" s="35" t="str" cm="1">
        <f t="array" ref="GZ52">_xll.ASAssetInfo($A52,"Redemption 2 type")</f>
        <v>Calendar</v>
      </c>
      <c r="HA52" s="35" t="str" cm="1">
        <f t="array" ref="HA52">_xll.ASAssetInfo($A52,"Redemption 3 type")</f>
        <v>Calendar</v>
      </c>
      <c r="HB52" s="35" t="str" cm="1">
        <f t="array" ref="HB52">_xll.ASAssetInfo($A52,"Redemption 1 Fee")</f>
        <v/>
      </c>
      <c r="HC52" s="35" t="str" cm="1">
        <f t="array" ref="HC52">_xll.ASAssetInfo($A52,"Redemption 2 Fee")</f>
        <v/>
      </c>
      <c r="HD52" s="35" t="str" cm="1">
        <f t="array" ref="HD52">_xll.ASAssetInfo($A52,"Redemption 3 Fee")</f>
        <v/>
      </c>
      <c r="HE52" s="35" t="str" cm="1">
        <f t="array" ref="HE52">_xll.ASAssetInfo($A52,"Redemption 1 Frequency")</f>
        <v>Unknown</v>
      </c>
      <c r="HF52" s="35" t="str" cm="1">
        <f t="array" ref="HF52">_xll.ASAssetInfo($A52,"Redemption 2 Frequency")</f>
        <v>Unknown</v>
      </c>
      <c r="HG52" s="35" t="str" cm="1">
        <f t="array" ref="HG52">_xll.ASAssetInfo($A52,"Redemption 3 Frequency")</f>
        <v>Unknown</v>
      </c>
      <c r="HH52" s="35" t="str" cm="1">
        <f t="array" ref="HH52">_xll.ASAssetInfo($A52,"Asset Calendar")</f>
        <v>[Default]</v>
      </c>
      <c r="HI52" s="16" cm="1">
        <f t="array" ref="HI52">_xll.ASAssetStatistic($A52,"Max Second Drawdown",,,,"m",'PBA Summary'!$F$2,'PBA Summary'!$G$2)</f>
        <v>0</v>
      </c>
      <c r="HJ52" s="37" t="str" cm="1">
        <f t="array" ref="HJ52">_xll.ASAssetStatistic($A52,"Date Max Second Drawdown",,,,"m",'PBA Summary'!$F$2,'PBA Summary'!$G$2)</f>
        <v/>
      </c>
      <c r="HK52" s="37"/>
      <c r="HL52" s="37" t="str" cm="1">
        <f t="array" ref="HL52">_xll.ASAssetInfo($A52,HL$1)</f>
        <v/>
      </c>
      <c r="HM52" s="34" cm="1">
        <f t="array" ref="HM52">_xll.ASAssetInfo($A52,HM$1)</f>
        <v>16.559999999999999</v>
      </c>
      <c r="HN52" s="37" t="str" cm="1">
        <f t="array" ref="HN52">_xll.ASAssetInfo($A52,HN$1)</f>
        <v/>
      </c>
      <c r="HO52" s="15" cm="1">
        <f t="array" ref="HO52">_xll.ASAssetInfo($A52,HO$1)</f>
        <v>0</v>
      </c>
      <c r="HP52" s="15" t="str" cm="1">
        <f t="array" ref="HP52">_xll.ASAssetInfo($A52,HP$1)</f>
        <v/>
      </c>
      <c r="HQ52" s="34" t="str" cm="1">
        <f t="array" ref="HQ52">_xll.ASAssetInfo($A52,HQ$1)</f>
        <v/>
      </c>
      <c r="HR52" s="37" t="str" cm="1">
        <f t="array" ref="HR52">_xll.ASAssetInfo($A52,HR$1)</f>
        <v/>
      </c>
      <c r="HS52" s="37" t="str" cm="1">
        <f t="array" ref="HS52">_xll.ASAssetInfo($A52,HS$1)</f>
        <v/>
      </c>
      <c r="HT52" s="37" t="str" cm="1">
        <f t="array" ref="HT52">_xll.ASAssetInfo($A52,HT$1)</f>
        <v/>
      </c>
      <c r="HU52" s="37" t="str" cm="1">
        <f t="array" ref="HU52">_xll.ASAssetInfo($A52,HU$1)</f>
        <v>China</v>
      </c>
      <c r="HV52" s="37" t="str" cm="1">
        <f t="array" ref="HV52">_xll.ASAssetInfo($A52,HV$1)</f>
        <v/>
      </c>
      <c r="HW52" s="37" t="str" cm="1">
        <f t="array" ref="HW52">_xll.ASAssetInfo($A52,HW$1)</f>
        <v/>
      </c>
    </row>
    <row r="53" spans="1:231" s="11" customFormat="1" ht="60" x14ac:dyDescent="0.25">
      <c r="A53" t="s">
        <v>281</v>
      </c>
      <c r="B53" cm="1">
        <f t="array" ref="B53">_xll.ASPortfolioWeights('PBA Summary'!$C$2,"OR",$A53)</f>
        <v>0</v>
      </c>
      <c r="C53" cm="1">
        <f t="array" ref="C53">_xll.ASAssetStatistic($A53,"Annualized Return since inception",,,,"m",_xll.ASAssetInfo($A53,"Start Date"),_xll.ASAssetInfo($A53,"Last Return Date"))</f>
        <v>6.5605887804497831E-2</v>
      </c>
      <c r="D53" cm="1">
        <f t="array" ref="D53">_xll.ASAssetStatistic($A53,"Annualized Return",,,,"m",'PBA Summary'!$F$2,'PBA Summary'!$G$2)</f>
        <v>9.9372484387707516E-3</v>
      </c>
      <c r="E53" s="19" cm="1">
        <f t="array" ref="E53">_xll.ASAssetStatistic($A53,"Equilibrium Annual Return",,,,"m",'PBA Summary'!$F$2,'PBA Summary'!$G$2)</f>
        <v>5.189044339899751E-2</v>
      </c>
      <c r="F53" cm="1">
        <f t="array" ref="F53">_xll.ASAssetStatistic($A53,"Annualized Volatility (Inception)",,,,"m",_xll.ASAssetInfo($A53,"Start Date"),_xll.ASAssetInfo($A53,"Last Return Date"))</f>
        <v>3.5161814495747172E-2</v>
      </c>
      <c r="G53" cm="1">
        <f t="array" ref="G53">_xll.ASAssetStatistic($A53,"Annualized Volatility",,,,"m",'PBA Summary'!$F$2,'PBA Summary'!$G$2)</f>
        <v>3.685638866719456E-2</v>
      </c>
      <c r="H53" s="20" cm="1">
        <f t="array" ref="H53">_xll.ASAssetStatistic($A53,"Skewness",,,,"m",'PBA Summary'!$F$2,'PBA Summary'!$G$2)</f>
        <v>-1.9491061817532023</v>
      </c>
      <c r="I53" s="20" cm="1">
        <f t="array" ref="I53">_xll.ASAssetStatistic($A53,"Excess kurtosis",,,,"m",'PBA Summary'!$F$2,'PBA Summary'!$G$2)</f>
        <v>4.8720875162956006</v>
      </c>
      <c r="J53" s="19" cm="1">
        <f t="array" ref="J53">_xll.ASAssetStatistic($A53,"Return Last 1 month",,,,"m",'PBA Summary'!$F$2,'PBA Summary'!$G$2)</f>
        <v>1.0699999999999932E-2</v>
      </c>
      <c r="K53" s="19" cm="1">
        <f t="array" ref="K53">_xll.ASAssetStatistic($A53,"Return Last 3 months",,,,"m",'PBA Summary'!$F$2,'PBA Summary'!$G$2)</f>
        <v>3.1014706147999949E-2</v>
      </c>
      <c r="L53" s="19" cm="1">
        <f t="array" ref="L53">_xll.ASAssetStatistic($A53,"Return Last 1 year",,,,"m",'PBA Summary'!$F$2,'PBA Summary'!$G$2)</f>
        <v>4.2832600612195293E-2</v>
      </c>
      <c r="M53" s="19" cm="1">
        <f t="array" ref="M53">_xll.ASAssetStatistic($A53,"Year-to-date Return",,,,"m",'PBA Summary'!$F$2,'PBA Summary'!$G$2)</f>
        <v>1.0699999999999932E-2</v>
      </c>
      <c r="N53" s="19" cm="1">
        <f t="array" ref="N53">_xll.ASAssetStatistic($A53,"Annualized Return",,,,"m",EOMONTH('PBA Summary'!$G$2,-2),'PBA Summary'!$G$2)</f>
        <v>0.1299505555231355</v>
      </c>
      <c r="O53" s="19" t="str" cm="1">
        <f t="array" ref="O53">_xll.ASAssetStatistic($A53,"Annualized Return Last 3 years",,,,"m",'PBA Summary'!$F$2,'PBA Summary'!$G$2)</f>
        <v/>
      </c>
      <c r="P53" s="19" t="str" cm="1">
        <f t="array" ref="P53">_xll.ASAssetStatistic($A53,"Annualized Return Last 5 years",,,,"m",'PBA Summary'!$F$2,'PBA Summary'!$G$2)</f>
        <v/>
      </c>
      <c r="Q53" s="19" cm="1">
        <f t="array" ref="Q53">_xll.ASAssetStatistic($A53,"Annualized Volatility Last 1 year",,,,"m",'PBA Summary'!$F$2,'PBA Summary'!$G$2)</f>
        <v>2.0162160778863143E-2</v>
      </c>
      <c r="R53" s="19" t="str" cm="1">
        <f t="array" ref="R53">_xll.ASAssetStatistic($A53,"Annualized Volatility Last 3 years",,,,"m",'PBA Summary'!$F$2,'PBA Summary'!$G$2)</f>
        <v/>
      </c>
      <c r="S53" s="19" t="str" cm="1">
        <f t="array" ref="S53">_xll.ASAssetStatistic($A53,"Annualized Volatility Last 5 years",,,,"m",'PBA Summary'!$F$2,'PBA Summary'!$G$2)</f>
        <v/>
      </c>
      <c r="T53" s="19" cm="1">
        <f t="array" ref="T53">_xll.ASAssetStatistic($A53,"Normal monthly VaR 99%",,,,"m",'PBA Summary'!$F$2,'PBA Summary'!$G$2)</f>
        <v>-2.3873447813597234E-2</v>
      </c>
      <c r="U53" s="19" cm="1">
        <f t="array" ref="U53">_xll.ASAssetStatistic($A53,"Modified monthly VaR 99%",,,,"m",'PBA Summary'!$F$2,'PBA Summary'!$G$2)</f>
        <v>-3.6029422182751687E-2</v>
      </c>
      <c r="V53" s="19" cm="1">
        <f t="array" ref="V53">_xll.ASAssetStatistic($A53,"Conditional monthly VaR 99%",,,,"m",'PBA Summary'!$F$2,'PBA Summary'!$G$2)</f>
        <v>-3.0438291531520702E-2</v>
      </c>
      <c r="W53" s="19" cm="1">
        <f t="array" ref="W53">_xll.ASAssetStatistic($A53,"Normal monthly VaR 97%",,,,"m",'PBA Summary'!$F$2,'PBA Summary'!$G$2)</f>
        <v>-1.9132962972103842E-2</v>
      </c>
      <c r="X53" s="19" cm="1">
        <f t="array" ref="X53">_xll.ASAssetStatistic($A53,"Modified monthly VaR 97%",,,,"m",'PBA Summary'!$F$2,'PBA Summary'!$G$2)</f>
        <v>-2.5704531074699881E-2</v>
      </c>
      <c r="Y53" s="19" cm="1">
        <f t="array" ref="Y53">_xll.ASAssetStatistic($A53,"Conditional monthly VaR 97%",,,,"m",'PBA Summary'!$F$2,'PBA Summary'!$G$2)</f>
        <v>-3.0438291531520702E-2</v>
      </c>
      <c r="Z53" s="19" cm="1">
        <f t="array" ref="Z53">_xll.ASAssetStatistic($A53,"Normal monthly VaR 95%",,,,"m",'PBA Summary'!$F$2,'PBA Summary'!$G$2)</f>
        <v>-1.6622674125140038E-2</v>
      </c>
      <c r="AA53" s="19" cm="1">
        <f t="array" ref="AA53">_xll.ASAssetStatistic($A53,"Modified monthly VaR 95%",,,,"m",'PBA Summary'!$F$2,'PBA Summary'!$G$2)</f>
        <v>-2.0712180809917581E-2</v>
      </c>
      <c r="AB53" s="19" cm="1">
        <f t="array" ref="AB53">_xll.ASAssetStatistic($A53,"Conditional monthly VaR 95%",,,,"m",'PBA Summary'!$F$2,'PBA Summary'!$G$2)</f>
        <v>-3.0438291531520702E-2</v>
      </c>
      <c r="AC53" s="66" cm="1">
        <f t="array" ref="AC53">_xll.ASAssetStatistic($A53,"Correlation to Benchmark 1","MSCI ACWI Index",,,"m",'PBA Summary'!$F$2,'PBA Summary'!$G$2)</f>
        <v>0.55032125705734425</v>
      </c>
      <c r="AD53" s="38" cm="1">
        <f t="array" ref="AD53">IF('PBA Summary'!$D$3="","",_xll.ASAssetStatistic($A53,"Correlation to Benchmark 1",'PBA Summary'!$D$3,,,"m",'PBA Summary'!$F$2,'PBA Summary'!$G$2))</f>
        <v>0.63230539800682195</v>
      </c>
      <c r="AE53" s="21" cm="1">
        <f t="array" ref="AE53">IF('PBA Summary'!$D$2="","",_xll.ASAssetStatistic($A53,"Bull correlation to Benchmark 1",'PBA Summary'!$D$2,,,"m",'PBA Summary'!$F$2,'PBA Summary'!$G$2))</f>
        <v>0.35321509403512519</v>
      </c>
      <c r="AF53" s="21" cm="1">
        <f t="array" ref="AF53">IF('PBA Summary'!$D$2="","",_xll.ASAssetStatistic($A53,"Bear correlation to Benchmark 1",'PBA Summary'!$D$2,,,"m",'PBA Summary'!$F$2,'PBA Summary'!$G$2))</f>
        <v>0.8743600034169694</v>
      </c>
      <c r="AG53" s="21" cm="1">
        <f t="array" ref="AG53">IF('PBA Summary'!$D$3="","",_xll.ASAssetStatistic($A53,"Bull correlation to Benchmark 1",'PBA Summary'!$D$3,,,"m",'PBA Summary'!$F$2,'PBA Summary'!$G$2))</f>
        <v>0.35321509403512519</v>
      </c>
      <c r="AH53" s="21" cm="1">
        <f t="array" ref="AH53">IF('PBA Summary'!$D$3="","",_xll.ASAssetStatistic($A53,"Bear correlation to Benchmark 1",'PBA Summary'!$D$3,,,"m",'PBA Summary'!$F$2,'PBA Summary'!$G$2))</f>
        <v>0.8743600034169694</v>
      </c>
      <c r="AI53" s="24" cm="1">
        <f t="array" ref="AI53">IF('PBA Summary'!$D$2="","",_xll.ASAssetStatistic($A53,"Beta to Benchmark 1",'PBA Summary'!$D$2,,,"m",'PBA Summary'!$F$2,'PBA Summary'!$G$2))</f>
        <v>0.15179707422692784</v>
      </c>
      <c r="AJ53" s="24" t="str" cm="1">
        <f t="array" ref="AJ53">IF('PBA Summary'!$D$2="","",_xll.ASAssetStatistic($A53,"Beta to Benchmark 1 Last 3 years",'PBA Summary'!$D$2,,,"m",'PBA Summary'!$F$2,'PBA Summary'!$G$2))</f>
        <v/>
      </c>
      <c r="AK53" s="24" t="str" cm="1">
        <f t="array" ref="AK53">IF('PBA Summary'!$D$2="","",_xll.ASAssetStatistic($A53,"Beta to Benchmark 1 Last 5 years",'PBA Summary'!$D$2,,,"m",'PBA Summary'!$F$2,'PBA Summary'!$G$2))</f>
        <v/>
      </c>
      <c r="AL53" s="25" cm="1">
        <f t="array" ref="AL53">IF('PBA Summary'!$D$3="","",_xll.ASAssetStatistic($A53,"Beta to Benchmark 1",'PBA Summary'!$D$3,,,"m",'PBA Summary'!$F$2,'PBA Summary'!$G$2))</f>
        <v>0.15179707422692784</v>
      </c>
      <c r="AM53" s="25" t="str" cm="1">
        <f t="array" ref="AM53">IF('PBA Summary'!$D$3="","",_xll.ASAssetStatistic($A53,"Beta to Benchmark 1 Last 3 years",'PBA Summary'!$D$3,,,"m",'PBA Summary'!$F$2,'PBA Summary'!$G$2))</f>
        <v/>
      </c>
      <c r="AN53" s="25" t="str" cm="1">
        <f t="array" ref="AN53">IF('PBA Summary'!$D$3="","",_xll.ASAssetStatistic($A53,"Beta to Benchmark 1 Last 5 years",'PBA Summary'!$D$3,,,"m",'PBA Summary'!$F$2,'PBA Summary'!$G$2))</f>
        <v/>
      </c>
      <c r="AO53" s="25" cm="1">
        <f t="array" ref="AO53">IF('PBA Summary'!$D$2="","",_xll.ASAssetStatistic($A53,"Bull Beta to Benchmark 1",'PBA Summary'!$D$2,,,"m",'PBA Summary'!$F$2,'PBA Summary'!$G$2))</f>
        <v>0.11091066912990441</v>
      </c>
      <c r="AP53" s="25" cm="1">
        <f t="array" ref="AP53">IF('PBA Summary'!$D$2="","",_xll.ASAssetStatistic($A53,"Bear Beta to Benchmark 1",'PBA Summary'!$D$2,,,"m",'PBA Summary'!$F$2,'PBA Summary'!$G$2))</f>
        <v>0.37503041985108493</v>
      </c>
      <c r="AQ53" s="25" cm="1">
        <f t="array" ref="AQ53">IF('PBA Summary'!$D$3="","",_xll.ASAssetStatistic($A53,"Bull Beta to Benchmark 1",'PBA Summary'!$D$3,,,"m",'PBA Summary'!$F$2,'PBA Summary'!$G$2))</f>
        <v>0.11091066912990441</v>
      </c>
      <c r="AR53" s="25" cm="1">
        <f t="array" ref="AR53">IF('PBA Summary'!$D$3="","",_xll.ASAssetStatistic($A53,"Bear Beta to Benchmark 1",'PBA Summary'!$D$3,,,"m",'PBA Summary'!$F$2,'PBA Summary'!$G$2))</f>
        <v>0.37503041985108493</v>
      </c>
      <c r="AS53" s="25" cm="1">
        <f t="array" ref="AS53">_xll.ASAssetStatistic($A53,"Annual Sharpe Ratio (Rf)",,,'PBA Summary'!$H$2,"m",'PBA Summary'!$F$2,'PBA Summary'!$G$2)</f>
        <v>0.20178993948450946</v>
      </c>
      <c r="AT53" s="25" t="str" cm="1">
        <f t="array" ref="AT53">_xll.ASAssetStatistic($A53,"Annual Sharpe Ratio (Rf) Last 3 years",,,'PBA Summary'!$H$2,"m",'PBA Summary'!$F$2,'PBA Summary'!$G$2)</f>
        <v/>
      </c>
      <c r="AU53" s="25" t="str" cm="1">
        <f t="array" ref="AU53">_xll.ASAssetStatistic($A53,"Annual Sharpe Ratio (Rf) Last 5 years",,,'PBA Summary'!$H$2,"m",'PBA Summary'!$F$2,'PBA Summary'!$G$2)</f>
        <v/>
      </c>
      <c r="AV53" s="18" cm="1">
        <f t="array" ref="AV53">_xll.ASAssetStatistic($A53,"Ann. Downside Deviation (vs 0%)",,,'PBA Summary'!$H$2,"m",'PBA Summary'!$F$2,'PBA Summary'!$G$2)</f>
        <v>2.9156678127184463E-2</v>
      </c>
      <c r="AW53" s="18" cm="1">
        <f t="array" ref="AW53">_xll.ASAssetStatistic($A53,"Ann. Downside Deviation (vs Rf)",,,'PBA Summary'!$H$2,"m",'PBA Summary'!$F$2,'PBA Summary'!$G$2)</f>
        <v>2.9438819693157793E-2</v>
      </c>
      <c r="AX53" s="39" cm="1">
        <f t="array" ref="AX53">_xll.ASAssetStatistic($A53,"Annual Treynor ratio",,,'PBA Summary'!$H$2,"m",'PBA Summary'!$F$2,'PBA Summary'!$G$2)</f>
        <v>5.1229240156579765E-2</v>
      </c>
      <c r="AY53" s="26" cm="1">
        <f t="array" ref="AY53">_xll.ASAssetStatistic($A53,"Annual Sortino Ratio (vs 0%)",,,'PBA Summary'!$H$2,"m",'PBA Summary'!$F$2,'PBA Summary'!$G$2)</f>
        <v>0.34082238022532746</v>
      </c>
      <c r="AZ53" s="26" cm="1">
        <f t="array" ref="AZ53">_xll.ASAssetStatistic($A53,"Annual Sortino Ratio (vs Rf)",,,'PBA Summary'!$H$2,"m",'PBA Summary'!$F$2,'PBA Summary'!$G$2)</f>
        <v>0.25263405653791637</v>
      </c>
      <c r="BA53" s="26" cm="1">
        <f t="array" ref="BA53">_xll.ASAssetStatistic($A53,"Sterling ratio",,,'PBA Summary'!$H$2,"m",'PBA Summary'!$F$2,'PBA Summary'!$G$2)</f>
        <v>9.1756679951715173E-2</v>
      </c>
      <c r="BB53" s="26" cm="1">
        <f t="array" ref="BB53">_xll.ASAssetStatistic($A53,"Calmar ratio",,,'PBA Summary'!$H$2,"m",'PBA Summary'!$F$2,'PBA Summary'!$G$2)</f>
        <v>0.26086854869480031</v>
      </c>
      <c r="BC53" s="26" cm="1">
        <f t="array" ref="BC53">_xll.ASAssetStatistic($A53,"Hurst index",,,'PBA Summary'!$H$2,"m",'PBA Summary'!$F$2,'PBA Summary'!$G$2)</f>
        <v>0.48984380278919754</v>
      </c>
      <c r="BD53" s="26" cm="1">
        <f t="array" ref="BD53">_xll.ASAssetStatistic($A53,"Omega (Threshold 1)",,,'PBA Summary'!$H$2,"m",'PBA Summary'!$F$2,'PBA Summary'!$G$2)</f>
        <v>1.2679806228710075</v>
      </c>
      <c r="BE53" s="26" cm="1">
        <f t="array" ref="BE53">_xll.ASAssetStatistic($A53,"Omega (Threshold 2)",,,'PBA Summary'!$H$2,"m",'PBA Summary'!$F$2,'PBA Summary'!$G$2)</f>
        <v>0.28626424632609915</v>
      </c>
      <c r="BF53" s="26" cm="1">
        <f t="array" ref="BF53">_xll.ASAssetStatistic($A53,"Omega (Threshold 3)",,,'PBA Summary'!$H$2,"m",'PBA Summary'!$F$2,'PBA Summary'!$G$2)</f>
        <v>9.4112030690990597E-3</v>
      </c>
      <c r="BG53" s="26" cm="1">
        <f t="array" ref="BG53">_xll.ASAssetStatistic($A53,"Omega (Threshold 4)",,,'PBA Summary'!$H$2,"m",'PBA Summary'!$F$2,'PBA Summary'!$G$2)</f>
        <v>0</v>
      </c>
      <c r="BH53" s="26" cm="1">
        <f t="array" ref="BH53">_xll.ASAssetStatistic($A53,"Omega (Threshold 5)",,,'PBA Summary'!$H$2,"m",'PBA Summary'!$F$2,'PBA Summary'!$G$2)</f>
        <v>0</v>
      </c>
      <c r="BI53" s="26" t="str" cm="1">
        <f t="array" ref="BI53">_xll.ASAssetStatistic($A53,"Autocorrelated (illiquid)",,,'PBA Summary'!$H$2,"m",'PBA Summary'!$F$2,'PBA Summary'!$G$2)</f>
        <v>No</v>
      </c>
      <c r="BJ53" s="27" cm="1">
        <f t="array" ref="BJ53">_xll.ASAssetStatistic($A53,"% months in Run Up",,,'PBA Summary'!$H$2,"m",'PBA Summary'!$F$2,'PBA Summary'!$G$2)</f>
        <v>0.8666666666666667</v>
      </c>
      <c r="BK53" s="27" cm="1">
        <f t="array" ref="BK53">_xll.ASAssetStatistic($A53,"% months in Drawdown",,,'PBA Summary'!$H$2,"m",'PBA Summary'!$F$2,'PBA Summary'!$G$2)</f>
        <v>0.13333333333333333</v>
      </c>
      <c r="BL53" s="18" cm="1">
        <f t="array" ref="BL53">IF('PBA Summary'!$D$2="","",_xll.ASAssetStatistic($A53,"Bull Beta to Benchmark 1",'PBA Summary'!$D$2,,,"m",'PBA Summary'!$F$2,'PBA Summary'!$G$2))</f>
        <v>0.11091066912990441</v>
      </c>
      <c r="BM53" s="18" cm="1">
        <f t="array" ref="BM53">IF('PBA Summary'!$D$2="","",_xll.ASAssetStatistic($A53,"Average return during bear Benchmark 1",'PBA Summary'!$D$2,,,"m",'PBA Summary'!$F$2,'PBA Summary'!$G$2))</f>
        <v>-4.6095728828801762E-3</v>
      </c>
      <c r="BN53" s="18" cm="1">
        <f t="array" ref="BN53">IF('PBA Summary'!$D$3="","",_xll.ASAssetStatistic($A53,"Average return during bull Benchmark 1",'PBA Summary'!$D$3,,,"m",'PBA Summary'!$F$2,'PBA Summary'!$G$2))</f>
        <v>2.8731862346416531E-3</v>
      </c>
      <c r="BO53" s="18" cm="1">
        <f t="array" ref="BO53">IF('PBA Summary'!$D$3="","",_xll.ASAssetStatistic($A53,"Average return during bear Benchmark 1",'PBA Summary'!$D$3,,,"m",'PBA Summary'!$F$2,'PBA Summary'!$G$2))</f>
        <v>-4.6095728828801762E-3</v>
      </c>
      <c r="BP53" s="27" cm="1">
        <f t="array" ref="BP53">_xll.ASAssetStatistic($A53,"Maximum consecutive gain",,,'PBA Summary'!$H$2,"m",'PBA Summary'!$F$2,'PBA Summary'!$G$2)</f>
        <v>3.1014706147999949E-2</v>
      </c>
      <c r="BQ53" s="27" cm="1">
        <f t="array" ref="BQ53">_xll.ASAssetStatistic($A53,"Maximum consecutive loss",,,'PBA Summary'!$H$2,"m",'PBA Summary'!$F$2,'PBA Summary'!$G$2)</f>
        <v>-3.8092934117545552E-2</v>
      </c>
      <c r="BR53" s="27" cm="1">
        <f t="array" ref="BR53">_xll.ASAssetStatistic($A53,"Max monthly gain",,,'PBA Summary'!$H$2,"m",'PBA Summary'!$F$2,'PBA Summary'!$G$2)</f>
        <v>1.0699999999999999E-2</v>
      </c>
      <c r="BS53" s="27" cm="1">
        <f t="array" ref="BS53">_xll.ASAssetStatistic($A53,"Max monthly loss",,,'PBA Summary'!$H$2,"m",'PBA Summary'!$F$2,'PBA Summary'!$G$2)</f>
        <v>-3.0438291531520702E-2</v>
      </c>
      <c r="BT53" s="27" cm="1">
        <f t="array" ref="BT53">_xll.ASAssetStatistic($A53,"Max drawdown",,,'PBA Summary'!$H$2,"m",'PBA Summary'!$F$2,'PBA Summary'!$G$2)</f>
        <v>-3.8092934117545552E-2</v>
      </c>
      <c r="BU53" s="28" cm="1">
        <f t="array" ref="BU53">_xll.ASAssetStatistic($A53,"Date Max drawdown",,,'PBA Summary'!$H$2,"m",'PBA Summary'!$F$2,'PBA Summary'!$G$2)</f>
        <v>43465</v>
      </c>
      <c r="BV53" s="28" cm="1">
        <f t="array" ref="BV53">_xll.ASAssetStatistic($A53,"Start Date Max Drawdown",,,'PBA Summary'!$H$2,"m",'PBA Summary'!$F$2,'PBA Summary'!$G$2)</f>
        <v>43434</v>
      </c>
      <c r="BW53" s="28" cm="1">
        <f t="array" ref="BW53">_xll.ASAssetStatistic($A53,"End Date Max Drawdown",,,'PBA Summary'!$H$2,"m",'PBA Summary'!$F$2,'PBA Summary'!$G$2)</f>
        <v>43799</v>
      </c>
      <c r="BX53" s="29" cm="1">
        <f t="array" ref="BX53">_xll.ASAssetStatistic($A53,"Max Time-under-water (months)",,,'PBA Summary'!$H$2,"m",'PBA Summary'!$F$2,'PBA Summary'!$G$2)</f>
        <v>13</v>
      </c>
      <c r="BY53" s="27" cm="1">
        <f t="array" ref="BY53">_xll.ASAssetStatistic($A53,"Max possible drawdown 99%",,,'PBA Summary'!$H$2,"m",'PBA Summary'!$F$2,'PBA Summary'!$G$2)</f>
        <v>-0.17448016933342086</v>
      </c>
      <c r="BZ53" s="27" cm="1">
        <f t="array" ref="BZ53">_xll.ASAssetStatistic($A53,"Max possible drawdown 99.9%",,,'PBA Summary'!$H$2,"m",'PBA Summary'!$F$2,'PBA Summary'!$G$2)</f>
        <v>-0.30787825377597849</v>
      </c>
      <c r="CA53" s="30" cm="1">
        <f t="array" ref="CA53">_xll.ASAssetStatistic($A53,"Max Possible Time-under-water 99% (months)",,,'PBA Summary'!$H$2,"m",'PBA Summary'!$F$2,'PBA Summary'!$G$2)</f>
        <v>795.09404788273184</v>
      </c>
      <c r="CB53" s="30" cm="1">
        <f t="array" ref="CB53">_xll.ASAssetStatistic($A53,"Max Possible Time-under-water 99.9% (months)",,,'PBA Summary'!$H$2,"m",'PBA Summary'!$F$2,'PBA Summary'!$G$2)</f>
        <v>1402.9798800918563</v>
      </c>
      <c r="CC53" s="17" cm="1">
        <f t="array" ref="CC53">_xll.ASPortfolioReturnAttribution('PBA Summary'!$C$2,"OR",A53,"Last 1m",'PBA Summary'!$F$2,'PBA Summary'!$G$2)</f>
        <v>0</v>
      </c>
      <c r="CD53" s="11" t="str" cm="1">
        <f t="array" ref="CD53">_xll.ASAssetInfo($A53,"Strategy")</f>
        <v>Funds - Macro Arbitrage</v>
      </c>
      <c r="CE53" s="14" cm="1">
        <f t="array" ref="CE53">_xll.ASAssetInfo($A53,"Start Date")</f>
        <v>41243</v>
      </c>
      <c r="CF53" s="14" t="str" cm="1">
        <f t="array" ref="CF53">_xll.ASAssetRatings($A53,"Quantitative",0,0,0,0,0,'PBA Summary'!$F$2,'PBA Summary'!$G$2)</f>
        <v/>
      </c>
      <c r="CG53" s="14" t="str" cm="1">
        <f t="array" ref="CG53">_xll.ASAssetRatings($A53,"Qualitative",0,0,0,0,0,'PBA Summary'!$F$2,'PBA Summary'!$G$2)</f>
        <v/>
      </c>
      <c r="CH53" s="14" t="str" cm="1">
        <f t="array" ref="CH53">_xll.ASAssetRatings($A53,"Final",0,0,0,0,0,'PBA Summary'!$F$2,'PBA Summary'!$G$2)</f>
        <v/>
      </c>
      <c r="CI53" s="14" cm="1">
        <f t="array" ref="CI53">_xll.ASAssetInfo($A53,"Last Return Date")</f>
        <v>44104</v>
      </c>
      <c r="CJ53" s="14" t="str" cm="1">
        <f t="array" ref="CJ53">_xll.ASAssetInfo($A53,"Company Name")</f>
        <v>Southern Ridges Capital Pte. Ltd.</v>
      </c>
      <c r="CK53" s="14" t="str" cm="1">
        <f t="array" ref="CK53">_xll.ASAssetInfo($A53,"Manager Name")</f>
        <v/>
      </c>
      <c r="CL53" s="14" t="str" cm="1">
        <f t="array" ref="CL53">_xll.ASAssetInfo($A53,"Address")</f>
        <v/>
      </c>
      <c r="CM53" s="14" t="str" cm="1">
        <f t="array" ref="CM53">_xll.ASAssetInfo($A53,"Phone Number")</f>
        <v/>
      </c>
      <c r="CN53" s="14" t="str" cm="1">
        <f t="array" ref="CN53">_xll.ASAssetInfo($A53,"Email")</f>
        <v/>
      </c>
      <c r="CO53" s="14" t="str" cm="1">
        <f t="array" ref="CO53">_xll.ASAssetInfo($A53,"Asset Type")</f>
        <v>Alternatives</v>
      </c>
      <c r="CP53" s="14" t="str" cm="1">
        <f t="array" ref="CP53">_xll.ASAssetInfo($A53,"Proprietary ID")</f>
        <v/>
      </c>
      <c r="CQ53" s="14" t="str" cm="1">
        <f t="array" ref="CQ53">_xll.ASAssetInfo($A53,"Country")</f>
        <v>[Not Classified]</v>
      </c>
      <c r="CR53" s="14" t="str" cm="1">
        <f t="array" ref="CR53">_xll.ASAssetInfo($A53,"Currency")</f>
        <v>USD</v>
      </c>
      <c r="CS53" s="14" t="str" cm="1">
        <f t="array" ref="CS53">_xll.ASAssetInfo($A53,"Sub-Strategy")</f>
        <v/>
      </c>
      <c r="CT53" s="31" cm="1">
        <f t="array" ref="CT53">_xll.ASAssetInfo($A53,"Fund AUM (m)")</f>
        <v>1000</v>
      </c>
      <c r="CU53" s="31" t="str" cm="1">
        <f t="array" ref="CU53">_xll.ASAssetInfo($A53,"Status")</f>
        <v>Unknown</v>
      </c>
      <c r="CV53" s="31" t="str" cm="1">
        <f t="array" ref="CV53">_xll.ASAssetInfo($A53,"Redemption 1 Frequency")</f>
        <v>Quarterly</v>
      </c>
      <c r="CW53" s="31" t="str" cm="1">
        <f t="array" ref="CW53">_xll.ASAssetInfo($A53,"Redemption 2 Frequency")</f>
        <v>Unknown</v>
      </c>
      <c r="CX53" s="31" t="str" cm="1">
        <f t="array" ref="CX53">_xll.ASAssetInfo($A53,"Redemption 3 Frequency")</f>
        <v>Unknown</v>
      </c>
      <c r="CY53" s="31" t="str" cm="1">
        <f t="array" ref="CY53">_xll.ASAssetInfo($A53,"Notice Period")</f>
        <v>90 Days</v>
      </c>
      <c r="CZ53" s="15" cm="1">
        <f t="array" ref="CZ53">_xll.ASAssetInfo($A53,"Performance Fee")</f>
        <v>0.2</v>
      </c>
      <c r="DA53" s="15" cm="1">
        <f t="array" ref="DA53">_xll.ASAssetInfo($A53,"Management Fee")</f>
        <v>1.4999999999999999E-2</v>
      </c>
      <c r="DB53" s="15" t="str" cm="1">
        <f t="array" ref="DB53">_xll.ASAssetInfo($A53,"ISIN")</f>
        <v/>
      </c>
      <c r="DC53" s="16" cm="1">
        <f t="array" ref="DC53">_xll.ASAssetStatistic($A53,"Return during " &amp;YEAR(EOMONTH('PBA Summary'!$G$2,-60)),,,,"M",DATE(YEAR(EOMONTH('PBA Summary'!$G$2,-60)),1,31),DATE(YEAR(EOMONTH('PBA Summary'!$G$2,-60)),12,31))</f>
        <v>9.0144051470167463E-2</v>
      </c>
      <c r="DD53" s="16" cm="1">
        <f t="array" ref="DD53">_xll.ASAssetStatistic($A53,"Return during " &amp;YEAR(EOMONTH('PBA Summary'!$G$2,-48)),,,,"M",DATE(YEAR(EOMONTH('PBA Summary'!$G$2,-48)),1,31),DATE(YEAR(EOMONTH('PBA Summary'!$G$2,-48)),12,31))</f>
        <v>1.7571346077204897E-2</v>
      </c>
      <c r="DE53" s="16" cm="1">
        <f t="array" ref="DE53">_xll.ASAssetStatistic($A53,"Return during " &amp;YEAR(EOMONTH('PBA Summary'!$G$2,-36)),,,,"M",DATE(YEAR(EOMONTH('PBA Summary'!$G$2,-36)),1,31),DATE(YEAR(EOMONTH('PBA Summary'!$G$2,-36)),12,31))</f>
        <v>7.9656842682796825E-2</v>
      </c>
      <c r="DF53" s="16" cm="1">
        <f t="array" ref="DF53">_xll.ASAssetStatistic($A53,"Return during " &amp;YEAR(EOMONTH('PBA Summary'!$G$2,-24)),,,,"M",DATE(YEAR(EOMONTH('PBA Summary'!$G$2,-24)),1,31),DATE(YEAR(EOMONTH('PBA Summary'!$G$2,-24)),12,31))</f>
        <v>6.7236022050425781E-2</v>
      </c>
      <c r="DG53" s="16" cm="1">
        <f t="array" ref="DG53">_xll.ASAssetStatistic($A53,"Return during " &amp;YEAR(EOMONTH('PBA Summary'!$G$2,-12)),,,,"M",DATE(YEAR(EOMONTH('PBA Summary'!$G$2,-12)),1,31),DATE(YEAR(EOMONTH('PBA Summary'!$G$2,-12)),12,31))</f>
        <v>4.1388091221815859E-2</v>
      </c>
      <c r="DH53" s="11" t="str" cm="1">
        <f t="array" ref="DH53">_xll.ASAssetInfo($A53,"Prime Broker")</f>
        <v/>
      </c>
      <c r="DI53" s="16" cm="1">
        <f t="array" ref="DI53">_xll.ASAssetStatistic($A53,"Return",,,,"m",'PBA Summary'!$F$2,'PBA Summary'!$G$2)</f>
        <v>1.2436951899118087E-2</v>
      </c>
      <c r="DJ53" s="33" cm="1">
        <f t="array" ref="DJ53">IF('PBA Summary'!$D$2="","",_xll.ASAssetStatistic($A53,"Ann. Information Ratio vs Benchmark 1",'PBA Summary'!$D$2,,,"m",'PBA Summary'!$F$2,'PBA Summary'!$G$2))</f>
        <v>-1.2179969356780596</v>
      </c>
      <c r="DK53" s="33" cm="1">
        <f t="array" ref="DK53">IF('PBA Summary'!$D$3="","",_xll.ASAssetStatistic($A53,"Ann. Information Ratio vs Benchmark 1",'PBA Summary'!$D$3,,,"m",'PBA Summary'!$F$2,'PBA Summary'!$G$2))</f>
        <v>-1.2179969356780596</v>
      </c>
      <c r="DL53" s="33" cm="1">
        <f t="array" ref="DL53">IF('PBA Summary'!$D$2="","",_xll.ASAssetStatistic($A53,"Ann. Tracking Error vs Benchmark 1",'PBA Summary'!$D$2,,,"m",'PBA Summary'!$F$2,'PBA Summary'!$G$2))</f>
        <v>0.13331321371305602</v>
      </c>
      <c r="DM53" s="33" cm="1">
        <f t="array" ref="DM53">IF('PBA Summary'!$D$3="","",_xll.ASAssetStatistic($A53,"Ann. Tracking Error vs Benchmark 1",'PBA Summary'!$D$3,,,"m",'PBA Summary'!$F$2,'PBA Summary'!$G$2))</f>
        <v>0.13331321371305602</v>
      </c>
      <c r="DN53" s="33" cm="1">
        <f t="array" ref="DN53">IF('PBA Summary'!$D$2="","",_xll.ASAssetStatistic($A53,"R² vs Benchmark 1",'PBA Summary'!$D$2,,,"m",'PBA Summary'!$F$2,'PBA Summary'!$G$2))</f>
        <v>0.3998101163485655</v>
      </c>
      <c r="DO53" s="33" cm="1">
        <f t="array" ref="DO53">IF('PBA Summary'!$D$3="","",_xll.ASAssetStatistic($A53,"R² vs Benchmark 1",'PBA Summary'!$D$3,,,"m",'PBA Summary'!$F$2,'PBA Summary'!$G$2))</f>
        <v>0.3998101163485655</v>
      </c>
      <c r="DP53" s="11" t="str" cm="1">
        <f t="array" ref="DP53">_xll.ASAssetInfo($A53,"On-/Offshore")</f>
        <v>Unknown</v>
      </c>
      <c r="DQ53" s="16" cm="1">
        <f t="array" ref="DQ53">_xll.ASAssetStatistic($A53,"Quarter-to-date",,,,"m",'PBA Summary'!$F$2,'PBA Summary'!$G$2)</f>
        <v>1.0699999999999932E-2</v>
      </c>
      <c r="DR53" s="16" cm="1">
        <f t="array" ref="DR53">_xll.ASAssetStatistic($A53,"Annualized Return Since inception",,,,"m",'PBA Summary'!$F$2,'PBA Summary'!$G$2)</f>
        <v>6.5605887804497831E-2</v>
      </c>
      <c r="DS53" s="16" cm="1">
        <f t="array" ref="DS53">IF('PBA Summary'!$D$2="","",_xll.ASAssetStatistic($A53,"Ann. Bear Market Return vs Benchmark 1",'PBA Summary'!$D$2,,,"m",'PBA Summary'!$F$2,'PBA Summary'!$G$2))</f>
        <v>-5.5318986434637063E-2</v>
      </c>
      <c r="DT53" s="16" cm="1">
        <f t="array" ref="DT53">IF('PBA Summary'!$D$2="","",_xll.ASAssetStatistic($A53,"Ann. Bull Market Return vs Benchmark 1",'PBA Summary'!$D$2,,,"m",'PBA Summary'!$F$2,'PBA Summary'!$G$2))</f>
        <v>3.4768480129284907E-2</v>
      </c>
      <c r="DU53" s="16" cm="1">
        <f t="array" ref="DU53">IF('PBA Summary'!$D$3="","",_xll.ASAssetStatistic($A53,"Ann. Bear Market Return vs Benchmark 1",'PBA Summary'!$D$3,,,"m",'PBA Summary'!$F$2,'PBA Summary'!$G$2))</f>
        <v>-5.5318986434637063E-2</v>
      </c>
      <c r="DV53" s="16" cm="1">
        <f t="array" ref="DV53">IF('PBA Summary'!$D$3="","",_xll.ASAssetStatistic($A53,"Ann. Bull Market Return vs Benchmark 1",'PBA Summary'!$D$3,,,"m",'PBA Summary'!$F$2,'PBA Summary'!$G$2))</f>
        <v>3.4768480129284907E-2</v>
      </c>
      <c r="DW53" s="17" cm="1">
        <f t="array" ref="DW53">_xll.ASAssetStatistic($A53,"Average Positive Return",,,,"m",'PBA Summary'!$F$2,'PBA Summary'!$G$2)</f>
        <v>6.2300000000000003E-3</v>
      </c>
      <c r="DX53" s="17" cm="1">
        <f t="array" ref="DX53">_xll.ASAssetStatistic($A53,"Average Negative Return",,,,"m",'PBA Summary'!$F$2,'PBA Summary'!$G$2)</f>
        <v>-9.826648590092503E-3</v>
      </c>
      <c r="DY53" s="16" cm="1">
        <f t="array" ref="DY53">IF('PBA Summary'!$D$2="","",_xll.ASAssetStatistic($A53,"Outperformance vs Benchmark 1",'PBA Summary'!$D$2,,,"m",'PBA Summary'!$F$2,'PBA Summary'!$G$2))</f>
        <v>-0.20740669290960057</v>
      </c>
      <c r="DZ53" s="16" cm="1">
        <f t="array" ref="DZ53">IF('PBA Summary'!$D$3="","",_xll.ASAssetStatistic($A53,"Outperformance vs Benchmark 1",'PBA Summary'!$D$3,,,"m",'PBA Summary'!$F$2,'PBA Summary'!$G$2))</f>
        <v>-0.20740669290960057</v>
      </c>
      <c r="EA53" s="16" cm="1">
        <f t="array" ref="EA53">IF('PBA Summary'!$D$2="","",_xll.ASAssetStatistic($A53,"Annual Outperformance vs Benchmark 1",'PBA Summary'!$D$2,,,"m",'PBA Summary'!$F$2,'PBA Summary'!$G$2))</f>
        <v>-0.1623750857878965</v>
      </c>
      <c r="EB53" s="16" cm="1">
        <f t="array" ref="EB53">IF('PBA Summary'!$D$3="","",_xll.ASAssetStatistic($A53,"Annual Outperformance vs Benchmark 1",'PBA Summary'!$D$3,,,"m",'PBA Summary'!$F$2,'PBA Summary'!$G$2))</f>
        <v>-0.1623750857878965</v>
      </c>
      <c r="EC53" s="32" cm="1">
        <f t="array" ref="EC53">_xll.ASAssetStatistic($A53,"Rachev Ratio 99%",,,,"m",'PBA Summary'!$F$2,'PBA Summary'!$G$2)</f>
        <v>-0.35153089945667609</v>
      </c>
      <c r="ED53" s="32" cm="1">
        <f t="array" ref="ED53">_xll.ASAssetStatistic($A53,"Rachev Ratio 97%",,,,"m",'PBA Summary'!$F$2,'PBA Summary'!$G$2)</f>
        <v>-0.35153089945667609</v>
      </c>
      <c r="EE53" s="32" cm="1">
        <f t="array" ref="EE53">_xll.ASAssetStatistic($A53,"Rachev Ratio 95%",,,,"m",'PBA Summary'!$F$2,'PBA Summary'!$G$2)</f>
        <v>-0.35153089945667609</v>
      </c>
      <c r="EF53" s="32" cm="1">
        <f t="array" ref="EF53">_xll.ASAssetStatistic($A53,"Rachev Ratio 90%",,,,"m",'PBA Summary'!$F$2,'PBA Summary'!$G$2)</f>
        <v>-0.54984355679879537</v>
      </c>
      <c r="EG53" s="34" cm="1">
        <f t="array" ref="EG53">IF('PBA Summary'!$D$2="","",_xll.ASAssetStatistic($A53,"Annual Up Capture vs Benchmark 1",'PBA Summary'!$D$2,,,"m",'PBA Summary'!$F$2,'PBA Summary'!$G$2))</f>
        <v>6.8684195608926149E-2</v>
      </c>
      <c r="EH53" s="34" cm="1">
        <f t="array" ref="EH53">IF('PBA Summary'!$D$3="","",_xll.ASAssetStatistic($A53,"Annual Up Capture vs Benchmark 1",'PBA Summary'!$D$3,,,"m",'PBA Summary'!$F$2,'PBA Summary'!$G$2))</f>
        <v>6.8684195608926149E-2</v>
      </c>
      <c r="EI53" s="34" cm="1">
        <f t="array" ref="EI53">IF('PBA Summary'!$D$2="","",_xll.ASAssetStatistic($A53,"Annual Down Capture vs Benchmark 1",'PBA Summary'!$D$2,,,"m",'PBA Summary'!$F$2,'PBA Summary'!$G$2))</f>
        <v>0.13442479767658291</v>
      </c>
      <c r="EJ53" s="34" cm="1">
        <f t="array" ref="EJ53">IF('PBA Summary'!$D$3="","",_xll.ASAssetStatistic($A53,"Annual Down Capture vs Benchmark 1",'PBA Summary'!$D$3,,,"m",'PBA Summary'!$F$2,'PBA Summary'!$G$2))</f>
        <v>0.13442479767658291</v>
      </c>
      <c r="EK53" s="16" cm="1">
        <f t="array" ref="EK53">IF('PBA Summary'!$D$2="","",_xll.ASAssetStatistic($A53,"Ann. Tracking Error vs Benchmark 1",'PBA Summary'!$D$2,,,"m",'PBA Summary'!$F$2,'PBA Summary'!$G$2))</f>
        <v>0.13331321371305602</v>
      </c>
      <c r="EL53" s="16" cm="1">
        <f t="array" ref="EL53">IF('PBA Summary'!$D$3="","",_xll.ASAssetStatistic($A53,"Ann. Tracking Error vs Benchmark 1",'PBA Summary'!$D$3,,,"m",'PBA Summary'!$F$2,'PBA Summary'!$G$2))</f>
        <v>0.13331321371305602</v>
      </c>
      <c r="EM53" s="16" cm="1">
        <f t="array" ref="EM53">IF('PBA Summary'!$D$2="","",_xll.ASAssetStatistic($A53,"Annual Jensen Alpha vs Benchmark 1 (Rf)",'PBA Summary'!$D$2,,,"m",'PBA Summary'!$F$2,'PBA Summary'!$G$2))</f>
        <v>-1.8339767064482537E-2</v>
      </c>
      <c r="EN53" s="16" cm="1">
        <f t="array" ref="EN53">IF('PBA Summary'!$D$3="","",_xll.ASAssetStatistic($A53,"Annual Jensen Alpha vs Benchmark 1 (Rf)",'PBA Summary'!$D$3,,,"m",'PBA Summary'!$F$2,'PBA Summary'!$G$2))</f>
        <v>-1.8339767064482537E-2</v>
      </c>
      <c r="EO53" s="33" cm="1">
        <f t="array" ref="EO53">IF('PBA Summary'!$D$2="","",_xll.ASAssetStatistic($A53,"Ann. Information Ratio vs Benchmark 1",'PBA Summary'!$D$2,,,"m",'PBA Summary'!$F$2,'PBA Summary'!$G$2))</f>
        <v>-1.2179969356780596</v>
      </c>
      <c r="EP53" s="33" cm="1">
        <f t="array" ref="EP53">IF('PBA Summary'!$D$3="","",_xll.ASAssetStatistic($A53,"Ann. Information Ratio vs Benchmark 1",'PBA Summary'!$D$3,,,"m",'PBA Summary'!$F$2,'PBA Summary'!$G$2))</f>
        <v>-1.2179969356780596</v>
      </c>
      <c r="EQ53" s="17" cm="1">
        <f t="array" ref="EQ53">IF('PBA Summary'!$D$2="","",_xll.ASAssetStatistic($A53,"Alpha Monthly vs Benchmark 1",'PBA Summary'!$D$2,,,"m",'PBA Summary'!$F$2,'PBA Summary'!$G$2))</f>
        <v>-1.287977448164218E-3</v>
      </c>
      <c r="ER53" s="17" cm="1">
        <f t="array" ref="ER53">IF('PBA Summary'!$D$3="","",_xll.ASAssetStatistic($A53,"Alpha Monthly vs Benchmark 1",'PBA Summary'!$D$3,,,"m",'PBA Summary'!$F$2,'PBA Summary'!$G$2))</f>
        <v>-1.287977448164218E-3</v>
      </c>
      <c r="ES53" s="11" cm="1">
        <f t="array" ref="ES53">_xll.ASAssetInfo($A53,"Company AUM (m)")</f>
        <v>1000</v>
      </c>
      <c r="ET53" s="16" cm="1">
        <f t="array" ref="ET53">_xll.ASAssetStatistic($A53,"Exponential Annualized Volatility",,,,"m",'PBA Summary'!$F$2,'PBA Summary'!$G$2)</f>
        <v>3.0317991890632792E-2</v>
      </c>
      <c r="EU53" s="16" cm="1">
        <f t="array" ref="EU53">_xll.ASAssetStatistic($A53,"Exponential Annualized Volatility Last 1 year",,,,"m",'PBA Summary'!$F$2,'PBA Summary'!$G$2)</f>
        <v>2.0077331742795867E-2</v>
      </c>
      <c r="EV53" s="16" t="str" cm="1">
        <f t="array" ref="EV53">_xll.ASAssetStatistic($A53,"Exponential Annualized Volatility Last 3 years",,,,"m",'PBA Summary'!$F$2,'PBA Summary'!$G$2)</f>
        <v/>
      </c>
      <c r="EW53" s="34" cm="1">
        <f t="array" ref="EW53">IF('PBA Summary'!$D$2="","",_xll.ASAssetStatistic($A53,"Exponential Correlation to Benchmark 1",'PBA Summary'!$D$2,,,"m",'PBA Summary'!$F$2,'PBA Summary'!$G$2))</f>
        <v>0.45352578185261128</v>
      </c>
      <c r="EX53" s="34" cm="1">
        <f t="array" ref="EX53">IF('PBA Summary'!$D$3="","",_xll.ASAssetStatistic($A53,"Exponential Correlation to Benchmark 1",'PBA Summary'!$D$3,,,"m",'PBA Summary'!$F$2,'PBA Summary'!$G$2))</f>
        <v>0.45352578185261128</v>
      </c>
      <c r="EY53" s="34" cm="1">
        <f t="array" ref="EY53">_xll.ASAssetStatistic($A53,"Exponential Annual Sharpe Ratio (Rf)",,,,"m",'PBA Summary'!$F$2,'PBA Summary'!$G$2)</f>
        <v>1.2612427121901109</v>
      </c>
      <c r="EZ53" s="34" cm="1">
        <f t="array" ref="EZ53">_xll.ASAssetStatistic($A53,"Exponential Normal Monthly VaR 99%",,,,"m",'PBA Summary'!$F$2,'PBA Summary'!$G$2)</f>
        <v>-1.7027237293004073E-2</v>
      </c>
      <c r="FA53" s="34" cm="1">
        <f t="array" ref="FA53">_xll.ASAssetStatistic($A53,"Exponential Normal Monthly VaR 97%",,,,"m",'PBA Summary'!$F$2,'PBA Summary'!$G$2)</f>
        <v>-1.3127723906604672E-2</v>
      </c>
      <c r="FB53" s="34" cm="1">
        <f t="array" ref="FB53">_xll.ASAssetStatistic($A53,"Exponential Normal Monthly VaR 95%",,,,"m",'PBA Summary'!$F$2,'PBA Summary'!$G$2)</f>
        <v>-1.1062765302205744E-2</v>
      </c>
      <c r="FC53" s="34" cm="1">
        <f t="array" ref="FC53">_xll.ASAssetStatistic($A53,"Exponential Normal Monthly VaR 90%",,,,"m",'PBA Summary'!$F$2,'PBA Summary'!$G$2)</f>
        <v>-7.8831273541007767E-3</v>
      </c>
      <c r="FD53" s="34" t="str" cm="1">
        <f t="array" ref="FD53">_xll.ASAssetStatistic($A53,"Exponential Normal weekly VaR 99%",,,,"m",'PBA Summary'!$F$2,'PBA Summary'!$G$2)</f>
        <v/>
      </c>
      <c r="FE53" s="34" t="str" cm="1">
        <f t="array" ref="FE53">_xll.ASAssetStatistic($A53,"Exponential Normal weekly VaR 97%",,,,"m",'PBA Summary'!$F$2,'PBA Summary'!$G$2)</f>
        <v/>
      </c>
      <c r="FF53" s="34" t="str" cm="1">
        <f t="array" ref="FF53">_xll.ASAssetStatistic($A53,"Exponential Normal weekly VaR 95%",,,,"m",'PBA Summary'!$F$2,'PBA Summary'!$G$2)</f>
        <v/>
      </c>
      <c r="FG53" s="34" t="str" cm="1">
        <f t="array" ref="FG53">_xll.ASAssetStatistic($A53,"Exponential Normal weekly VaR 90%",,,,"m",'PBA Summary'!$F$2,'PBA Summary'!$G$2)</f>
        <v/>
      </c>
      <c r="FH53" s="34" t="str" cm="1">
        <f t="array" ref="FH53">_xll.ASAssetStatistic($A53,"Exponential Normal daily VaR 99%",,,,"m",'PBA Summary'!$F$2,'PBA Summary'!$G$2)</f>
        <v/>
      </c>
      <c r="FI53" s="34" t="str" cm="1">
        <f t="array" ref="FI53">_xll.ASAssetStatistic($A53,"Exponential Normal daily VaR 97%",,,,"m",'PBA Summary'!$F$2,'PBA Summary'!$G$2)</f>
        <v/>
      </c>
      <c r="FJ53" s="34" t="str" cm="1">
        <f t="array" ref="FJ53">_xll.ASAssetStatistic($A53,"Exponential Normal daily VaR 95%",,,,"m",'PBA Summary'!$F$2,'PBA Summary'!$G$2)</f>
        <v/>
      </c>
      <c r="FK53" s="34" t="str" cm="1">
        <f t="array" ref="FK53">_xll.ASAssetStatistic($A53,"Exponential Normal daily VaR 90%",,,,"m",'PBA Summary'!$F$2,'PBA Summary'!$G$2)</f>
        <v/>
      </c>
      <c r="FL53" s="34" cm="1">
        <f t="array" ref="FL53">_xll.ASAssetStatistic($A53,"Bias Ratio",,,,"m",'PBA Summary'!$F$2,'PBA Summary'!$G$2)</f>
        <v>1.8</v>
      </c>
      <c r="FM53" s="11" t="str" cm="1">
        <f t="array" ref="FM53">_xll.ASAssetInfo($A53,"Manager's Biography")</f>
        <v/>
      </c>
      <c r="FN53" s="11" cm="1">
        <f t="array" ref="FN53">_xll.ASAssetInfo($A53,"Investment Min")</f>
        <v>1000000</v>
      </c>
      <c r="FO53" s="11" t="str" cm="1">
        <f t="array" ref="FO53">_xll.ASAssetInfo($A53,"Auditor")</f>
        <v>PwC</v>
      </c>
      <c r="FP53" s="11" t="str" cm="1">
        <f t="array" ref="FP53">_xll.ASAssetInfo($A53,"Custodian")</f>
        <v>Standard Chartered</v>
      </c>
      <c r="FQ53" s="11" t="str" cm="1">
        <f t="array" ref="FQ53">_xll.ASAssetInfo($A53,"Administrator")</f>
        <v>State Street</v>
      </c>
      <c r="FR53" s="14" t="str" cm="1">
        <f t="array" ref="FR53">_xll.ASAssetInfo($A53,"Proxy 1 Start Date")</f>
        <v/>
      </c>
      <c r="FS53" s="14" t="str" cm="1">
        <f t="array" ref="FS53">_xll.ASAssetInfo($A53,"Proxy 1 End Date")</f>
        <v/>
      </c>
      <c r="FT53" s="14" t="str" cm="1">
        <f t="array" ref="FT53">_xll.ASAssetInfo($A53,"Proxy 2 Start Date")</f>
        <v/>
      </c>
      <c r="FU53" s="14" t="str" cm="1">
        <f t="array" ref="FU53">_xll.ASAssetInfo($A53,"Proxy 2 End Date")</f>
        <v/>
      </c>
      <c r="FV53" s="14" t="str" cm="1">
        <f t="array" ref="FV53">_xll.ASAssetInfo($A53,"Proxy 3 Start Date")</f>
        <v/>
      </c>
      <c r="FW53" s="14" t="str" cm="1">
        <f t="array" ref="FW53">_xll.ASAssetInfo($A53,"Proxy 3 End Date")</f>
        <v/>
      </c>
      <c r="FX53" s="14" t="str" cm="1">
        <f t="array" ref="FX53">_xll.ASAssetInfo($A53,"Fund Domicile")</f>
        <v/>
      </c>
      <c r="FY53" s="14" t="str" cm="1">
        <f t="array" ref="FY53">_xll.ASAssetInfo($A53,"Fund Contact")</f>
        <v/>
      </c>
      <c r="FZ53" s="14" t="str" cm="1">
        <f t="array" ref="FZ53">_xll.ASAssetInfo($A53,"Fund Contact Email")</f>
        <v/>
      </c>
      <c r="GA53" s="14" t="str" cm="1">
        <f t="array" ref="GA53">_xll.ASAssetInfo($A53,"Fund Contact Number")</f>
        <v/>
      </c>
      <c r="GB53" s="14" t="str" cm="1">
        <f t="array" ref="GB53">_xll.ASAssetInfo($A53,"City")</f>
        <v/>
      </c>
      <c r="GC53" s="14" t="str" cm="1">
        <f t="array" ref="GC53">_xll.ASAssetInfo($A53,"Leverage")</f>
        <v>Yes (Max 4x)</v>
      </c>
      <c r="GD53" s="14" t="str" cm="1">
        <f t="array" ref="GD53">_xll.ASAssetInfo($A53,"Lockup 1 Duration")</f>
        <v>0 Months</v>
      </c>
      <c r="GE53" s="14" t="str" cm="1">
        <f t="array" ref="GE53">_xll.ASAssetInfo($A53,"Lockup 2 Duration")</f>
        <v>0 Months</v>
      </c>
      <c r="GF53" s="14" t="str" cm="1">
        <f t="array" ref="GF53">_xll.ASAssetInfo($A53,"Lockup 3 Duration")</f>
        <v>0 Months</v>
      </c>
      <c r="GG53" s="31" t="str" cm="1">
        <f t="array" ref="GG53">_xll.ASAssetInfo($A53,"Fund Level Gate")</f>
        <v/>
      </c>
      <c r="GH53" s="31" t="str" cm="1">
        <f t="array" ref="GH53">_xll.ASAssetInfo($A53,"Fund Level Gate Frequency")</f>
        <v>Unknown</v>
      </c>
      <c r="GI53" s="35" cm="1">
        <f t="array" ref="GI53">_xll.ASAssetInfo($A53,"Payment 2 (%)")</f>
        <v>0</v>
      </c>
      <c r="GJ53" s="35" t="str" cm="1">
        <f t="array" ref="GJ53">_xll.ASAssetInfo($A53,"Payment 2 (days)")</f>
        <v/>
      </c>
      <c r="GK53" s="35" t="str" cm="1">
        <f t="array" ref="GK53">_xll.ASAssetInfo($A53,"Payment 2 (Paid After)")</f>
        <v>NAV Date</v>
      </c>
      <c r="GL53" s="35" cm="1">
        <f t="array" ref="GL53">_xll.ASAssetInfo($A53,"Payment 3 (%)")</f>
        <v>0</v>
      </c>
      <c r="GM53" s="36" t="str" cm="1">
        <f t="array" ref="GM53">_xll.ASAssetInfo($A53,"Payment 3 (Days)")</f>
        <v/>
      </c>
      <c r="GN53" s="35" t="str" cm="1">
        <f t="array" ref="GN53">_xll.ASAssetInfo($A53,"Payment 3 (Paid After)")</f>
        <v>NAV Date</v>
      </c>
      <c r="GO53" s="35" cm="1">
        <f t="array" ref="GO53">_xll.ASAssetInfo($A53,"Payment 4 (%)")</f>
        <v>0</v>
      </c>
      <c r="GP53" s="36" t="str" cm="1">
        <f t="array" ref="GP53">_xll.ASAssetInfo($A53,"Payment 4 (days)")</f>
        <v/>
      </c>
      <c r="GQ53" s="35" t="str" cm="1">
        <f t="array" ref="GQ53">_xll.ASAssetInfo($A53,"Payment 4 (Paid After)")</f>
        <v>NAV Date</v>
      </c>
      <c r="GR53" s="11" cm="1">
        <f t="array" ref="GR53">_xll.ASAssetInfo($A53,"Payment 1 (%)")</f>
        <v>1</v>
      </c>
      <c r="GS53" s="35" cm="1">
        <f t="array" ref="GS53">_xll.ASAssetInfo($A53,"Lockup 1 Fee")</f>
        <v>0</v>
      </c>
      <c r="GT53" s="35" cm="1">
        <f t="array" ref="GT53">_xll.ASAssetInfo($A53,"Lockup 2 Fee")</f>
        <v>0</v>
      </c>
      <c r="GU53" s="35" cm="1">
        <f t="array" ref="GU53">_xll.ASAssetInfo($A53,"Lockup 3 Fee")</f>
        <v>0</v>
      </c>
      <c r="GV53" s="35" t="str" cm="1">
        <f t="array" ref="GV53">_xll.ASAssetInfo($A53,"Lockup 1 type")</f>
        <v>None</v>
      </c>
      <c r="GW53" s="35" t="str" cm="1">
        <f t="array" ref="GW53">_xll.ASAssetInfo($A53,"Lockup 2 type")</f>
        <v>None</v>
      </c>
      <c r="GX53" s="35" t="str" cm="1">
        <f t="array" ref="GX53">_xll.ASAssetInfo($A53,"Lockup 3 type")</f>
        <v>None</v>
      </c>
      <c r="GY53" s="35" t="str" cm="1">
        <f t="array" ref="GY53">_xll.ASAssetInfo($A53,"Redemption 1 type")</f>
        <v>Calendar</v>
      </c>
      <c r="GZ53" s="35" t="str" cm="1">
        <f t="array" ref="GZ53">_xll.ASAssetInfo($A53,"Redemption 2 type")</f>
        <v>Calendar</v>
      </c>
      <c r="HA53" s="35" t="str" cm="1">
        <f t="array" ref="HA53">_xll.ASAssetInfo($A53,"Redemption 3 type")</f>
        <v>Calendar</v>
      </c>
      <c r="HB53" s="35" t="str" cm="1">
        <f t="array" ref="HB53">_xll.ASAssetInfo($A53,"Redemption 1 Fee")</f>
        <v/>
      </c>
      <c r="HC53" s="35" t="str" cm="1">
        <f t="array" ref="HC53">_xll.ASAssetInfo($A53,"Redemption 2 Fee")</f>
        <v/>
      </c>
      <c r="HD53" s="35" t="str" cm="1">
        <f t="array" ref="HD53">_xll.ASAssetInfo($A53,"Redemption 3 Fee")</f>
        <v/>
      </c>
      <c r="HE53" s="35" t="str" cm="1">
        <f t="array" ref="HE53">_xll.ASAssetInfo($A53,"Redemption 1 Frequency")</f>
        <v>Quarterly</v>
      </c>
      <c r="HF53" s="35" t="str" cm="1">
        <f t="array" ref="HF53">_xll.ASAssetInfo($A53,"Redemption 2 Frequency")</f>
        <v>Unknown</v>
      </c>
      <c r="HG53" s="35" t="str" cm="1">
        <f t="array" ref="HG53">_xll.ASAssetInfo($A53,"Redemption 3 Frequency")</f>
        <v>Unknown</v>
      </c>
      <c r="HH53" s="35" t="str" cm="1">
        <f t="array" ref="HH53">_xll.ASAssetInfo($A53,"Asset Calendar")</f>
        <v>[Default]</v>
      </c>
      <c r="HI53" s="16" cm="1">
        <f t="array" ref="HI53">_xll.ASAssetStatistic($A53,"Max Second Drawdown",,,,"m",'PBA Summary'!$F$2,'PBA Summary'!$G$2)</f>
        <v>0</v>
      </c>
      <c r="HJ53" s="37" t="str" cm="1">
        <f t="array" ref="HJ53">_xll.ASAssetStatistic($A53,"Date Max Second Drawdown",,,,"m",'PBA Summary'!$F$2,'PBA Summary'!$G$2)</f>
        <v/>
      </c>
      <c r="HK53" s="37"/>
      <c r="HL53" s="37" t="str" cm="1">
        <f t="array" ref="HL53">_xll.ASAssetInfo($A53,HL$1)</f>
        <v/>
      </c>
      <c r="HM53" s="34" t="str" cm="1">
        <f t="array" ref="HM53">_xll.ASAssetInfo($A53,HM$1)</f>
        <v/>
      </c>
      <c r="HN53" s="37" t="str" cm="1">
        <f t="array" ref="HN53">_xll.ASAssetInfo($A53,HN$1)</f>
        <v/>
      </c>
      <c r="HO53" s="15" cm="1">
        <f t="array" ref="HO53">_xll.ASAssetInfo($A53,HO$1)</f>
        <v>0</v>
      </c>
      <c r="HP53" s="15" t="str" cm="1">
        <f t="array" ref="HP53">_xll.ASAssetInfo($A53,HP$1)</f>
        <v/>
      </c>
      <c r="HQ53" s="34" t="str" cm="1">
        <f t="array" ref="HQ53">_xll.ASAssetInfo($A53,HQ$1)</f>
        <v/>
      </c>
      <c r="HR53" s="37" t="str" cm="1">
        <f t="array" ref="HR53">_xll.ASAssetInfo($A53,HR$1)</f>
        <v/>
      </c>
      <c r="HS53" s="37" t="str" cm="1">
        <f t="array" ref="HS53">_xll.ASAssetInfo($A53,HS$1)</f>
        <v/>
      </c>
      <c r="HT53" s="37" t="str" cm="1">
        <f t="array" ref="HT53">_xll.ASAssetInfo($A53,HT$1)</f>
        <v/>
      </c>
      <c r="HU53" s="37" t="str" cm="1">
        <f t="array" ref="HU53">_xll.ASAssetInfo($A53,HU$1)</f>
        <v>Global</v>
      </c>
      <c r="HV53" s="37" t="str" cm="1">
        <f t="array" ref="HV53">_xll.ASAssetInfo($A53,HV$1)</f>
        <v/>
      </c>
      <c r="HW53" s="37" t="str" cm="1">
        <f t="array" ref="HW53">_xll.ASAssetInfo($A53,HW$1)</f>
        <v/>
      </c>
    </row>
    <row r="54" spans="1:231" s="11" customFormat="1" ht="45" x14ac:dyDescent="0.25">
      <c r="A54" t="s">
        <v>330</v>
      </c>
      <c r="B54" cm="1">
        <f t="array" ref="B54">_xll.ASPortfolioWeights('PBA Summary'!$C$2,"OR",$A54)</f>
        <v>0</v>
      </c>
      <c r="C54" cm="1">
        <f t="array" ref="C54">_xll.ASAssetStatistic($A54,"Annualized Return since inception",,,,"m",_xll.ASAssetInfo($A54,"Start Date"),_xll.ASAssetInfo($A54,"Last Return Date"))</f>
        <v>5.2729299158185139E-2</v>
      </c>
      <c r="D54" cm="1">
        <f t="array" ref="D54">_xll.ASAssetStatistic($A54,"Annualized Return",,,,"m",'PBA Summary'!$F$2,'PBA Summary'!$G$2)</f>
        <v>9.730191431388846E-2</v>
      </c>
      <c r="E54" s="19" cm="1">
        <f t="array" ref="E54">_xll.ASAssetStatistic($A54,"Equilibrium Annual Return",,,,"m",'PBA Summary'!$F$2,'PBA Summary'!$G$2)</f>
        <v>8.8424124861741005E-2</v>
      </c>
      <c r="F54" cm="1">
        <f t="array" ref="F54">_xll.ASAssetStatistic($A54,"Annualized Volatility (Inception)",,,,"m",_xll.ASAssetInfo($A54,"Start Date"),_xll.ASAssetInfo($A54,"Last Return Date"))</f>
        <v>2.8950288955960881E-2</v>
      </c>
      <c r="G54" cm="1">
        <f t="array" ref="G54">_xll.ASAssetStatistic($A54,"Annualized Volatility",,,,"m",'PBA Summary'!$F$2,'PBA Summary'!$G$2)</f>
        <v>3.0558213980494638E-2</v>
      </c>
      <c r="H54" s="20" cm="1">
        <f t="array" ref="H54">_xll.ASAssetStatistic($A54,"Skewness",,,,"m",'PBA Summary'!$F$2,'PBA Summary'!$G$2)</f>
        <v>0.12984223692412242</v>
      </c>
      <c r="I54" s="20" cm="1">
        <f t="array" ref="I54">_xll.ASAssetStatistic($A54,"Excess kurtosis",,,,"m",'PBA Summary'!$F$2,'PBA Summary'!$G$2)</f>
        <v>-1.4364869630677923</v>
      </c>
      <c r="J54" s="19" cm="1">
        <f t="array" ref="J54">_xll.ASAssetStatistic($A54,"Return Last 1 month",,,,"m",'PBA Summary'!$F$2,'PBA Summary'!$G$2)</f>
        <v>1.804635296995416E-2</v>
      </c>
      <c r="K54" s="19" cm="1">
        <f t="array" ref="K54">_xll.ASAssetStatistic($A54,"Return Last 3 months",,,,"m",'PBA Summary'!$F$2,'PBA Summary'!$G$2)</f>
        <v>1.4767329763353931E-2</v>
      </c>
      <c r="L54" s="19" cm="1">
        <f t="array" ref="L54">_xll.ASAssetStatistic($A54,"Return Last 1 year",,,,"m",'PBA Summary'!$F$2,'PBA Summary'!$G$2)</f>
        <v>9.0144075400897306E-2</v>
      </c>
      <c r="M54" s="19" cm="1">
        <f t="array" ref="M54">_xll.ASAssetStatistic($A54,"Year-to-date Return",,,,"m",'PBA Summary'!$F$2,'PBA Summary'!$G$2)</f>
        <v>1.804635296995416E-2</v>
      </c>
      <c r="N54" s="19" cm="1">
        <f t="array" ref="N54">_xll.ASAssetStatistic($A54,"Annualized Return",,,,"m",EOMONTH('PBA Summary'!$G$2,-2),'PBA Summary'!$G$2)</f>
        <v>6.039069226409266E-2</v>
      </c>
      <c r="O54" s="19" t="str" cm="1">
        <f t="array" ref="O54">_xll.ASAssetStatistic($A54,"Annualized Return Last 3 years",,,,"m",'PBA Summary'!$F$2,'PBA Summary'!$G$2)</f>
        <v/>
      </c>
      <c r="P54" s="19" t="str" cm="1">
        <f t="array" ref="P54">_xll.ASAssetStatistic($A54,"Annualized Return Last 5 years",,,,"m",'PBA Summary'!$F$2,'PBA Summary'!$G$2)</f>
        <v/>
      </c>
      <c r="Q54" s="19" cm="1">
        <f t="array" ref="Q54">_xll.ASAssetStatistic($A54,"Annualized Volatility Last 1 year",,,,"m",'PBA Summary'!$F$2,'PBA Summary'!$G$2)</f>
        <v>3.3448236650970568E-2</v>
      </c>
      <c r="R54" s="19" t="str" cm="1">
        <f t="array" ref="R54">_xll.ASAssetStatistic($A54,"Annualized Volatility Last 3 years",,,,"m",'PBA Summary'!$F$2,'PBA Summary'!$G$2)</f>
        <v/>
      </c>
      <c r="S54" s="19" t="str" cm="1">
        <f t="array" ref="S54">_xll.ASAssetStatistic($A54,"Annualized Volatility Last 5 years",,,,"m",'PBA Summary'!$F$2,'PBA Summary'!$G$2)</f>
        <v/>
      </c>
      <c r="T54" s="19" cm="1">
        <f t="array" ref="T54">_xll.ASAssetStatistic($A54,"Normal monthly VaR 99%",,,,"m",'PBA Summary'!$F$2,'PBA Summary'!$G$2)</f>
        <v>-1.2717747776270631E-2</v>
      </c>
      <c r="U54" s="19" cm="1">
        <f t="array" ref="U54">_xll.ASAssetStatistic($A54,"Modified monthly VaR 99%",,,,"m",'PBA Summary'!$F$2,'PBA Summary'!$G$2)</f>
        <v>-8.8570393700325867E-3</v>
      </c>
      <c r="V54" s="19" cm="1">
        <f t="array" ref="V54">_xll.ASAssetStatistic($A54,"Conditional monthly VaR 99%",,,,"m",'PBA Summary'!$F$2,'PBA Summary'!$G$2)</f>
        <v>-4.6338094864347701E-3</v>
      </c>
      <c r="W54" s="19" cm="1">
        <f t="array" ref="W54">_xll.ASAssetStatistic($A54,"Normal monthly VaR 97%",,,,"m",'PBA Summary'!$F$2,'PBA Summary'!$G$2)</f>
        <v>-8.787336919534006E-3</v>
      </c>
      <c r="X54" s="19" cm="1">
        <f t="array" ref="X54">_xll.ASAssetStatistic($A54,"Modified monthly VaR 97%",,,,"m",'PBA Summary'!$F$2,'PBA Summary'!$G$2)</f>
        <v>-7.7531869266343114E-3</v>
      </c>
      <c r="Y54" s="19" cm="1">
        <f t="array" ref="Y54">_xll.ASAssetStatistic($A54,"Conditional monthly VaR 97%",,,,"m",'PBA Summary'!$F$2,'PBA Summary'!$G$2)</f>
        <v>-4.6338094864347701E-3</v>
      </c>
      <c r="Z54" s="19" cm="1">
        <f t="array" ref="Z54">_xll.ASAssetStatistic($A54,"Normal monthly VaR 95%",,,,"m",'PBA Summary'!$F$2,'PBA Summary'!$G$2)</f>
        <v>-6.7060167871942963E-3</v>
      </c>
      <c r="AA54" s="19" cm="1">
        <f t="array" ref="AA54">_xll.ASAssetStatistic($A54,"Modified monthly VaR 95%",,,,"m",'PBA Summary'!$F$2,'PBA Summary'!$G$2)</f>
        <v>-6.6333648697433027E-3</v>
      </c>
      <c r="AB54" s="19" cm="1">
        <f t="array" ref="AB54">_xll.ASAssetStatistic($A54,"Conditional monthly VaR 95%",,,,"m",'PBA Summary'!$F$2,'PBA Summary'!$G$2)</f>
        <v>-4.6338094864347701E-3</v>
      </c>
      <c r="AC54" s="66" cm="1">
        <f t="array" ref="AC54">_xll.ASAssetStatistic($A54,"Correlation to Benchmark 1","MSCI ACWI Index",,,"m",'PBA Summary'!$F$2,'PBA Summary'!$G$2)</f>
        <v>-0.42486128249732691</v>
      </c>
      <c r="AD54" s="38" cm="1">
        <f t="array" ref="AD54">IF('PBA Summary'!$D$3="","",_xll.ASAssetStatistic($A54,"Correlation to Benchmark 1",'PBA Summary'!$D$3,,,"m",'PBA Summary'!$F$2,'PBA Summary'!$G$2))</f>
        <v>-0.36986237021330659</v>
      </c>
      <c r="AE54" s="21" cm="1">
        <f t="array" ref="AE54">IF('PBA Summary'!$D$2="","",_xll.ASAssetStatistic($A54,"Bull correlation to Benchmark 1",'PBA Summary'!$D$2,,,"m",'PBA Summary'!$F$2,'PBA Summary'!$G$2))</f>
        <v>0.35966803236280459</v>
      </c>
      <c r="AF54" s="21" cm="1">
        <f t="array" ref="AF54">IF('PBA Summary'!$D$2="","",_xll.ASAssetStatistic($A54,"Bear correlation to Benchmark 1",'PBA Summary'!$D$2,,,"m",'PBA Summary'!$F$2,'PBA Summary'!$G$2))</f>
        <v>0.76049146676935742</v>
      </c>
      <c r="AG54" s="21" cm="1">
        <f t="array" ref="AG54">IF('PBA Summary'!$D$3="","",_xll.ASAssetStatistic($A54,"Bull correlation to Benchmark 1",'PBA Summary'!$D$3,,,"m",'PBA Summary'!$F$2,'PBA Summary'!$G$2))</f>
        <v>0.35966803236280459</v>
      </c>
      <c r="AH54" s="21" cm="1">
        <f t="array" ref="AH54">IF('PBA Summary'!$D$3="","",_xll.ASAssetStatistic($A54,"Bear correlation to Benchmark 1",'PBA Summary'!$D$3,,,"m",'PBA Summary'!$F$2,'PBA Summary'!$G$2))</f>
        <v>0.76049146676935742</v>
      </c>
      <c r="AI54" s="24" cm="1">
        <f t="array" ref="AI54">IF('PBA Summary'!$D$2="","",_xll.ASAssetStatistic($A54,"Beta to Benchmark 1",'PBA Summary'!$D$2,,,"m",'PBA Summary'!$F$2,'PBA Summary'!$G$2))</f>
        <v>-7.3619327946665966E-2</v>
      </c>
      <c r="AJ54" s="24" t="str" cm="1">
        <f t="array" ref="AJ54">IF('PBA Summary'!$D$2="","",_xll.ASAssetStatistic($A54,"Beta to Benchmark 1 Last 3 years",'PBA Summary'!$D$2,,,"m",'PBA Summary'!$F$2,'PBA Summary'!$G$2))</f>
        <v/>
      </c>
      <c r="AK54" s="24" t="str" cm="1">
        <f t="array" ref="AK54">IF('PBA Summary'!$D$2="","",_xll.ASAssetStatistic($A54,"Beta to Benchmark 1 Last 5 years",'PBA Summary'!$D$2,,,"m",'PBA Summary'!$F$2,'PBA Summary'!$G$2))</f>
        <v/>
      </c>
      <c r="AL54" s="25" cm="1">
        <f t="array" ref="AL54">IF('PBA Summary'!$D$3="","",_xll.ASAssetStatistic($A54,"Beta to Benchmark 1",'PBA Summary'!$D$3,,,"m",'PBA Summary'!$F$2,'PBA Summary'!$G$2))</f>
        <v>-7.3619327946665966E-2</v>
      </c>
      <c r="AM54" s="25" t="str" cm="1">
        <f t="array" ref="AM54">IF('PBA Summary'!$D$3="","",_xll.ASAssetStatistic($A54,"Beta to Benchmark 1 Last 3 years",'PBA Summary'!$D$3,,,"m",'PBA Summary'!$F$2,'PBA Summary'!$G$2))</f>
        <v/>
      </c>
      <c r="AN54" s="25" t="str" cm="1">
        <f t="array" ref="AN54">IF('PBA Summary'!$D$3="","",_xll.ASAssetStatistic($A54,"Beta to Benchmark 1 Last 5 years",'PBA Summary'!$D$3,,,"m",'PBA Summary'!$F$2,'PBA Summary'!$G$2))</f>
        <v/>
      </c>
      <c r="AO54" s="25" cm="1">
        <f t="array" ref="AO54">IF('PBA Summary'!$D$2="","",_xll.ASAssetStatistic($A54,"Bull Beta to Benchmark 1",'PBA Summary'!$D$2,,,"m",'PBA Summary'!$F$2,'PBA Summary'!$G$2))</f>
        <v>0.12235461391084204</v>
      </c>
      <c r="AP54" s="25" cm="1">
        <f t="array" ref="AP54">IF('PBA Summary'!$D$2="","",_xll.ASAssetStatistic($A54,"Bear Beta to Benchmark 1",'PBA Summary'!$D$2,,,"m",'PBA Summary'!$F$2,'PBA Summary'!$G$2))</f>
        <v>7.1513949799710111E-2</v>
      </c>
      <c r="AQ54" s="25" cm="1">
        <f t="array" ref="AQ54">IF('PBA Summary'!$D$3="","",_xll.ASAssetStatistic($A54,"Bull Beta to Benchmark 1",'PBA Summary'!$D$3,,,"m",'PBA Summary'!$F$2,'PBA Summary'!$G$2))</f>
        <v>0.12235461391084204</v>
      </c>
      <c r="AR54" s="25" cm="1">
        <f t="array" ref="AR54">IF('PBA Summary'!$D$3="","",_xll.ASAssetStatistic($A54,"Bear Beta to Benchmark 1",'PBA Summary'!$D$3,,,"m",'PBA Summary'!$F$2,'PBA Summary'!$G$2))</f>
        <v>7.1513949799710111E-2</v>
      </c>
      <c r="AS54" s="25" cm="1">
        <f t="array" ref="AS54">_xll.ASAssetStatistic($A54,"Annual Sharpe Ratio (Rf)",,,'PBA Summary'!$H$2,"m",'PBA Summary'!$F$2,'PBA Summary'!$G$2)</f>
        <v>3.102338192094626</v>
      </c>
      <c r="AT54" s="25" t="str" cm="1">
        <f t="array" ref="AT54">_xll.ASAssetStatistic($A54,"Annual Sharpe Ratio (Rf) Last 3 years",,,'PBA Summary'!$H$2,"m",'PBA Summary'!$F$2,'PBA Summary'!$G$2)</f>
        <v/>
      </c>
      <c r="AU54" s="25" t="str" cm="1">
        <f t="array" ref="AU54">_xll.ASAssetStatistic($A54,"Annual Sharpe Ratio (Rf) Last 5 years",,,'PBA Summary'!$H$2,"m",'PBA Summary'!$F$2,'PBA Summary'!$G$2)</f>
        <v/>
      </c>
      <c r="AV54" s="18" cm="1">
        <f t="array" ref="AV54">_xll.ASAssetStatistic($A54,"Ann. Downside Deviation (vs 0%)",,,'PBA Summary'!$H$2,"m",'PBA Summary'!$F$2,'PBA Summary'!$G$2)</f>
        <v>4.9015846050564837E-3</v>
      </c>
      <c r="AW54" s="18" cm="1">
        <f t="array" ref="AW54">_xll.ASAssetStatistic($A54,"Ann. Downside Deviation (vs Rf)",,,'PBA Summary'!$H$2,"m",'PBA Summary'!$F$2,'PBA Summary'!$G$2)</f>
        <v>5.230192933422668E-3</v>
      </c>
      <c r="AX54" s="39" cm="1">
        <f t="array" ref="AX54">_xll.ASAssetStatistic($A54,"Annual Treynor ratio",,,'PBA Summary'!$H$2,"m",'PBA Summary'!$F$2,'PBA Summary'!$G$2)</f>
        <v>9.4801914313888486E-2</v>
      </c>
      <c r="AY54" s="26" cm="1">
        <f t="array" ref="AY54">_xll.ASAssetStatistic($A54,"Annual Sortino Ratio (vs 0%)",,,'PBA Summary'!$H$2,"m",'PBA Summary'!$F$2,'PBA Summary'!$G$2)</f>
        <v>19.851113905799284</v>
      </c>
      <c r="AZ54" s="26" cm="1">
        <f t="array" ref="AZ54">_xll.ASAssetStatistic($A54,"Annual Sortino Ratio (vs Rf)",,,'PBA Summary'!$H$2,"m",'PBA Summary'!$F$2,'PBA Summary'!$G$2)</f>
        <v>18.12589239453726</v>
      </c>
      <c r="BA54" s="26" cm="1">
        <f t="array" ref="BA54">_xll.ASAssetStatistic($A54,"Sterling ratio",,,'PBA Summary'!$H$2,"m",'PBA Summary'!$F$2,'PBA Summary'!$G$2)</f>
        <v>0.88817575285574724</v>
      </c>
      <c r="BB54" s="26" cm="1">
        <f t="array" ref="BB54">_xll.ASAssetStatistic($A54,"Calmar ratio",,,'PBA Summary'!$H$2,"m",'PBA Summary'!$F$2,'PBA Summary'!$G$2)</f>
        <v>10.1859674291233</v>
      </c>
      <c r="BC54" s="26" cm="1">
        <f t="array" ref="BC54">_xll.ASAssetStatistic($A54,"Hurst index",,,'PBA Summary'!$H$2,"m",'PBA Summary'!$F$2,'PBA Summary'!$G$2)</f>
        <v>0.56552738514022038</v>
      </c>
      <c r="BD54" s="26" cm="1">
        <f t="array" ref="BD54">_xll.ASAssetStatistic($A54,"Omega (Threshold 1)",,,'PBA Summary'!$H$2,"m",'PBA Summary'!$F$2,'PBA Summary'!$G$2)</f>
        <v>13.214686739521648</v>
      </c>
      <c r="BE54" s="26" cm="1">
        <f t="array" ref="BE54">_xll.ASAssetStatistic($A54,"Omega (Threshold 2)",,,'PBA Summary'!$H$2,"m",'PBA Summary'!$F$2,'PBA Summary'!$G$2)</f>
        <v>2.1099189166497347</v>
      </c>
      <c r="BF54" s="26" cm="1">
        <f t="array" ref="BF54">_xll.ASAssetStatistic($A54,"Omega (Threshold 3)",,,'PBA Summary'!$H$2,"m",'PBA Summary'!$F$2,'PBA Summary'!$G$2)</f>
        <v>0.56092130486252534</v>
      </c>
      <c r="BG54" s="26" cm="1">
        <f t="array" ref="BG54">_xll.ASAssetStatistic($A54,"Omega (Threshold 4)",,,'PBA Summary'!$H$2,"m",'PBA Summary'!$F$2,'PBA Summary'!$G$2)</f>
        <v>0.11215255615050272</v>
      </c>
      <c r="BH54" s="26" cm="1">
        <f t="array" ref="BH54">_xll.ASAssetStatistic($A54,"Omega (Threshold 5)",,,'PBA Summary'!$H$2,"m",'PBA Summary'!$F$2,'PBA Summary'!$G$2)</f>
        <v>1.4429370492421274E-2</v>
      </c>
      <c r="BI54" s="26" t="str" cm="1">
        <f t="array" ref="BI54">_xll.ASAssetStatistic($A54,"Autocorrelated (illiquid)",,,'PBA Summary'!$H$2,"m",'PBA Summary'!$F$2,'PBA Summary'!$G$2)</f>
        <v>No</v>
      </c>
      <c r="BJ54" s="27" cm="1">
        <f t="array" ref="BJ54">_xll.ASAssetStatistic($A54,"% months in Run Up",,,'PBA Summary'!$H$2,"m",'PBA Summary'!$F$2,'PBA Summary'!$G$2)</f>
        <v>0.73333333333333339</v>
      </c>
      <c r="BK54" s="27" cm="1">
        <f t="array" ref="BK54">_xll.ASAssetStatistic($A54,"% months in Drawdown",,,'PBA Summary'!$H$2,"m",'PBA Summary'!$F$2,'PBA Summary'!$G$2)</f>
        <v>0.26666666666666666</v>
      </c>
      <c r="BL54" s="18" cm="1">
        <f t="array" ref="BL54">IF('PBA Summary'!$D$2="","",_xll.ASAssetStatistic($A54,"Bull Beta to Benchmark 1",'PBA Summary'!$D$2,,,"m",'PBA Summary'!$F$2,'PBA Summary'!$G$2))</f>
        <v>0.12235461391084204</v>
      </c>
      <c r="BM54" s="18" cm="1">
        <f t="array" ref="BM54">IF('PBA Summary'!$D$2="","",_xll.ASAssetStatistic($A54,"Average return during bear Benchmark 1",'PBA Summary'!$D$2,,,"m",'PBA Summary'!$F$2,'PBA Summary'!$G$2))</f>
        <v>1.7389626790381196E-2</v>
      </c>
      <c r="BN54" s="18" cm="1">
        <f t="array" ref="BN54">IF('PBA Summary'!$D$3="","",_xll.ASAssetStatistic($A54,"Average return during bull Benchmark 1",'PBA Summary'!$D$3,,,"m",'PBA Summary'!$F$2,'PBA Summary'!$G$2))</f>
        <v>4.3181665710402377E-3</v>
      </c>
      <c r="BO54" s="18" cm="1">
        <f t="array" ref="BO54">IF('PBA Summary'!$D$3="","",_xll.ASAssetStatistic($A54,"Average return during bear Benchmark 1",'PBA Summary'!$D$3,,,"m",'PBA Summary'!$F$2,'PBA Summary'!$G$2))</f>
        <v>1.7389626790381196E-2</v>
      </c>
      <c r="BP54" s="27" cm="1">
        <f t="array" ref="BP54">_xll.ASAssetStatistic($A54,"Maximum consecutive gain",,,'PBA Summary'!$H$2,"m",'PBA Summary'!$F$2,'PBA Summary'!$G$2)</f>
        <v>0.11380375658991904</v>
      </c>
      <c r="BQ54" s="27" cm="1">
        <f t="array" ref="BQ54">_xll.ASAssetStatistic($A54,"Maximum consecutive loss",,,'PBA Summary'!$H$2,"m",'PBA Summary'!$F$2,'PBA Summary'!$G$2)</f>
        <v>-9.5525452040704506E-3</v>
      </c>
      <c r="BR54" s="27" cm="1">
        <f t="array" ref="BR54">_xll.ASAssetStatistic($A54,"Max monthly gain",,,'PBA Summary'!$H$2,"m",'PBA Summary'!$F$2,'PBA Summary'!$G$2)</f>
        <v>2.2678380340935167E-2</v>
      </c>
      <c r="BS54" s="27" cm="1">
        <f t="array" ref="BS54">_xll.ASAssetStatistic($A54,"Max monthly loss",,,'PBA Summary'!$H$2,"m",'PBA Summary'!$F$2,'PBA Summary'!$G$2)</f>
        <v>-4.6338094864347701E-3</v>
      </c>
      <c r="BT54" s="27" cm="1">
        <f t="array" ref="BT54">_xll.ASAssetStatistic($A54,"Max drawdown",,,'PBA Summary'!$H$2,"m",'PBA Summary'!$F$2,'PBA Summary'!$G$2)</f>
        <v>-9.5525452040703396E-3</v>
      </c>
      <c r="BU54" s="28" cm="1">
        <f t="array" ref="BU54">_xll.ASAssetStatistic($A54,"Date Max drawdown",,,'PBA Summary'!$H$2,"m",'PBA Summary'!$F$2,'PBA Summary'!$G$2)</f>
        <v>43830</v>
      </c>
      <c r="BV54" s="28" cm="1">
        <f t="array" ref="BV54">_xll.ASAssetStatistic($A54,"Start Date Max Drawdown",,,'PBA Summary'!$H$2,"m",'PBA Summary'!$F$2,'PBA Summary'!$G$2)</f>
        <v>43738</v>
      </c>
      <c r="BW54" s="28" cm="1">
        <f t="array" ref="BW54">_xll.ASAssetStatistic($A54,"End Date Max Drawdown",,,'PBA Summary'!$H$2,"m",'PBA Summary'!$F$2,'PBA Summary'!$G$2)</f>
        <v>43830</v>
      </c>
      <c r="BX54" s="29" cm="1">
        <f t="array" ref="BX54">_xll.ASAssetStatistic($A54,"Max Time-under-water (months)",,,'PBA Summary'!$H$2,"m",'PBA Summary'!$F$2,'PBA Summary'!$G$2)</f>
        <v>4</v>
      </c>
      <c r="BY54" s="27" cm="1">
        <f t="array" ref="BY54">_xll.ASAssetStatistic($A54,"Max possible drawdown 99%",,,'PBA Summary'!$H$2,"m",'PBA Summary'!$F$2,'PBA Summary'!$G$2)</f>
        <v>-1.349127249726929E-2</v>
      </c>
      <c r="BZ54" s="27" cm="1">
        <f t="array" ref="BZ54">_xll.ASAssetStatistic($A54,"Max possible drawdown 99.9%",,,'PBA Summary'!$H$2,"m",'PBA Summary'!$F$2,'PBA Summary'!$G$2)</f>
        <v>-2.3805968515182643E-2</v>
      </c>
      <c r="CA54" s="30" cm="1">
        <f t="array" ref="CA54">_xll.ASAssetStatistic($A54,"Max Possible Time-under-water 99% (months)",,,'PBA Summary'!$H$2,"m",'PBA Summary'!$F$2,'PBA Summary'!$G$2)</f>
        <v>6.9151531935966579</v>
      </c>
      <c r="CB54" s="30" cm="1">
        <f t="array" ref="CB54">_xll.ASAssetStatistic($A54,"Max Possible Time-under-water 99.9% (months)",,,'PBA Summary'!$H$2,"m",'PBA Summary'!$F$2,'PBA Summary'!$G$2)</f>
        <v>12.202104674540307</v>
      </c>
      <c r="CC54" s="17" cm="1">
        <f t="array" ref="CC54">_xll.ASPortfolioReturnAttribution('PBA Summary'!$C$2,"OR",A54,"Last 1m",'PBA Summary'!$F$2,'PBA Summary'!$G$2)</f>
        <v>0</v>
      </c>
      <c r="CD54" s="11" t="str" cm="1">
        <f t="array" ref="CD54">_xll.ASAssetInfo($A54,"Strategy")</f>
        <v>DIrect Holdings - Bonds</v>
      </c>
      <c r="CE54" s="14" cm="1">
        <f t="array" ref="CE54">_xll.ASAssetInfo($A54,"Start Date")</f>
        <v>36585</v>
      </c>
      <c r="CF54" s="14" t="str" cm="1">
        <f t="array" ref="CF54">_xll.ASAssetRatings($A54,"Quantitative",0,0,0,0,0,'PBA Summary'!$F$2,'PBA Summary'!$G$2)</f>
        <v/>
      </c>
      <c r="CG54" s="14" t="str" cm="1">
        <f t="array" ref="CG54">_xll.ASAssetRatings($A54,"Qualitative",0,0,0,0,0,'PBA Summary'!$F$2,'PBA Summary'!$G$2)</f>
        <v/>
      </c>
      <c r="CH54" s="14" t="str" cm="1">
        <f t="array" ref="CH54">_xll.ASAssetRatings($A54,"Final",0,0,0,0,0,'PBA Summary'!$F$2,'PBA Summary'!$G$2)</f>
        <v/>
      </c>
      <c r="CI54" s="14" cm="1">
        <f t="array" ref="CI54">_xll.ASAssetInfo($A54,"Last Return Date")</f>
        <v>44134</v>
      </c>
      <c r="CJ54" s="14" t="str" cm="1">
        <f t="array" ref="CJ54">_xll.ASAssetInfo($A54,"Company Name")</f>
        <v/>
      </c>
      <c r="CK54" s="14" t="str" cm="1">
        <f t="array" ref="CK54">_xll.ASAssetInfo($A54,"Manager Name")</f>
        <v/>
      </c>
      <c r="CL54" s="14" t="str" cm="1">
        <f t="array" ref="CL54">_xll.ASAssetInfo($A54,"Address")</f>
        <v/>
      </c>
      <c r="CM54" s="14" t="str" cm="1">
        <f t="array" ref="CM54">_xll.ASAssetInfo($A54,"Phone Number")</f>
        <v/>
      </c>
      <c r="CN54" s="14" t="str" cm="1">
        <f t="array" ref="CN54">_xll.ASAssetInfo($A54,"Email")</f>
        <v/>
      </c>
      <c r="CO54" s="14" t="str" cm="1">
        <f t="array" ref="CO54">_xll.ASAssetInfo($A54,"Asset Type")</f>
        <v>Fixed Income</v>
      </c>
      <c r="CP54" s="14" t="str" cm="1">
        <f t="array" ref="CP54">_xll.ASAssetInfo($A54,"Proprietary ID")</f>
        <v/>
      </c>
      <c r="CQ54" s="14" t="str" cm="1">
        <f t="array" ref="CQ54">_xll.ASAssetInfo($A54,"Country")</f>
        <v>[Not Classified]</v>
      </c>
      <c r="CR54" s="14" t="str" cm="1">
        <f t="array" ref="CR54">_xll.ASAssetInfo($A54,"Currency")</f>
        <v>USD</v>
      </c>
      <c r="CS54" s="14" t="str" cm="1">
        <f t="array" ref="CS54">_xll.ASAssetInfo($A54,"Sub-Strategy")</f>
        <v/>
      </c>
      <c r="CT54" s="31" t="str" cm="1">
        <f t="array" ref="CT54">_xll.ASAssetInfo($A54,"Fund AUM (m)")</f>
        <v/>
      </c>
      <c r="CU54" s="31" t="str" cm="1">
        <f t="array" ref="CU54">_xll.ASAssetInfo($A54,"Status")</f>
        <v>Unknown</v>
      </c>
      <c r="CV54" s="31" t="str" cm="1">
        <f t="array" ref="CV54">_xll.ASAssetInfo($A54,"Redemption 1 Frequency")</f>
        <v>Unknown</v>
      </c>
      <c r="CW54" s="31" t="str" cm="1">
        <f t="array" ref="CW54">_xll.ASAssetInfo($A54,"Redemption 2 Frequency")</f>
        <v>Unknown</v>
      </c>
      <c r="CX54" s="31" t="str" cm="1">
        <f t="array" ref="CX54">_xll.ASAssetInfo($A54,"Redemption 3 Frequency")</f>
        <v>Unknown</v>
      </c>
      <c r="CY54" s="31" t="str" cm="1">
        <f t="array" ref="CY54">_xll.ASAssetInfo($A54,"Notice Period")</f>
        <v/>
      </c>
      <c r="CZ54" s="15" t="str" cm="1">
        <f t="array" ref="CZ54">_xll.ASAssetInfo($A54,"Performance Fee")</f>
        <v/>
      </c>
      <c r="DA54" s="15" t="str" cm="1">
        <f t="array" ref="DA54">_xll.ASAssetInfo($A54,"Management Fee")</f>
        <v/>
      </c>
      <c r="DB54" s="15" t="str" cm="1">
        <f t="array" ref="DB54">_xll.ASAssetInfo($A54,"ISIN")</f>
        <v>US844741BK34</v>
      </c>
      <c r="DC54" s="16" cm="1">
        <f t="array" ref="DC54">_xll.ASAssetStatistic($A54,"Return during " &amp;YEAR(EOMONTH('PBA Summary'!$G$2,-60)),,,,"M",DATE(YEAR(EOMONTH('PBA Summary'!$G$2,-60)),1,31),DATE(YEAR(EOMONTH('PBA Summary'!$G$2,-60)),12,31))</f>
        <v>1.0169284810838786E-2</v>
      </c>
      <c r="DD54" s="16" cm="1">
        <f t="array" ref="DD54">_xll.ASAssetStatistic($A54,"Return during " &amp;YEAR(EOMONTH('PBA Summary'!$G$2,-48)),,,,"M",DATE(YEAR(EOMONTH('PBA Summary'!$G$2,-48)),1,31),DATE(YEAR(EOMONTH('PBA Summary'!$G$2,-48)),12,31))</f>
        <v>3.9485374137481211E-2</v>
      </c>
      <c r="DE54" s="16" cm="1">
        <f t="array" ref="DE54">_xll.ASAssetStatistic($A54,"Return during " &amp;YEAR(EOMONTH('PBA Summary'!$G$2,-36)),,,,"M",DATE(YEAR(EOMONTH('PBA Summary'!$G$2,-36)),1,31),DATE(YEAR(EOMONTH('PBA Summary'!$G$2,-36)),12,31))</f>
        <v>3.0357602727629107E-2</v>
      </c>
      <c r="DF54" s="16" cm="1">
        <f t="array" ref="DF54">_xll.ASAssetStatistic($A54,"Return during " &amp;YEAR(EOMONTH('PBA Summary'!$G$2,-24)),,,,"M",DATE(YEAR(EOMONTH('PBA Summary'!$G$2,-24)),1,31),DATE(YEAR(EOMONTH('PBA Summary'!$G$2,-24)),12,31))</f>
        <v>1.7628148130008015E-2</v>
      </c>
      <c r="DG54" s="16" cm="1">
        <f t="array" ref="DG54">_xll.ASAssetStatistic($A54,"Return during " &amp;YEAR(EOMONTH('PBA Summary'!$G$2,-12)),,,,"M",DATE(YEAR(EOMONTH('PBA Summary'!$G$2,-12)),1,31),DATE(YEAR(EOMONTH('PBA Summary'!$G$2,-12)),12,31))</f>
        <v>8.216159167660253E-2</v>
      </c>
      <c r="DH54" s="11" t="str" cm="1">
        <f t="array" ref="DH54">_xll.ASAssetInfo($A54,"Prime Broker")</f>
        <v/>
      </c>
      <c r="DI54" s="16" cm="1">
        <f t="array" ref="DI54">_xll.ASAssetStatistic($A54,"Return",,,,"m",'PBA Summary'!$F$2,'PBA Summary'!$G$2)</f>
        <v>0.12307218451423951</v>
      </c>
      <c r="DJ54" s="33" cm="1">
        <f t="array" ref="DJ54">IF('PBA Summary'!$D$2="","",_xll.ASAssetStatistic($A54,"Ann. Information Ratio vs Benchmark 1",'PBA Summary'!$D$2,,,"m",'PBA Summary'!$F$2,'PBA Summary'!$G$2))</f>
        <v>-0.4484830285317018</v>
      </c>
      <c r="DK54" s="33" cm="1">
        <f t="array" ref="DK54">IF('PBA Summary'!$D$3="","",_xll.ASAssetStatistic($A54,"Ann. Information Ratio vs Benchmark 1",'PBA Summary'!$D$3,,,"m",'PBA Summary'!$F$2,'PBA Summary'!$G$2))</f>
        <v>-0.4484830285317018</v>
      </c>
      <c r="DL54" s="33" cm="1">
        <f t="array" ref="DL54">IF('PBA Summary'!$D$2="","",_xll.ASAssetStatistic($A54,"Ann. Tracking Error vs Benchmark 1",'PBA Summary'!$D$2,,,"m",'PBA Summary'!$F$2,'PBA Summary'!$G$2))</f>
        <v>0.16725364203492163</v>
      </c>
      <c r="DM54" s="33" cm="1">
        <f t="array" ref="DM54">IF('PBA Summary'!$D$3="","",_xll.ASAssetStatistic($A54,"Ann. Tracking Error vs Benchmark 1",'PBA Summary'!$D$3,,,"m",'PBA Summary'!$F$2,'PBA Summary'!$G$2))</f>
        <v>0.16725364203492163</v>
      </c>
      <c r="DN54" s="33" cm="1">
        <f t="array" ref="DN54">IF('PBA Summary'!$D$2="","",_xll.ASAssetStatistic($A54,"R² vs Benchmark 1",'PBA Summary'!$D$2,,,"m",'PBA Summary'!$F$2,'PBA Summary'!$G$2))</f>
        <v>0.13679817289980506</v>
      </c>
      <c r="DO54" s="33" cm="1">
        <f t="array" ref="DO54">IF('PBA Summary'!$D$3="","",_xll.ASAssetStatistic($A54,"R² vs Benchmark 1",'PBA Summary'!$D$3,,,"m",'PBA Summary'!$F$2,'PBA Summary'!$G$2))</f>
        <v>0.13679817289980506</v>
      </c>
      <c r="DP54" s="11" t="str" cm="1">
        <f t="array" ref="DP54">_xll.ASAssetInfo($A54,"On-/Offshore")</f>
        <v>Unknown</v>
      </c>
      <c r="DQ54" s="16" cm="1">
        <f t="array" ref="DQ54">_xll.ASAssetStatistic($A54,"Quarter-to-date",,,,"m",'PBA Summary'!$F$2,'PBA Summary'!$G$2)</f>
        <v>1.804635296995416E-2</v>
      </c>
      <c r="DR54" s="16" cm="1">
        <f t="array" ref="DR54">_xll.ASAssetStatistic($A54,"Annualized Return Since inception",,,,"m",'PBA Summary'!$F$2,'PBA Summary'!$G$2)</f>
        <v>5.2729299158185139E-2</v>
      </c>
      <c r="DS54" s="16" cm="1">
        <f t="array" ref="DS54">IF('PBA Summary'!$D$2="","",_xll.ASAssetStatistic($A54,"Ann. Bear Market Return vs Benchmark 1",'PBA Summary'!$D$2,,,"m",'PBA Summary'!$F$2,'PBA Summary'!$G$2))</f>
        <v>0.22975529964734709</v>
      </c>
      <c r="DT54" s="16" cm="1">
        <f t="array" ref="DT54">IF('PBA Summary'!$D$2="","",_xll.ASAssetStatistic($A54,"Ann. Bull Market Return vs Benchmark 1",'PBA Summary'!$D$2,,,"m",'PBA Summary'!$F$2,'PBA Summary'!$G$2))</f>
        <v>5.2758702467926355E-2</v>
      </c>
      <c r="DU54" s="16" cm="1">
        <f t="array" ref="DU54">IF('PBA Summary'!$D$3="","",_xll.ASAssetStatistic($A54,"Ann. Bear Market Return vs Benchmark 1",'PBA Summary'!$D$3,,,"m",'PBA Summary'!$F$2,'PBA Summary'!$G$2))</f>
        <v>0.22975529964734709</v>
      </c>
      <c r="DV54" s="16" cm="1">
        <f t="array" ref="DV54">IF('PBA Summary'!$D$3="","",_xll.ASAssetStatistic($A54,"Ann. Bull Market Return vs Benchmark 1",'PBA Summary'!$D$3,,,"m",'PBA Summary'!$F$2,'PBA Summary'!$G$2))</f>
        <v>5.2758702467926355E-2</v>
      </c>
      <c r="DW54" s="17" cm="1">
        <f t="array" ref="DW54">_xll.ASAssetStatistic($A54,"Average Positive Return",,,,"m",'PBA Summary'!$F$2,'PBA Summary'!$G$2)</f>
        <v>1.1512886226637275E-2</v>
      </c>
      <c r="DX54" s="17" cm="1">
        <f t="array" ref="DX54">_xll.ASAssetStatistic($A54,"Average Negative Return",,,,"m",'PBA Summary'!$F$2,'PBA Summary'!$G$2)</f>
        <v>-2.395852262510656E-3</v>
      </c>
      <c r="DY54" s="16" cm="1">
        <f t="array" ref="DY54">IF('PBA Summary'!$D$2="","",_xll.ASAssetStatistic($A54,"Outperformance vs Benchmark 1",'PBA Summary'!$D$2,,,"m",'PBA Summary'!$F$2,'PBA Summary'!$G$2))</f>
        <v>-9.6771460294479139E-2</v>
      </c>
      <c r="DZ54" s="16" cm="1">
        <f t="array" ref="DZ54">IF('PBA Summary'!$D$3="","",_xll.ASAssetStatistic($A54,"Outperformance vs Benchmark 1",'PBA Summary'!$D$3,,,"m",'PBA Summary'!$F$2,'PBA Summary'!$G$2))</f>
        <v>-9.6771460294479139E-2</v>
      </c>
      <c r="EA54" s="16" cm="1">
        <f t="array" ref="EA54">IF('PBA Summary'!$D$2="","",_xll.ASAssetStatistic($A54,"Annual Outperformance vs Benchmark 1",'PBA Summary'!$D$2,,,"m",'PBA Summary'!$F$2,'PBA Summary'!$G$2))</f>
        <v>-7.5010419912778792E-2</v>
      </c>
      <c r="EB54" s="16" cm="1">
        <f t="array" ref="EB54">IF('PBA Summary'!$D$3="","",_xll.ASAssetStatistic($A54,"Annual Outperformance vs Benchmark 1",'PBA Summary'!$D$3,,,"m",'PBA Summary'!$F$2,'PBA Summary'!$G$2))</f>
        <v>-7.5010419912778792E-2</v>
      </c>
      <c r="EC54" s="32" cm="1">
        <f t="array" ref="EC54">_xll.ASAssetStatistic($A54,"Rachev Ratio 99%",,,,"m",'PBA Summary'!$F$2,'PBA Summary'!$G$2)</f>
        <v>-4.8941115096175007</v>
      </c>
      <c r="ED54" s="32" cm="1">
        <f t="array" ref="ED54">_xll.ASAssetStatistic($A54,"Rachev Ratio 97%",,,,"m",'PBA Summary'!$F$2,'PBA Summary'!$G$2)</f>
        <v>-4.8941115096175007</v>
      </c>
      <c r="EE54" s="32" cm="1">
        <f t="array" ref="EE54">_xll.ASAssetStatistic($A54,"Rachev Ratio 95%",,,,"m",'PBA Summary'!$F$2,'PBA Summary'!$G$2)</f>
        <v>-4.8941115096175007</v>
      </c>
      <c r="EF54" s="32" cm="1">
        <f t="array" ref="EF54">_xll.ASAssetStatistic($A54,"Rachev Ratio 90%",,,,"m",'PBA Summary'!$F$2,'PBA Summary'!$G$2)</f>
        <v>-6.092790559626021</v>
      </c>
      <c r="EG54" s="34" cm="1">
        <f t="array" ref="EG54">IF('PBA Summary'!$D$2="","",_xll.ASAssetStatistic($A54,"Annual Up Capture vs Benchmark 1",'PBA Summary'!$D$2,,,"m",'PBA Summary'!$F$2,'PBA Summary'!$G$2))</f>
        <v>0.10422339506661427</v>
      </c>
      <c r="EH54" s="34" cm="1">
        <f t="array" ref="EH54">IF('PBA Summary'!$D$3="","",_xll.ASAssetStatistic($A54,"Annual Up Capture vs Benchmark 1",'PBA Summary'!$D$3,,,"m",'PBA Summary'!$F$2,'PBA Summary'!$G$2))</f>
        <v>0.10422339506661427</v>
      </c>
      <c r="EI54" s="34" cm="1">
        <f t="array" ref="EI54">IF('PBA Summary'!$D$2="","",_xll.ASAssetStatistic($A54,"Annual Down Capture vs Benchmark 1",'PBA Summary'!$D$2,,,"m",'PBA Summary'!$F$2,'PBA Summary'!$G$2))</f>
        <v>-0.55830396868730958</v>
      </c>
      <c r="EJ54" s="34" cm="1">
        <f t="array" ref="EJ54">IF('PBA Summary'!$D$3="","",_xll.ASAssetStatistic($A54,"Annual Down Capture vs Benchmark 1",'PBA Summary'!$D$3,,,"m",'PBA Summary'!$F$2,'PBA Summary'!$G$2))</f>
        <v>-0.55830396868730958</v>
      </c>
      <c r="EK54" s="16" cm="1">
        <f t="array" ref="EK54">IF('PBA Summary'!$D$2="","",_xll.ASAssetStatistic($A54,"Ann. Tracking Error vs Benchmark 1",'PBA Summary'!$D$2,,,"m",'PBA Summary'!$F$2,'PBA Summary'!$G$2))</f>
        <v>0.16725364203492163</v>
      </c>
      <c r="EL54" s="16" cm="1">
        <f t="array" ref="EL54">IF('PBA Summary'!$D$3="","",_xll.ASAssetStatistic($A54,"Ann. Tracking Error vs Benchmark 1",'PBA Summary'!$D$3,,,"m",'PBA Summary'!$F$2,'PBA Summary'!$G$2))</f>
        <v>0.16725364203492163</v>
      </c>
      <c r="EM54" s="16" cm="1">
        <f t="array" ref="EM54">IF('PBA Summary'!$D$2="","",_xll.ASAssetStatistic($A54,"Annual Jensen Alpha vs Benchmark 1 (Rf)",'PBA Summary'!$D$2,,,"m",'PBA Summary'!$F$2,'PBA Summary'!$G$2))</f>
        <v>0.10730338423671032</v>
      </c>
      <c r="EN54" s="16" cm="1">
        <f t="array" ref="EN54">IF('PBA Summary'!$D$3="","",_xll.ASAssetStatistic($A54,"Annual Jensen Alpha vs Benchmark 1 (Rf)",'PBA Summary'!$D$3,,,"m",'PBA Summary'!$F$2,'PBA Summary'!$G$2))</f>
        <v>0.10730338423671032</v>
      </c>
      <c r="EO54" s="33" cm="1">
        <f t="array" ref="EO54">IF('PBA Summary'!$D$2="","",_xll.ASAssetStatistic($A54,"Ann. Information Ratio vs Benchmark 1",'PBA Summary'!$D$2,,,"m",'PBA Summary'!$F$2,'PBA Summary'!$G$2))</f>
        <v>-0.4484830285317018</v>
      </c>
      <c r="EP54" s="33" cm="1">
        <f t="array" ref="EP54">IF('PBA Summary'!$D$3="","",_xll.ASAssetStatistic($A54,"Ann. Information Ratio vs Benchmark 1",'PBA Summary'!$D$3,,,"m",'PBA Summary'!$F$2,'PBA Summary'!$G$2))</f>
        <v>-0.4484830285317018</v>
      </c>
      <c r="EQ54" s="17" cm="1">
        <f t="array" ref="EQ54">IF('PBA Summary'!$D$2="","",_xll.ASAssetStatistic($A54,"Alpha Monthly vs Benchmark 1",'PBA Summary'!$D$2,,,"m",'PBA Summary'!$F$2,'PBA Summary'!$G$2))</f>
        <v>8.8542513577719098E-3</v>
      </c>
      <c r="ER54" s="17" cm="1">
        <f t="array" ref="ER54">IF('PBA Summary'!$D$3="","",_xll.ASAssetStatistic($A54,"Alpha Monthly vs Benchmark 1",'PBA Summary'!$D$3,,,"m",'PBA Summary'!$F$2,'PBA Summary'!$G$2))</f>
        <v>8.8542513577719098E-3</v>
      </c>
      <c r="ES54" s="11" t="str" cm="1">
        <f t="array" ref="ES54">_xll.ASAssetInfo($A54,"Company AUM (m)")</f>
        <v/>
      </c>
      <c r="ET54" s="16" cm="1">
        <f t="array" ref="ET54">_xll.ASAssetStatistic($A54,"Exponential Annualized Volatility",,,,"m",'PBA Summary'!$F$2,'PBA Summary'!$G$2)</f>
        <v>3.3257891729111748E-2</v>
      </c>
      <c r="EU54" s="16" cm="1">
        <f t="array" ref="EU54">_xll.ASAssetStatistic($A54,"Exponential Annualized Volatility Last 1 year",,,,"m",'PBA Summary'!$F$2,'PBA Summary'!$G$2)</f>
        <v>3.475107458993356E-2</v>
      </c>
      <c r="EV54" s="16" t="str" cm="1">
        <f t="array" ref="EV54">_xll.ASAssetStatistic($A54,"Exponential Annualized Volatility Last 3 years",,,,"m",'PBA Summary'!$F$2,'PBA Summary'!$G$2)</f>
        <v/>
      </c>
      <c r="EW54" s="34" cm="1">
        <f t="array" ref="EW54">IF('PBA Summary'!$D$2="","",_xll.ASAssetStatistic($A54,"Exponential Correlation to Benchmark 1",'PBA Summary'!$D$2,,,"m",'PBA Summary'!$F$2,'PBA Summary'!$G$2))</f>
        <v>-0.38046050821621247</v>
      </c>
      <c r="EX54" s="34" cm="1">
        <f t="array" ref="EX54">IF('PBA Summary'!$D$3="","",_xll.ASAssetStatistic($A54,"Exponential Correlation to Benchmark 1",'PBA Summary'!$D$3,,,"m",'PBA Summary'!$F$2,'PBA Summary'!$G$2))</f>
        <v>-0.38046050821621247</v>
      </c>
      <c r="EY54" s="34" cm="1">
        <f t="array" ref="EY54">_xll.ASAssetStatistic($A54,"Exponential Annual Sharpe Ratio (Rf)",,,,"m",'PBA Summary'!$F$2,'PBA Summary'!$G$2)</f>
        <v>2.5733433136820421</v>
      </c>
      <c r="EZ54" s="34" cm="1">
        <f t="array" ref="EZ54">_xll.ASAssetStatistic($A54,"Exponential Normal Monthly VaR 99%",,,,"m",'PBA Summary'!$F$2,'PBA Summary'!$G$2)</f>
        <v>-1.5274966057103059E-2</v>
      </c>
      <c r="FA54" s="34" cm="1">
        <f t="array" ref="FA54">_xll.ASAssetStatistic($A54,"Exponential Normal Monthly VaR 97%",,,,"m",'PBA Summary'!$F$2,'PBA Summary'!$G$2)</f>
        <v>-1.0997321466757925E-2</v>
      </c>
      <c r="FB54" s="34" cm="1">
        <f t="array" ref="FB54">_xll.ASAssetStatistic($A54,"Exponential Normal Monthly VaR 95%",,,,"m",'PBA Summary'!$F$2,'PBA Summary'!$G$2)</f>
        <v>-8.7321262672230941E-3</v>
      </c>
      <c r="FC54" s="34" cm="1">
        <f t="array" ref="FC54">_xll.ASAssetStatistic($A54,"Exponential Normal Monthly VaR 90%",,,,"m",'PBA Summary'!$F$2,'PBA Summary'!$G$2)</f>
        <v>-5.244162585547908E-3</v>
      </c>
      <c r="FD54" s="34" t="str" cm="1">
        <f t="array" ref="FD54">_xll.ASAssetStatistic($A54,"Exponential Normal weekly VaR 99%",,,,"m",'PBA Summary'!$F$2,'PBA Summary'!$G$2)</f>
        <v/>
      </c>
      <c r="FE54" s="34" t="str" cm="1">
        <f t="array" ref="FE54">_xll.ASAssetStatistic($A54,"Exponential Normal weekly VaR 97%",,,,"m",'PBA Summary'!$F$2,'PBA Summary'!$G$2)</f>
        <v/>
      </c>
      <c r="FF54" s="34" t="str" cm="1">
        <f t="array" ref="FF54">_xll.ASAssetStatistic($A54,"Exponential Normal weekly VaR 95%",,,,"m",'PBA Summary'!$F$2,'PBA Summary'!$G$2)</f>
        <v/>
      </c>
      <c r="FG54" s="34" t="str" cm="1">
        <f t="array" ref="FG54">_xll.ASAssetStatistic($A54,"Exponential Normal weekly VaR 90%",,,,"m",'PBA Summary'!$F$2,'PBA Summary'!$G$2)</f>
        <v/>
      </c>
      <c r="FH54" s="34" t="str" cm="1">
        <f t="array" ref="FH54">_xll.ASAssetStatistic($A54,"Exponential Normal daily VaR 99%",,,,"m",'PBA Summary'!$F$2,'PBA Summary'!$G$2)</f>
        <v/>
      </c>
      <c r="FI54" s="34" t="str" cm="1">
        <f t="array" ref="FI54">_xll.ASAssetStatistic($A54,"Exponential Normal daily VaR 97%",,,,"m",'PBA Summary'!$F$2,'PBA Summary'!$G$2)</f>
        <v/>
      </c>
      <c r="FJ54" s="34" t="str" cm="1">
        <f t="array" ref="FJ54">_xll.ASAssetStatistic($A54,"Exponential Normal daily VaR 95%",,,,"m",'PBA Summary'!$F$2,'PBA Summary'!$G$2)</f>
        <v/>
      </c>
      <c r="FK54" s="34" t="str" cm="1">
        <f t="array" ref="FK54">_xll.ASAssetStatistic($A54,"Exponential Normal daily VaR 90%",,,,"m",'PBA Summary'!$F$2,'PBA Summary'!$G$2)</f>
        <v/>
      </c>
      <c r="FL54" s="34" cm="1">
        <f t="array" ref="FL54">_xll.ASAssetStatistic($A54,"Bias Ratio",,,,"m",'PBA Summary'!$F$2,'PBA Summary'!$G$2)</f>
        <v>0.8</v>
      </c>
      <c r="FM54" s="11" t="str" cm="1">
        <f t="array" ref="FM54">_xll.ASAssetInfo($A54,"Manager's Biography")</f>
        <v/>
      </c>
      <c r="FN54" s="11" cm="1">
        <f t="array" ref="FN54">_xll.ASAssetInfo($A54,"Investment Min")</f>
        <v>0</v>
      </c>
      <c r="FO54" s="11" t="str" cm="1">
        <f t="array" ref="FO54">_xll.ASAssetInfo($A54,"Auditor")</f>
        <v/>
      </c>
      <c r="FP54" s="11" t="str" cm="1">
        <f t="array" ref="FP54">_xll.ASAssetInfo($A54,"Custodian")</f>
        <v/>
      </c>
      <c r="FQ54" s="11" t="str" cm="1">
        <f t="array" ref="FQ54">_xll.ASAssetInfo($A54,"Administrator")</f>
        <v/>
      </c>
      <c r="FR54" s="14" cm="1">
        <f t="array" ref="FR54">_xll.ASAssetInfo($A54,"Proxy 1 Start Date")</f>
        <v>36585</v>
      </c>
      <c r="FS54" s="14" cm="1">
        <f t="array" ref="FS54">_xll.ASAssetInfo($A54,"Proxy 1 End Date")</f>
        <v>44134</v>
      </c>
      <c r="FT54" s="14" t="str" cm="1">
        <f t="array" ref="FT54">_xll.ASAssetInfo($A54,"Proxy 2 Start Date")</f>
        <v/>
      </c>
      <c r="FU54" s="14" t="str" cm="1">
        <f t="array" ref="FU54">_xll.ASAssetInfo($A54,"Proxy 2 End Date")</f>
        <v/>
      </c>
      <c r="FV54" s="14" t="str" cm="1">
        <f t="array" ref="FV54">_xll.ASAssetInfo($A54,"Proxy 3 Start Date")</f>
        <v/>
      </c>
      <c r="FW54" s="14" t="str" cm="1">
        <f t="array" ref="FW54">_xll.ASAssetInfo($A54,"Proxy 3 End Date")</f>
        <v/>
      </c>
      <c r="FX54" s="14" t="str" cm="1">
        <f t="array" ref="FX54">_xll.ASAssetInfo($A54,"Fund Domicile")</f>
        <v/>
      </c>
      <c r="FY54" s="14" t="str" cm="1">
        <f t="array" ref="FY54">_xll.ASAssetInfo($A54,"Fund Contact")</f>
        <v/>
      </c>
      <c r="FZ54" s="14" t="str" cm="1">
        <f t="array" ref="FZ54">_xll.ASAssetInfo($A54,"Fund Contact Email")</f>
        <v/>
      </c>
      <c r="GA54" s="14" t="str" cm="1">
        <f t="array" ref="GA54">_xll.ASAssetInfo($A54,"Fund Contact Number")</f>
        <v/>
      </c>
      <c r="GB54" s="14" t="str" cm="1">
        <f t="array" ref="GB54">_xll.ASAssetInfo($A54,"City")</f>
        <v/>
      </c>
      <c r="GC54" s="14" t="str" cm="1">
        <f t="array" ref="GC54">_xll.ASAssetInfo($A54,"Leverage")</f>
        <v/>
      </c>
      <c r="GD54" s="14" t="str" cm="1">
        <f t="array" ref="GD54">_xll.ASAssetInfo($A54,"Lockup 1 Duration")</f>
        <v>0 Months</v>
      </c>
      <c r="GE54" s="14" t="str" cm="1">
        <f t="array" ref="GE54">_xll.ASAssetInfo($A54,"Lockup 2 Duration")</f>
        <v>0 Months</v>
      </c>
      <c r="GF54" s="14" t="str" cm="1">
        <f t="array" ref="GF54">_xll.ASAssetInfo($A54,"Lockup 3 Duration")</f>
        <v>0 Months</v>
      </c>
      <c r="GG54" s="31" t="str" cm="1">
        <f t="array" ref="GG54">_xll.ASAssetInfo($A54,"Fund Level Gate")</f>
        <v/>
      </c>
      <c r="GH54" s="31" t="str" cm="1">
        <f t="array" ref="GH54">_xll.ASAssetInfo($A54,"Fund Level Gate Frequency")</f>
        <v>Unknown</v>
      </c>
      <c r="GI54" s="35" cm="1">
        <f t="array" ref="GI54">_xll.ASAssetInfo($A54,"Payment 2 (%)")</f>
        <v>0</v>
      </c>
      <c r="GJ54" s="35" t="str" cm="1">
        <f t="array" ref="GJ54">_xll.ASAssetInfo($A54,"Payment 2 (days)")</f>
        <v/>
      </c>
      <c r="GK54" s="35" t="str" cm="1">
        <f t="array" ref="GK54">_xll.ASAssetInfo($A54,"Payment 2 (Paid After)")</f>
        <v>NAV Date</v>
      </c>
      <c r="GL54" s="35" cm="1">
        <f t="array" ref="GL54">_xll.ASAssetInfo($A54,"Payment 3 (%)")</f>
        <v>0</v>
      </c>
      <c r="GM54" s="36" t="str" cm="1">
        <f t="array" ref="GM54">_xll.ASAssetInfo($A54,"Payment 3 (Days)")</f>
        <v/>
      </c>
      <c r="GN54" s="35" t="str" cm="1">
        <f t="array" ref="GN54">_xll.ASAssetInfo($A54,"Payment 3 (Paid After)")</f>
        <v>NAV Date</v>
      </c>
      <c r="GO54" s="35" cm="1">
        <f t="array" ref="GO54">_xll.ASAssetInfo($A54,"Payment 4 (%)")</f>
        <v>0</v>
      </c>
      <c r="GP54" s="36" t="str" cm="1">
        <f t="array" ref="GP54">_xll.ASAssetInfo($A54,"Payment 4 (days)")</f>
        <v/>
      </c>
      <c r="GQ54" s="35" t="str" cm="1">
        <f t="array" ref="GQ54">_xll.ASAssetInfo($A54,"Payment 4 (Paid After)")</f>
        <v>NAV Date</v>
      </c>
      <c r="GR54" s="11" cm="1">
        <f t="array" ref="GR54">_xll.ASAssetInfo($A54,"Payment 1 (%)")</f>
        <v>1</v>
      </c>
      <c r="GS54" s="35" cm="1">
        <f t="array" ref="GS54">_xll.ASAssetInfo($A54,"Lockup 1 Fee")</f>
        <v>0</v>
      </c>
      <c r="GT54" s="35" cm="1">
        <f t="array" ref="GT54">_xll.ASAssetInfo($A54,"Lockup 2 Fee")</f>
        <v>0</v>
      </c>
      <c r="GU54" s="35" cm="1">
        <f t="array" ref="GU54">_xll.ASAssetInfo($A54,"Lockup 3 Fee")</f>
        <v>0</v>
      </c>
      <c r="GV54" s="35" t="str" cm="1">
        <f t="array" ref="GV54">_xll.ASAssetInfo($A54,"Lockup 1 type")</f>
        <v>None</v>
      </c>
      <c r="GW54" s="35" t="str" cm="1">
        <f t="array" ref="GW54">_xll.ASAssetInfo($A54,"Lockup 2 type")</f>
        <v>None</v>
      </c>
      <c r="GX54" s="35" t="str" cm="1">
        <f t="array" ref="GX54">_xll.ASAssetInfo($A54,"Lockup 3 type")</f>
        <v>None</v>
      </c>
      <c r="GY54" s="35" t="str" cm="1">
        <f t="array" ref="GY54">_xll.ASAssetInfo($A54,"Redemption 1 type")</f>
        <v>Calendar</v>
      </c>
      <c r="GZ54" s="35" t="str" cm="1">
        <f t="array" ref="GZ54">_xll.ASAssetInfo($A54,"Redemption 2 type")</f>
        <v>Calendar</v>
      </c>
      <c r="HA54" s="35" t="str" cm="1">
        <f t="array" ref="HA54">_xll.ASAssetInfo($A54,"Redemption 3 type")</f>
        <v>Calendar</v>
      </c>
      <c r="HB54" s="35" t="str" cm="1">
        <f t="array" ref="HB54">_xll.ASAssetInfo($A54,"Redemption 1 Fee")</f>
        <v/>
      </c>
      <c r="HC54" s="35" t="str" cm="1">
        <f t="array" ref="HC54">_xll.ASAssetInfo($A54,"Redemption 2 Fee")</f>
        <v/>
      </c>
      <c r="HD54" s="35" t="str" cm="1">
        <f t="array" ref="HD54">_xll.ASAssetInfo($A54,"Redemption 3 Fee")</f>
        <v/>
      </c>
      <c r="HE54" s="35" t="str" cm="1">
        <f t="array" ref="HE54">_xll.ASAssetInfo($A54,"Redemption 1 Frequency")</f>
        <v>Unknown</v>
      </c>
      <c r="HF54" s="35" t="str" cm="1">
        <f t="array" ref="HF54">_xll.ASAssetInfo($A54,"Redemption 2 Frequency")</f>
        <v>Unknown</v>
      </c>
      <c r="HG54" s="35" t="str" cm="1">
        <f t="array" ref="HG54">_xll.ASAssetInfo($A54,"Redemption 3 Frequency")</f>
        <v>Unknown</v>
      </c>
      <c r="HH54" s="35" t="str" cm="1">
        <f t="array" ref="HH54">_xll.ASAssetInfo($A54,"Asset Calendar")</f>
        <v>[Default]</v>
      </c>
      <c r="HI54" s="16" cm="1">
        <f t="array" ref="HI54">_xll.ASAssetStatistic($A54,"Max Second Drawdown",,,,"m",'PBA Summary'!$F$2,'PBA Summary'!$G$2)</f>
        <v>0</v>
      </c>
      <c r="HJ54" s="37" t="str" cm="1">
        <f t="array" ref="HJ54">_xll.ASAssetStatistic($A54,"Date Max Second Drawdown",,,,"m",'PBA Summary'!$F$2,'PBA Summary'!$G$2)</f>
        <v/>
      </c>
      <c r="HK54" s="37"/>
      <c r="HL54" s="37" t="str" cm="1">
        <f t="array" ref="HL54">_xll.ASAssetInfo($A54,HL$1)</f>
        <v/>
      </c>
      <c r="HM54" s="34" cm="1">
        <f t="array" ref="HM54">_xll.ASAssetInfo($A54,HM$1)</f>
        <v>111.07299999999999</v>
      </c>
      <c r="HN54" s="37" t="str" cm="1">
        <f t="array" ref="HN54">_xll.ASAssetInfo($A54,HN$1)</f>
        <v/>
      </c>
      <c r="HO54" s="15" cm="1">
        <f t="array" ref="HO54">_xll.ASAssetInfo($A54,HO$1)</f>
        <v>5.1249999999999997E-2</v>
      </c>
      <c r="HP54" s="15" cm="1">
        <f t="array" ref="HP54">_xll.ASAssetInfo($A54,HP$1)</f>
        <v>3.2154175899999998E-2</v>
      </c>
      <c r="HQ54" s="34" t="str" cm="1">
        <f t="array" ref="HQ54">_xll.ASAssetInfo($A54,HQ$1)</f>
        <v/>
      </c>
      <c r="HR54" s="37" t="str" cm="1">
        <f t="array" ref="HR54">_xll.ASAssetInfo($A54,HR$1)</f>
        <v/>
      </c>
      <c r="HS54" s="37" t="str" cm="1">
        <f t="array" ref="HS54">_xll.ASAssetInfo($A54,HS$1)</f>
        <v/>
      </c>
      <c r="HT54" s="37" t="str" cm="1">
        <f t="array" ref="HT54">_xll.ASAssetInfo($A54,HT$1)</f>
        <v>BBB</v>
      </c>
      <c r="HU54" s="37" t="str" cm="1">
        <f t="array" ref="HU54">_xll.ASAssetInfo($A54,HU$1)</f>
        <v>U.S.</v>
      </c>
      <c r="HV54" s="37" t="str" cm="1">
        <f t="array" ref="HV54">_xll.ASAssetInfo($A54,HV$1)</f>
        <v/>
      </c>
      <c r="HW54" s="37" t="str" cm="1">
        <f t="array" ref="HW54">_xll.ASAssetInfo($A54,HW$1)</f>
        <v/>
      </c>
    </row>
    <row r="55" spans="1:231" s="11" customFormat="1" ht="105" x14ac:dyDescent="0.25">
      <c r="A55" t="s">
        <v>311</v>
      </c>
      <c r="B55" cm="1">
        <f t="array" ref="B55">_xll.ASPortfolioWeights('PBA Summary'!$C$2,"OR",$A55)</f>
        <v>0</v>
      </c>
      <c r="C55" cm="1">
        <f t="array" ref="C55">_xll.ASAssetStatistic($A55,"Annualized Return since inception",,,,"m",_xll.ASAssetInfo($A55,"Start Date"),_xll.ASAssetInfo($A55,"Last Return Date"))</f>
        <v>6.2164630772014506E-2</v>
      </c>
      <c r="D55" cm="1">
        <f t="array" ref="D55">_xll.ASAssetStatistic($A55,"Annualized Return",,,,"m",'PBA Summary'!$F$2,'PBA Summary'!$G$2)</f>
        <v>7.901947135417986E-2</v>
      </c>
      <c r="E55" s="19" cm="1">
        <f t="array" ref="E55">_xll.ASAssetStatistic($A55,"Equilibrium Annual Return",,,,"m",'PBA Summary'!$F$2,'PBA Summary'!$G$2)</f>
        <v>6.9620243289167494E-2</v>
      </c>
      <c r="F55" cm="1">
        <f t="array" ref="F55">_xll.ASAssetStatistic($A55,"Annualized Volatility (Inception)",,,,"m",_xll.ASAssetInfo($A55,"Start Date"),_xll.ASAssetInfo($A55,"Last Return Date"))</f>
        <v>5.593354632024581E-2</v>
      </c>
      <c r="G55" cm="1">
        <f t="array" ref="G55">_xll.ASAssetStatistic($A55,"Annualized Volatility",,,,"m",'PBA Summary'!$F$2,'PBA Summary'!$G$2)</f>
        <v>3.1705190610773988E-2</v>
      </c>
      <c r="H55" s="20" cm="1">
        <f t="array" ref="H55">_xll.ASAssetStatistic($A55,"Skewness",,,,"m",'PBA Summary'!$F$2,'PBA Summary'!$G$2)</f>
        <v>-0.8327107875333305</v>
      </c>
      <c r="I55" s="20" cm="1">
        <f t="array" ref="I55">_xll.ASAssetStatistic($A55,"Excess kurtosis",,,,"m",'PBA Summary'!$F$2,'PBA Summary'!$G$2)</f>
        <v>0.37833103267770074</v>
      </c>
      <c r="J55" s="19" cm="1">
        <f t="array" ref="J55">_xll.ASAssetStatistic($A55,"Return Last 1 month",,,,"m",'PBA Summary'!$F$2,'PBA Summary'!$G$2)</f>
        <v>1.5489804562231146E-2</v>
      </c>
      <c r="K55" s="19" cm="1">
        <f t="array" ref="K55">_xll.ASAssetStatistic($A55,"Return Last 3 months",,,,"m",'PBA Summary'!$F$2,'PBA Summary'!$G$2)</f>
        <v>3.1276883372249431E-2</v>
      </c>
      <c r="L55" s="19" cm="1">
        <f t="array" ref="L55">_xll.ASAssetStatistic($A55,"Return Last 1 year",,,,"m",'PBA Summary'!$F$2,'PBA Summary'!$G$2)</f>
        <v>8.8038897893029544E-2</v>
      </c>
      <c r="M55" s="19" cm="1">
        <f t="array" ref="M55">_xll.ASAssetStatistic($A55,"Year-to-date Return",,,,"m",'PBA Summary'!$F$2,'PBA Summary'!$G$2)</f>
        <v>1.5489804562231146E-2</v>
      </c>
      <c r="N55" s="19" cm="1">
        <f t="array" ref="N55">_xll.ASAssetStatistic($A55,"Annualized Return",,,,"m",EOMONTH('PBA Summary'!$G$2,-2),'PBA Summary'!$G$2)</f>
        <v>0.1311003366732153</v>
      </c>
      <c r="O55" s="19" t="str" cm="1">
        <f t="array" ref="O55">_xll.ASAssetStatistic($A55,"Annualized Return Last 3 years",,,,"m",'PBA Summary'!$F$2,'PBA Summary'!$G$2)</f>
        <v/>
      </c>
      <c r="P55" s="19" t="str" cm="1">
        <f t="array" ref="P55">_xll.ASAssetStatistic($A55,"Annualized Return Last 5 years",,,,"m",'PBA Summary'!$F$2,'PBA Summary'!$G$2)</f>
        <v/>
      </c>
      <c r="Q55" s="19" cm="1">
        <f t="array" ref="Q55">_xll.ASAssetStatistic($A55,"Annualized Volatility Last 1 year",,,,"m",'PBA Summary'!$F$2,'PBA Summary'!$G$2)</f>
        <v>2.7868353274209598E-2</v>
      </c>
      <c r="R55" s="19" t="str" cm="1">
        <f t="array" ref="R55">_xll.ASAssetStatistic($A55,"Annualized Volatility Last 3 years",,,,"m",'PBA Summary'!$F$2,'PBA Summary'!$G$2)</f>
        <v/>
      </c>
      <c r="S55" s="19" t="str" cm="1">
        <f t="array" ref="S55">_xll.ASAssetStatistic($A55,"Annualized Volatility Last 5 years",,,,"m",'PBA Summary'!$F$2,'PBA Summary'!$G$2)</f>
        <v/>
      </c>
      <c r="T55" s="19" cm="1">
        <f t="array" ref="T55">_xll.ASAssetStatistic($A55,"Normal monthly VaR 99%",,,,"m",'PBA Summary'!$F$2,'PBA Summary'!$G$2)</f>
        <v>-1.4895028803133965E-2</v>
      </c>
      <c r="U55" s="19" cm="1">
        <f t="array" ref="U55">_xll.ASAssetStatistic($A55,"Modified monthly VaR 99%",,,,"m",'PBA Summary'!$F$2,'PBA Summary'!$G$2)</f>
        <v>-1.8920290844971127E-2</v>
      </c>
      <c r="V55" s="19" cm="1">
        <f t="array" ref="V55">_xll.ASAssetStatistic($A55,"Conditional monthly VaR 99%",,,,"m",'PBA Summary'!$F$2,'PBA Summary'!$G$2)</f>
        <v>-1.3655011940481465E-2</v>
      </c>
      <c r="W55" s="19" cm="1">
        <f t="array" ref="W55">_xll.ASAssetStatistic($A55,"Normal monthly VaR 97%",,,,"m",'PBA Summary'!$F$2,'PBA Summary'!$G$2)</f>
        <v>-1.0817093310207851E-2</v>
      </c>
      <c r="X55" s="19" cm="1">
        <f t="array" ref="X55">_xll.ASAssetStatistic($A55,"Modified monthly VaR 97%",,,,"m",'PBA Summary'!$F$2,'PBA Summary'!$G$2)</f>
        <v>-1.3498063174168006E-2</v>
      </c>
      <c r="Y55" s="19" cm="1">
        <f t="array" ref="Y55">_xll.ASAssetStatistic($A55,"Conditional monthly VaR 97%",,,,"m",'PBA Summary'!$F$2,'PBA Summary'!$G$2)</f>
        <v>-1.3655011940481465E-2</v>
      </c>
      <c r="Z55" s="19" cm="1">
        <f t="array" ref="Z55">_xll.ASAssetStatistic($A55,"Normal monthly VaR 95%",,,,"m",'PBA Summary'!$F$2,'PBA Summary'!$G$2)</f>
        <v>-8.6576525928939215E-3</v>
      </c>
      <c r="AA55" s="19" cm="1">
        <f t="array" ref="AA55">_xll.ASAssetStatistic($A55,"Modified monthly VaR 95%",,,,"m",'PBA Summary'!$F$2,'PBA Summary'!$G$2)</f>
        <v>-1.0635004469387642E-2</v>
      </c>
      <c r="AB55" s="19" cm="1">
        <f t="array" ref="AB55">_xll.ASAssetStatistic($A55,"Conditional monthly VaR 95%",,,,"m",'PBA Summary'!$F$2,'PBA Summary'!$G$2)</f>
        <v>-1.3655011940481465E-2</v>
      </c>
      <c r="AC55" s="66" cm="1">
        <f t="array" ref="AC55">_xll.ASAssetStatistic($A55,"Correlation to Benchmark 1","MSCI ACWI Index",,,"m",'PBA Summary'!$F$2,'PBA Summary'!$G$2)</f>
        <v>0.49564268411741036</v>
      </c>
      <c r="AD55" s="38" cm="1">
        <f t="array" ref="AD55">IF('PBA Summary'!$D$3="","",_xll.ASAssetStatistic($A55,"Correlation to Benchmark 1",'PBA Summary'!$D$3,,,"m",'PBA Summary'!$F$2,'PBA Summary'!$G$2))</f>
        <v>0.46085871179429205</v>
      </c>
      <c r="AE55" s="21" cm="1">
        <f t="array" ref="AE55">IF('PBA Summary'!$D$2="","",_xll.ASAssetStatistic($A55,"Bull correlation to Benchmark 1",'PBA Summary'!$D$2,,,"m",'PBA Summary'!$F$2,'PBA Summary'!$G$2))</f>
        <v>0.49682699061197011</v>
      </c>
      <c r="AF55" s="21" cm="1">
        <f t="array" ref="AF55">IF('PBA Summary'!$D$2="","",_xll.ASAssetStatistic($A55,"Bear correlation to Benchmark 1",'PBA Summary'!$D$2,,,"m",'PBA Summary'!$F$2,'PBA Summary'!$G$2))</f>
        <v>0.14623491516289003</v>
      </c>
      <c r="AG55" s="21" cm="1">
        <f t="array" ref="AG55">IF('PBA Summary'!$D$3="","",_xll.ASAssetStatistic($A55,"Bull correlation to Benchmark 1",'PBA Summary'!$D$3,,,"m",'PBA Summary'!$F$2,'PBA Summary'!$G$2))</f>
        <v>0.49682699061197011</v>
      </c>
      <c r="AH55" s="21" cm="1">
        <f t="array" ref="AH55">IF('PBA Summary'!$D$3="","",_xll.ASAssetStatistic($A55,"Bear correlation to Benchmark 1",'PBA Summary'!$D$3,,,"m",'PBA Summary'!$F$2,'PBA Summary'!$G$2))</f>
        <v>0.14623491516289003</v>
      </c>
      <c r="AI55" s="24" cm="1">
        <f t="array" ref="AI55">IF('PBA Summary'!$D$2="","",_xll.ASAssetStatistic($A55,"Beta to Benchmark 1",'PBA Summary'!$D$2,,,"m",'PBA Summary'!$F$2,'PBA Summary'!$G$2))</f>
        <v>9.5174784574708654E-2</v>
      </c>
      <c r="AJ55" s="24" t="str" cm="1">
        <f t="array" ref="AJ55">IF('PBA Summary'!$D$2="","",_xll.ASAssetStatistic($A55,"Beta to Benchmark 1 Last 3 years",'PBA Summary'!$D$2,,,"m",'PBA Summary'!$F$2,'PBA Summary'!$G$2))</f>
        <v/>
      </c>
      <c r="AK55" s="24" t="str" cm="1">
        <f t="array" ref="AK55">IF('PBA Summary'!$D$2="","",_xll.ASAssetStatistic($A55,"Beta to Benchmark 1 Last 5 years",'PBA Summary'!$D$2,,,"m",'PBA Summary'!$F$2,'PBA Summary'!$G$2))</f>
        <v/>
      </c>
      <c r="AL55" s="25" cm="1">
        <f t="array" ref="AL55">IF('PBA Summary'!$D$3="","",_xll.ASAssetStatistic($A55,"Beta to Benchmark 1",'PBA Summary'!$D$3,,,"m",'PBA Summary'!$F$2,'PBA Summary'!$G$2))</f>
        <v>9.5174784574708654E-2</v>
      </c>
      <c r="AM55" s="25" t="str" cm="1">
        <f t="array" ref="AM55">IF('PBA Summary'!$D$3="","",_xll.ASAssetStatistic($A55,"Beta to Benchmark 1 Last 3 years",'PBA Summary'!$D$3,,,"m",'PBA Summary'!$F$2,'PBA Summary'!$G$2))</f>
        <v/>
      </c>
      <c r="AN55" s="25" t="str" cm="1">
        <f t="array" ref="AN55">IF('PBA Summary'!$D$3="","",_xll.ASAssetStatistic($A55,"Beta to Benchmark 1 Last 5 years",'PBA Summary'!$D$3,,,"m",'PBA Summary'!$F$2,'PBA Summary'!$G$2))</f>
        <v/>
      </c>
      <c r="AO55" s="25" cm="1">
        <f t="array" ref="AO55">IF('PBA Summary'!$D$2="","",_xll.ASAssetStatistic($A55,"Bull Beta to Benchmark 1",'PBA Summary'!$D$2,,,"m",'PBA Summary'!$F$2,'PBA Summary'!$G$2))</f>
        <v>0.17779025586827188</v>
      </c>
      <c r="AP55" s="25" cm="1">
        <f t="array" ref="AP55">IF('PBA Summary'!$D$2="","",_xll.ASAssetStatistic($A55,"Bear Beta to Benchmark 1",'PBA Summary'!$D$2,,,"m",'PBA Summary'!$F$2,'PBA Summary'!$G$2))</f>
        <v>4.2193763853894881E-2</v>
      </c>
      <c r="AQ55" s="25" cm="1">
        <f t="array" ref="AQ55">IF('PBA Summary'!$D$3="","",_xll.ASAssetStatistic($A55,"Bull Beta to Benchmark 1",'PBA Summary'!$D$3,,,"m",'PBA Summary'!$F$2,'PBA Summary'!$G$2))</f>
        <v>0.17779025586827188</v>
      </c>
      <c r="AR55" s="25" cm="1">
        <f t="array" ref="AR55">IF('PBA Summary'!$D$3="","",_xll.ASAssetStatistic($A55,"Bear Beta to Benchmark 1",'PBA Summary'!$D$3,,,"m",'PBA Summary'!$F$2,'PBA Summary'!$G$2))</f>
        <v>4.2193763853894881E-2</v>
      </c>
      <c r="AS55" s="25" cm="1">
        <f t="array" ref="AS55">_xll.ASAssetStatistic($A55,"Annual Sharpe Ratio (Rf)",,,'PBA Summary'!$H$2,"m",'PBA Summary'!$F$2,'PBA Summary'!$G$2)</f>
        <v>2.4134682643471375</v>
      </c>
      <c r="AT55" s="25" t="str" cm="1">
        <f t="array" ref="AT55">_xll.ASAssetStatistic($A55,"Annual Sharpe Ratio (Rf) Last 3 years",,,'PBA Summary'!$H$2,"m",'PBA Summary'!$F$2,'PBA Summary'!$G$2)</f>
        <v/>
      </c>
      <c r="AU55" s="25" t="str" cm="1">
        <f t="array" ref="AU55">_xll.ASAssetStatistic($A55,"Annual Sharpe Ratio (Rf) Last 5 years",,,'PBA Summary'!$H$2,"m",'PBA Summary'!$F$2,'PBA Summary'!$G$2)</f>
        <v/>
      </c>
      <c r="AV55" s="18" cm="1">
        <f t="array" ref="AV55">_xll.ASAssetStatistic($A55,"Ann. Downside Deviation (vs 0%)",,,'PBA Summary'!$H$2,"m",'PBA Summary'!$F$2,'PBA Summary'!$G$2)</f>
        <v>1.4490850317501193E-2</v>
      </c>
      <c r="AW55" s="18" cm="1">
        <f t="array" ref="AW55">_xll.ASAssetStatistic($A55,"Ann. Downside Deviation (vs Rf)",,,'PBA Summary'!$H$2,"m",'PBA Summary'!$F$2,'PBA Summary'!$G$2)</f>
        <v>1.4752113608511244E-2</v>
      </c>
      <c r="AX55" s="39" cm="1">
        <f t="array" ref="AX55">_xll.ASAssetStatistic($A55,"Annual Treynor ratio",,,'PBA Summary'!$H$2,"m",'PBA Summary'!$F$2,'PBA Summary'!$G$2)</f>
        <v>0.16340287550533686</v>
      </c>
      <c r="AY55" s="26" cm="1">
        <f t="array" ref="AY55">_xll.ASAssetStatistic($A55,"Annual Sortino Ratio (vs 0%)",,,'PBA Summary'!$H$2,"m",'PBA Summary'!$F$2,'PBA Summary'!$G$2)</f>
        <v>5.4530596633618398</v>
      </c>
      <c r="AZ55" s="26" cm="1">
        <f t="array" ref="AZ55">_xll.ASAssetStatistic($A55,"Annual Sortino Ratio (vs Rf)",,,'PBA Summary'!$H$2,"m",'PBA Summary'!$F$2,'PBA Summary'!$G$2)</f>
        <v>5.1870174935496625</v>
      </c>
      <c r="BA55" s="26" cm="1">
        <f t="array" ref="BA55">_xll.ASAssetStatistic($A55,"Sterling ratio",,,'PBA Summary'!$H$2,"m",'PBA Summary'!$F$2,'PBA Summary'!$G$2)</f>
        <v>0.69525725267232874</v>
      </c>
      <c r="BB55" s="26" cm="1">
        <f t="array" ref="BB55">_xll.ASAssetStatistic($A55,"Calmar ratio",,,'PBA Summary'!$H$2,"m",'PBA Summary'!$F$2,'PBA Summary'!$G$2)</f>
        <v>5.7868474739241931</v>
      </c>
      <c r="BC55" s="26" cm="1">
        <f t="array" ref="BC55">_xll.ASAssetStatistic($A55,"Hurst index",,,'PBA Summary'!$H$2,"m",'PBA Summary'!$F$2,'PBA Summary'!$G$2)</f>
        <v>0.46794337730267105</v>
      </c>
      <c r="BD55" s="26" cm="1">
        <f t="array" ref="BD55">_xll.ASAssetStatistic($A55,"Omega (Threshold 1)",,,'PBA Summary'!$H$2,"m",'PBA Summary'!$F$2,'PBA Summary'!$G$2)</f>
        <v>5.2392489321799376</v>
      </c>
      <c r="BE55" s="26" cm="1">
        <f t="array" ref="BE55">_xll.ASAssetStatistic($A55,"Omega (Threshold 2)",,,'PBA Summary'!$H$2,"m",'PBA Summary'!$F$2,'PBA Summary'!$G$2)</f>
        <v>1.4551810805053156</v>
      </c>
      <c r="BF55" s="26" cm="1">
        <f t="array" ref="BF55">_xll.ASAssetStatistic($A55,"Omega (Threshold 3)",,,'PBA Summary'!$H$2,"m",'PBA Summary'!$F$2,'PBA Summary'!$G$2)</f>
        <v>0.31943591586073411</v>
      </c>
      <c r="BG55" s="26" cm="1">
        <f t="array" ref="BG55">_xll.ASAssetStatistic($A55,"Omega (Threshold 4)",,,'PBA Summary'!$H$2,"m",'PBA Summary'!$F$2,'PBA Summary'!$G$2)</f>
        <v>4.0107047001061352E-2</v>
      </c>
      <c r="BH55" s="26" cm="1">
        <f t="array" ref="BH55">_xll.ASAssetStatistic($A55,"Omega (Threshold 5)",,,'PBA Summary'!$H$2,"m",'PBA Summary'!$F$2,'PBA Summary'!$G$2)</f>
        <v>0</v>
      </c>
      <c r="BI55" s="26" t="str" cm="1">
        <f t="array" ref="BI55">_xll.ASAssetStatistic($A55,"Autocorrelated (illiquid)",,,'PBA Summary'!$H$2,"m",'PBA Summary'!$F$2,'PBA Summary'!$G$2)</f>
        <v>Yes</v>
      </c>
      <c r="BJ55" s="27" cm="1">
        <f t="array" ref="BJ55">_xll.ASAssetStatistic($A55,"% months in Run Up",,,'PBA Summary'!$H$2,"m",'PBA Summary'!$F$2,'PBA Summary'!$G$2)</f>
        <v>0.8</v>
      </c>
      <c r="BK55" s="27" cm="1">
        <f t="array" ref="BK55">_xll.ASAssetStatistic($A55,"% months in Drawdown",,,'PBA Summary'!$H$2,"m",'PBA Summary'!$F$2,'PBA Summary'!$G$2)</f>
        <v>0.2</v>
      </c>
      <c r="BL55" s="18" cm="1">
        <f t="array" ref="BL55">IF('PBA Summary'!$D$2="","",_xll.ASAssetStatistic($A55,"Bull Beta to Benchmark 1",'PBA Summary'!$D$2,,,"m",'PBA Summary'!$F$2,'PBA Summary'!$G$2))</f>
        <v>0.17779025586827188</v>
      </c>
      <c r="BM55" s="18" cm="1">
        <f t="array" ref="BM55">IF('PBA Summary'!$D$2="","",_xll.ASAssetStatistic($A55,"Average return during bear Benchmark 1",'PBA Summary'!$D$2,,,"m",'PBA Summary'!$F$2,'PBA Summary'!$G$2))</f>
        <v>1.3483488858502812E-3</v>
      </c>
      <c r="BN55" s="18" cm="1">
        <f t="array" ref="BN55">IF('PBA Summary'!$D$3="","",_xll.ASAssetStatistic($A55,"Average return during bull Benchmark 1",'PBA Summary'!$D$3,,,"m",'PBA Summary'!$F$2,'PBA Summary'!$G$2))</f>
        <v>8.2326965446963118E-3</v>
      </c>
      <c r="BO55" s="18" cm="1">
        <f t="array" ref="BO55">IF('PBA Summary'!$D$3="","",_xll.ASAssetStatistic($A55,"Average return during bear Benchmark 1",'PBA Summary'!$D$3,,,"m",'PBA Summary'!$F$2,'PBA Summary'!$G$2))</f>
        <v>1.3483488858502812E-3</v>
      </c>
      <c r="BP55" s="27" cm="1">
        <f t="array" ref="BP55">_xll.ASAssetStatistic($A55,"Maximum consecutive gain",,,'PBA Summary'!$H$2,"m",'PBA Summary'!$F$2,'PBA Summary'!$G$2)</f>
        <v>7.9806929383760439E-2</v>
      </c>
      <c r="BQ55" s="27" cm="1">
        <f t="array" ref="BQ55">_xll.ASAssetStatistic($A55,"Maximum consecutive loss",,,'PBA Summary'!$H$2,"m",'PBA Summary'!$F$2,'PBA Summary'!$G$2)</f>
        <v>-1.3655011940481465E-2</v>
      </c>
      <c r="BR55" s="27" cm="1">
        <f t="array" ref="BR55">_xll.ASAssetStatistic($A55,"Max monthly gain",,,'PBA Summary'!$H$2,"m",'PBA Summary'!$F$2,'PBA Summary'!$G$2)</f>
        <v>1.9902142290399105E-2</v>
      </c>
      <c r="BS55" s="27" cm="1">
        <f t="array" ref="BS55">_xll.ASAssetStatistic($A55,"Max monthly loss",,,'PBA Summary'!$H$2,"m",'PBA Summary'!$F$2,'PBA Summary'!$G$2)</f>
        <v>-1.3655011940481465E-2</v>
      </c>
      <c r="BT55" s="27" cm="1">
        <f t="array" ref="BT55">_xll.ASAssetStatistic($A55,"Max drawdown",,,'PBA Summary'!$H$2,"m",'PBA Summary'!$F$2,'PBA Summary'!$G$2)</f>
        <v>-1.3655011940481465E-2</v>
      </c>
      <c r="BU55" s="28" cm="1">
        <f t="array" ref="BU55">_xll.ASAssetStatistic($A55,"Date Max drawdown",,,'PBA Summary'!$H$2,"m",'PBA Summary'!$F$2,'PBA Summary'!$G$2)</f>
        <v>43708</v>
      </c>
      <c r="BV55" s="28" cm="1">
        <f t="array" ref="BV55">_xll.ASAssetStatistic($A55,"Start Date Max Drawdown",,,'PBA Summary'!$H$2,"m",'PBA Summary'!$F$2,'PBA Summary'!$G$2)</f>
        <v>43708</v>
      </c>
      <c r="BW55" s="28" cm="1">
        <f t="array" ref="BW55">_xll.ASAssetStatistic($A55,"End Date Max Drawdown",,,'PBA Summary'!$H$2,"m",'PBA Summary'!$F$2,'PBA Summary'!$G$2)</f>
        <v>43799</v>
      </c>
      <c r="BX55" s="29" cm="1">
        <f t="array" ref="BX55">_xll.ASAssetStatistic($A55,"Max Time-under-water (months)",,,'PBA Summary'!$H$2,"m",'PBA Summary'!$F$2,'PBA Summary'!$G$2)</f>
        <v>4</v>
      </c>
      <c r="BY55" s="27" cm="1">
        <f t="array" ref="BY55">_xll.ASAssetStatistic($A55,"Max possible drawdown 99%",,,'PBA Summary'!$H$2,"m",'PBA Summary'!$F$2,'PBA Summary'!$G$2)</f>
        <v>-1.7717451676905204E-2</v>
      </c>
      <c r="BZ55" s="27" cm="1">
        <f t="array" ref="BZ55">_xll.ASAssetStatistic($A55,"Max possible drawdown 99.9%",,,'PBA Summary'!$H$2,"m",'PBA Summary'!$F$2,'PBA Summary'!$G$2)</f>
        <v>-3.1263255328587147E-2</v>
      </c>
      <c r="CA55" s="30" cm="1">
        <f t="array" ref="CA55">_xll.ASAssetStatistic($A55,"Max Possible Time-under-water 99% (months)",,,'PBA Summary'!$H$2,"m",'PBA Summary'!$F$2,'PBA Summary'!$G$2)</f>
        <v>11.078824666174732</v>
      </c>
      <c r="CB55" s="30" cm="1">
        <f t="array" ref="CB55">_xll.ASAssetStatistic($A55,"Max Possible Time-under-water 99.9% (months)",,,'PBA Summary'!$H$2,"m",'PBA Summary'!$F$2,'PBA Summary'!$G$2)</f>
        <v>19.54909377462856</v>
      </c>
      <c r="CC55" s="17" cm="1">
        <f t="array" ref="CC55">_xll.ASPortfolioReturnAttribution('PBA Summary'!$C$2,"OR",A55,"Last 1m",'PBA Summary'!$F$2,'PBA Summary'!$G$2)</f>
        <v>0</v>
      </c>
      <c r="CD55" s="11" t="str" cm="1">
        <f t="array" ref="CD55">_xll.ASAssetInfo($A55,"Strategy")</f>
        <v>Funds - Credit Long Only</v>
      </c>
      <c r="CE55" s="14" cm="1">
        <f t="array" ref="CE55">_xll.ASAssetInfo($A55,"Start Date")</f>
        <v>41278</v>
      </c>
      <c r="CF55" s="14" t="str" cm="1">
        <f t="array" ref="CF55">_xll.ASAssetRatings($A55,"Quantitative",0,0,0,0,0,'PBA Summary'!$F$2,'PBA Summary'!$G$2)</f>
        <v/>
      </c>
      <c r="CG55" s="14" t="str" cm="1">
        <f t="array" ref="CG55">_xll.ASAssetRatings($A55,"Qualitative",0,0,0,0,0,'PBA Summary'!$F$2,'PBA Summary'!$G$2)</f>
        <v/>
      </c>
      <c r="CH55" s="14" t="str" cm="1">
        <f t="array" ref="CH55">_xll.ASAssetRatings($A55,"Final",0,0,0,0,0,'PBA Summary'!$F$2,'PBA Summary'!$G$2)</f>
        <v/>
      </c>
      <c r="CI55" s="14" cm="1">
        <f t="array" ref="CI55">_xll.ASAssetInfo($A55,"Last Return Date")</f>
        <v>44134</v>
      </c>
      <c r="CJ55" s="14" t="str" cm="1">
        <f t="array" ref="CJ55">_xll.ASAssetInfo($A55,"Company Name")</f>
        <v>SphereInvest Group Ltd/Malta</v>
      </c>
      <c r="CK55" s="14" t="str" cm="1">
        <f t="array" ref="CK55">_xll.ASAssetInfo($A55,"Manager Name")</f>
        <v>Boris Fischer</v>
      </c>
      <c r="CL55" s="14" t="str" cm="1">
        <f t="array" ref="CL55">_xll.ASAssetInfo($A55,"Address")</f>
        <v>SphereInvest Group Limited. 171 Old Bakery Street. Valletta VLT 1455. Malta</v>
      </c>
      <c r="CM55" s="14" t="str" cm="1">
        <f t="array" ref="CM55">_xll.ASAssetInfo($A55,"Phone Number")</f>
        <v>+35622581610</v>
      </c>
      <c r="CN55" s="14" t="str" cm="1">
        <f t="array" ref="CN55">_xll.ASAssetInfo($A55,"Email")</f>
        <v/>
      </c>
      <c r="CO55" s="14" t="str" cm="1">
        <f t="array" ref="CO55">_xll.ASAssetInfo($A55,"Asset Type")</f>
        <v>Fixed Income</v>
      </c>
      <c r="CP55" s="14" t="str" cm="1">
        <f t="array" ref="CP55">_xll.ASAssetInfo($A55,"Proprietary ID")</f>
        <v/>
      </c>
      <c r="CQ55" s="14" t="str" cm="1">
        <f t="array" ref="CQ55">_xll.ASAssetInfo($A55,"Country")</f>
        <v>Ireland</v>
      </c>
      <c r="CR55" s="14" t="str" cm="1">
        <f t="array" ref="CR55">_xll.ASAssetInfo($A55,"Currency")</f>
        <v>USD</v>
      </c>
      <c r="CS55" s="14" t="str" cm="1">
        <f t="array" ref="CS55">_xll.ASAssetInfo($A55,"Sub-Strategy")</f>
        <v>High Yield Focus</v>
      </c>
      <c r="CT55" s="31" cm="1">
        <f t="array" ref="CT55">_xll.ASAssetInfo($A55,"Fund AUM (m)")</f>
        <v>166.90989999999999</v>
      </c>
      <c r="CU55" s="31" t="str" cm="1">
        <f t="array" ref="CU55">_xll.ASAssetInfo($A55,"Status")</f>
        <v>Unknown</v>
      </c>
      <c r="CV55" s="31" t="str" cm="1">
        <f t="array" ref="CV55">_xll.ASAssetInfo($A55,"Redemption 1 Frequency")</f>
        <v>Weekly</v>
      </c>
      <c r="CW55" s="31" t="str" cm="1">
        <f t="array" ref="CW55">_xll.ASAssetInfo($A55,"Redemption 2 Frequency")</f>
        <v>Unknown</v>
      </c>
      <c r="CX55" s="31" t="str" cm="1">
        <f t="array" ref="CX55">_xll.ASAssetInfo($A55,"Redemption 3 Frequency")</f>
        <v>Unknown</v>
      </c>
      <c r="CY55" s="31" t="str" cm="1">
        <f t="array" ref="CY55">_xll.ASAssetInfo($A55,"Notice Period")</f>
        <v>8 Days</v>
      </c>
      <c r="CZ55" s="15" cm="1">
        <f t="array" ref="CZ55">_xll.ASAssetInfo($A55,"Performance Fee")</f>
        <v>0.05</v>
      </c>
      <c r="DA55" s="15" cm="1">
        <f t="array" ref="DA55">_xll.ASAssetInfo($A55,"Management Fee")</f>
        <v>0.01</v>
      </c>
      <c r="DB55" s="15" t="str" cm="1">
        <f t="array" ref="DB55">_xll.ASAssetInfo($A55,"ISIN")</f>
        <v>IE00BKXBBV70</v>
      </c>
      <c r="DC55" s="16" cm="1">
        <f t="array" ref="DC55">_xll.ASAssetStatistic($A55,"Return during " &amp;YEAR(EOMONTH('PBA Summary'!$G$2,-60)),,,,"M",DATE(YEAR(EOMONTH('PBA Summary'!$G$2,-60)),1,31),DATE(YEAR(EOMONTH('PBA Summary'!$G$2,-60)),12,31))</f>
        <v>4.2544403139198161E-2</v>
      </c>
      <c r="DD55" s="16" cm="1">
        <f t="array" ref="DD55">_xll.ASAssetStatistic($A55,"Return during " &amp;YEAR(EOMONTH('PBA Summary'!$G$2,-48)),,,,"M",DATE(YEAR(EOMONTH('PBA Summary'!$G$2,-48)),1,31),DATE(YEAR(EOMONTH('PBA Summary'!$G$2,-48)),12,31))</f>
        <v>9.3502377179080165E-2</v>
      </c>
      <c r="DE55" s="16" cm="1">
        <f t="array" ref="DE55">_xll.ASAssetStatistic($A55,"Return during " &amp;YEAR(EOMONTH('PBA Summary'!$G$2,-36)),,,,"M",DATE(YEAR(EOMONTH('PBA Summary'!$G$2,-36)),1,31),DATE(YEAR(EOMONTH('PBA Summary'!$G$2,-36)),12,31))</f>
        <v>8.3333333333333703E-2</v>
      </c>
      <c r="DF55" s="16" cm="1">
        <f t="array" ref="DF55">_xll.ASAssetStatistic($A55,"Return during " &amp;YEAR(EOMONTH('PBA Summary'!$G$2,-24)),,,,"M",DATE(YEAR(EOMONTH('PBA Summary'!$G$2,-24)),1,31),DATE(YEAR(EOMONTH('PBA Summary'!$G$2,-24)),12,31))</f>
        <v>1.1638795986622652E-2</v>
      </c>
      <c r="DG55" s="16" cm="1">
        <f t="array" ref="DG55">_xll.ASAssetStatistic($A55,"Return during " &amp;YEAR(EOMONTH('PBA Summary'!$G$2,-12)),,,,"M",DATE(YEAR(EOMONTH('PBA Summary'!$G$2,-12)),1,31),DATE(YEAR(EOMONTH('PBA Summary'!$G$2,-12)),12,31))</f>
        <v>9.2766463898438234E-2</v>
      </c>
      <c r="DH55" s="11" t="str" cm="1">
        <f t="array" ref="DH55">_xll.ASAssetInfo($A55,"Prime Broker")</f>
        <v/>
      </c>
      <c r="DI55" s="16" cm="1">
        <f t="array" ref="DI55">_xll.ASAssetStatistic($A55,"Return",,,,"m",'PBA Summary'!$F$2,'PBA Summary'!$G$2)</f>
        <v>9.9731341327565337E-2</v>
      </c>
      <c r="DJ55" s="33" cm="1">
        <f t="array" ref="DJ55">IF('PBA Summary'!$D$2="","",_xll.ASAssetStatistic($A55,"Ann. Information Ratio vs Benchmark 1",'PBA Summary'!$D$2,,,"m",'PBA Summary'!$F$2,'PBA Summary'!$G$2))</f>
        <v>-0.65822757165973289</v>
      </c>
      <c r="DK55" s="33" cm="1">
        <f t="array" ref="DK55">IF('PBA Summary'!$D$3="","",_xll.ASAssetStatistic($A55,"Ann. Information Ratio vs Benchmark 1",'PBA Summary'!$D$3,,,"m",'PBA Summary'!$F$2,'PBA Summary'!$G$2))</f>
        <v>-0.65822757165973289</v>
      </c>
      <c r="DL55" s="33" cm="1">
        <f t="array" ref="DL55">IF('PBA Summary'!$D$2="","",_xll.ASAssetStatistic($A55,"Ann. Tracking Error vs Benchmark 1",'PBA Summary'!$D$2,,,"m",'PBA Summary'!$F$2,'PBA Summary'!$G$2))</f>
        <v>0.14173344735050786</v>
      </c>
      <c r="DM55" s="33" cm="1">
        <f t="array" ref="DM55">IF('PBA Summary'!$D$3="","",_xll.ASAssetStatistic($A55,"Ann. Tracking Error vs Benchmark 1",'PBA Summary'!$D$3,,,"m",'PBA Summary'!$F$2,'PBA Summary'!$G$2))</f>
        <v>0.14173344735050786</v>
      </c>
      <c r="DN55" s="33" cm="1">
        <f t="array" ref="DN55">IF('PBA Summary'!$D$2="","",_xll.ASAssetStatistic($A55,"R² vs Benchmark 1",'PBA Summary'!$D$2,,,"m",'PBA Summary'!$F$2,'PBA Summary'!$G$2))</f>
        <v>0.21239075223669435</v>
      </c>
      <c r="DO55" s="33" cm="1">
        <f t="array" ref="DO55">IF('PBA Summary'!$D$3="","",_xll.ASAssetStatistic($A55,"R² vs Benchmark 1",'PBA Summary'!$D$3,,,"m",'PBA Summary'!$F$2,'PBA Summary'!$G$2))</f>
        <v>0.21239075223669435</v>
      </c>
      <c r="DP55" s="11" t="str" cm="1">
        <f t="array" ref="DP55">_xll.ASAssetInfo($A55,"On-/Offshore")</f>
        <v>Unknown</v>
      </c>
      <c r="DQ55" s="16" cm="1">
        <f t="array" ref="DQ55">_xll.ASAssetStatistic($A55,"Quarter-to-date",,,,"m",'PBA Summary'!$F$2,'PBA Summary'!$G$2)</f>
        <v>1.5489804562231146E-2</v>
      </c>
      <c r="DR55" s="16" cm="1">
        <f t="array" ref="DR55">_xll.ASAssetStatistic($A55,"Annualized Return Since inception",,,,"m",'PBA Summary'!$F$2,'PBA Summary'!$G$2)</f>
        <v>6.2164630772014506E-2</v>
      </c>
      <c r="DS55" s="16" cm="1">
        <f t="array" ref="DS55">IF('PBA Summary'!$D$2="","",_xll.ASAssetStatistic($A55,"Ann. Bear Market Return vs Benchmark 1",'PBA Summary'!$D$2,,,"m",'PBA Summary'!$F$2,'PBA Summary'!$G$2))</f>
        <v>1.56407820174842E-2</v>
      </c>
      <c r="DT55" s="16" cm="1">
        <f t="array" ref="DT55">IF('PBA Summary'!$D$2="","",_xll.ASAssetStatistic($A55,"Ann. Bull Market Return vs Benchmark 1",'PBA Summary'!$D$2,,,"m",'PBA Summary'!$F$2,'PBA Summary'!$G$2))</f>
        <v>0.10303418674060372</v>
      </c>
      <c r="DU55" s="16" cm="1">
        <f t="array" ref="DU55">IF('PBA Summary'!$D$3="","",_xll.ASAssetStatistic($A55,"Ann. Bear Market Return vs Benchmark 1",'PBA Summary'!$D$3,,,"m",'PBA Summary'!$F$2,'PBA Summary'!$G$2))</f>
        <v>1.56407820174842E-2</v>
      </c>
      <c r="DV55" s="16" cm="1">
        <f t="array" ref="DV55">IF('PBA Summary'!$D$3="","",_xll.ASAssetStatistic($A55,"Ann. Bull Market Return vs Benchmark 1",'PBA Summary'!$D$3,,,"m",'PBA Summary'!$F$2,'PBA Summary'!$G$2))</f>
        <v>0.10303418674060372</v>
      </c>
      <c r="DW55" s="17" cm="1">
        <f t="array" ref="DW55">_xll.ASAssetStatistic($A55,"Average Positive Return",,,,"m",'PBA Summary'!$F$2,'PBA Summary'!$G$2)</f>
        <v>9.882292089011091E-3</v>
      </c>
      <c r="DX55" s="17" cm="1">
        <f t="array" ref="DX55">_xll.ASAssetStatistic($A55,"Average Negative Return",,,,"m",'PBA Summary'!$F$2,'PBA Summary'!$G$2)</f>
        <v>-7.5448158443575108E-3</v>
      </c>
      <c r="DY55" s="16" cm="1">
        <f t="array" ref="DY55">IF('PBA Summary'!$D$2="","",_xll.ASAssetStatistic($A55,"Outperformance vs Benchmark 1",'PBA Summary'!$D$2,,,"m",'PBA Summary'!$F$2,'PBA Summary'!$G$2))</f>
        <v>-0.12011230348115332</v>
      </c>
      <c r="DZ55" s="16" cm="1">
        <f t="array" ref="DZ55">IF('PBA Summary'!$D$3="","",_xll.ASAssetStatistic($A55,"Outperformance vs Benchmark 1",'PBA Summary'!$D$3,,,"m",'PBA Summary'!$F$2,'PBA Summary'!$G$2))</f>
        <v>-0.12011230348115332</v>
      </c>
      <c r="EA55" s="16" cm="1">
        <f t="array" ref="EA55">IF('PBA Summary'!$D$2="","",_xll.ASAssetStatistic($A55,"Annual Outperformance vs Benchmark 1",'PBA Summary'!$D$2,,,"m",'PBA Summary'!$F$2,'PBA Summary'!$G$2))</f>
        <v>-9.3292862872487392E-2</v>
      </c>
      <c r="EB55" s="16" cm="1">
        <f t="array" ref="EB55">IF('PBA Summary'!$D$3="","",_xll.ASAssetStatistic($A55,"Annual Outperformance vs Benchmark 1",'PBA Summary'!$D$3,,,"m",'PBA Summary'!$F$2,'PBA Summary'!$G$2))</f>
        <v>-9.3292862872487392E-2</v>
      </c>
      <c r="EC55" s="32" cm="1">
        <f t="array" ref="EC55">_xll.ASAssetStatistic($A55,"Rachev Ratio 99%",,,,"m",'PBA Summary'!$F$2,'PBA Summary'!$G$2)</f>
        <v>-1.457497245491048</v>
      </c>
      <c r="ED55" s="32" cm="1">
        <f t="array" ref="ED55">_xll.ASAssetStatistic($A55,"Rachev Ratio 97%",,,,"m",'PBA Summary'!$F$2,'PBA Summary'!$G$2)</f>
        <v>-1.457497245491048</v>
      </c>
      <c r="EE55" s="32" cm="1">
        <f t="array" ref="EE55">_xll.ASAssetStatistic($A55,"Rachev Ratio 95%",,,,"m",'PBA Summary'!$F$2,'PBA Summary'!$G$2)</f>
        <v>-1.457497245491048</v>
      </c>
      <c r="EF55" s="32" cm="1">
        <f t="array" ref="EF55">_xll.ASAssetStatistic($A55,"Rachev Ratio 90%",,,,"m",'PBA Summary'!$F$2,'PBA Summary'!$G$2)</f>
        <v>-1.5821139047083619</v>
      </c>
      <c r="EG55" s="34" cm="1">
        <f t="array" ref="EG55">IF('PBA Summary'!$D$2="","",_xll.ASAssetStatistic($A55,"Annual Up Capture vs Benchmark 1",'PBA Summary'!$D$2,,,"m",'PBA Summary'!$F$2,'PBA Summary'!$G$2))</f>
        <v>0.20354125950238372</v>
      </c>
      <c r="EH55" s="34" cm="1">
        <f t="array" ref="EH55">IF('PBA Summary'!$D$3="","",_xll.ASAssetStatistic($A55,"Annual Up Capture vs Benchmark 1",'PBA Summary'!$D$3,,,"m",'PBA Summary'!$F$2,'PBA Summary'!$G$2))</f>
        <v>0.20354125950238372</v>
      </c>
      <c r="EI55" s="34" cm="1">
        <f t="array" ref="EI55">IF('PBA Summary'!$D$2="","",_xll.ASAssetStatistic($A55,"Annual Down Capture vs Benchmark 1",'PBA Summary'!$D$2,,,"m",'PBA Summary'!$F$2,'PBA Summary'!$G$2))</f>
        <v>-3.8007004352621311E-2</v>
      </c>
      <c r="EJ55" s="34" cm="1">
        <f t="array" ref="EJ55">IF('PBA Summary'!$D$3="","",_xll.ASAssetStatistic($A55,"Annual Down Capture vs Benchmark 1",'PBA Summary'!$D$3,,,"m",'PBA Summary'!$F$2,'PBA Summary'!$G$2))</f>
        <v>-3.8007004352621311E-2</v>
      </c>
      <c r="EK55" s="16" cm="1">
        <f t="array" ref="EK55">IF('PBA Summary'!$D$2="","",_xll.ASAssetStatistic($A55,"Ann. Tracking Error vs Benchmark 1",'PBA Summary'!$D$2,,,"m",'PBA Summary'!$F$2,'PBA Summary'!$G$2))</f>
        <v>0.14173344735050786</v>
      </c>
      <c r="EL55" s="16" cm="1">
        <f t="array" ref="EL55">IF('PBA Summary'!$D$3="","",_xll.ASAssetStatistic($A55,"Ann. Tracking Error vs Benchmark 1",'PBA Summary'!$D$3,,,"m",'PBA Summary'!$F$2,'PBA Summary'!$G$2))</f>
        <v>0.14173344735050786</v>
      </c>
      <c r="EM55" s="16" cm="1">
        <f t="array" ref="EM55">IF('PBA Summary'!$D$2="","",_xll.ASAssetStatistic($A55,"Annual Jensen Alpha vs Benchmark 1 (Rf)",'PBA Summary'!$D$2,,,"m",'PBA Summary'!$F$2,'PBA Summary'!$G$2))</f>
        <v>6.0357619026028375E-2</v>
      </c>
      <c r="EN55" s="16" cm="1">
        <f t="array" ref="EN55">IF('PBA Summary'!$D$3="","",_xll.ASAssetStatistic($A55,"Annual Jensen Alpha vs Benchmark 1 (Rf)",'PBA Summary'!$D$3,,,"m",'PBA Summary'!$F$2,'PBA Summary'!$G$2))</f>
        <v>6.0357619026028375E-2</v>
      </c>
      <c r="EO55" s="33" cm="1">
        <f t="array" ref="EO55">IF('PBA Summary'!$D$2="","",_xll.ASAssetStatistic($A55,"Ann. Information Ratio vs Benchmark 1",'PBA Summary'!$D$2,,,"m",'PBA Summary'!$F$2,'PBA Summary'!$G$2))</f>
        <v>-0.65822757165973289</v>
      </c>
      <c r="EP55" s="33" cm="1">
        <f t="array" ref="EP55">IF('PBA Summary'!$D$3="","",_xll.ASAssetStatistic($A55,"Ann. Information Ratio vs Benchmark 1",'PBA Summary'!$D$3,,,"m",'PBA Summary'!$F$2,'PBA Summary'!$G$2))</f>
        <v>-0.65822757165973289</v>
      </c>
      <c r="EQ55" s="17" cm="1">
        <f t="array" ref="EQ55">IF('PBA Summary'!$D$2="","",_xll.ASAssetStatistic($A55,"Alpha Monthly vs Benchmark 1",'PBA Summary'!$D$2,,,"m",'PBA Summary'!$F$2,'PBA Summary'!$G$2))</f>
        <v>5.038966461048339E-3</v>
      </c>
      <c r="ER55" s="17" cm="1">
        <f t="array" ref="ER55">IF('PBA Summary'!$D$3="","",_xll.ASAssetStatistic($A55,"Alpha Monthly vs Benchmark 1",'PBA Summary'!$D$3,,,"m",'PBA Summary'!$F$2,'PBA Summary'!$G$2))</f>
        <v>5.038966461048339E-3</v>
      </c>
      <c r="ES55" s="11" t="str" cm="1">
        <f t="array" ref="ES55">_xll.ASAssetInfo($A55,"Company AUM (m)")</f>
        <v/>
      </c>
      <c r="ET55" s="16" cm="1">
        <f t="array" ref="ET55">_xll.ASAssetStatistic($A55,"Exponential Annualized Volatility",,,,"m",'PBA Summary'!$F$2,'PBA Summary'!$G$2)</f>
        <v>3.0639148361669647E-2</v>
      </c>
      <c r="EU55" s="16" cm="1">
        <f t="array" ref="EU55">_xll.ASAssetStatistic($A55,"Exponential Annualized Volatility Last 1 year",,,,"m",'PBA Summary'!$F$2,'PBA Summary'!$G$2)</f>
        <v>2.8957007624890292E-2</v>
      </c>
      <c r="EV55" s="16" t="str" cm="1">
        <f t="array" ref="EV55">_xll.ASAssetStatistic($A55,"Exponential Annualized Volatility Last 3 years",,,,"m",'PBA Summary'!$F$2,'PBA Summary'!$G$2)</f>
        <v/>
      </c>
      <c r="EW55" s="34" cm="1">
        <f t="array" ref="EW55">IF('PBA Summary'!$D$2="","",_xll.ASAssetStatistic($A55,"Exponential Correlation to Benchmark 1",'PBA Summary'!$D$2,,,"m",'PBA Summary'!$F$2,'PBA Summary'!$G$2))</f>
        <v>0.35410502952512629</v>
      </c>
      <c r="EX55" s="34" cm="1">
        <f t="array" ref="EX55">IF('PBA Summary'!$D$3="","",_xll.ASAssetStatistic($A55,"Exponential Correlation to Benchmark 1",'PBA Summary'!$D$3,,,"m",'PBA Summary'!$F$2,'PBA Summary'!$G$2))</f>
        <v>0.35410502952512629</v>
      </c>
      <c r="EY55" s="34" cm="1">
        <f t="array" ref="EY55">_xll.ASAssetStatistic($A55,"Exponential Annual Sharpe Ratio (Rf)",,,,"m",'PBA Summary'!$F$2,'PBA Summary'!$G$2)</f>
        <v>2.7636918694447985</v>
      </c>
      <c r="EZ55" s="34" cm="1">
        <f t="array" ref="EZ55">_xll.ASAssetStatistic($A55,"Exponential Normal Monthly VaR 99%",,,,"m",'PBA Summary'!$F$2,'PBA Summary'!$G$2)</f>
        <v>-1.3586292880569298E-2</v>
      </c>
      <c r="FA55" s="34" cm="1">
        <f t="array" ref="FA55">_xll.ASAssetStatistic($A55,"Exponential Normal Monthly VaR 97%",,,,"m",'PBA Summary'!$F$2,'PBA Summary'!$G$2)</f>
        <v>-9.6454722083029916E-3</v>
      </c>
      <c r="FB55" s="34" cm="1">
        <f t="array" ref="FB55">_xll.ASAssetStatistic($A55,"Exponential Normal Monthly VaR 95%",,,,"m",'PBA Summary'!$F$2,'PBA Summary'!$G$2)</f>
        <v>-7.5586396347896729E-3</v>
      </c>
      <c r="FC55" s="34" cm="1">
        <f t="array" ref="FC55">_xll.ASAssetStatistic($A55,"Exponential Normal Monthly VaR 90%",,,,"m",'PBA Summary'!$F$2,'PBA Summary'!$G$2)</f>
        <v>-4.3453199934422281E-3</v>
      </c>
      <c r="FD55" s="34" t="str" cm="1">
        <f t="array" ref="FD55">_xll.ASAssetStatistic($A55,"Exponential Normal weekly VaR 99%",,,,"m",'PBA Summary'!$F$2,'PBA Summary'!$G$2)</f>
        <v/>
      </c>
      <c r="FE55" s="34" t="str" cm="1">
        <f t="array" ref="FE55">_xll.ASAssetStatistic($A55,"Exponential Normal weekly VaR 97%",,,,"m",'PBA Summary'!$F$2,'PBA Summary'!$G$2)</f>
        <v/>
      </c>
      <c r="FF55" s="34" t="str" cm="1">
        <f t="array" ref="FF55">_xll.ASAssetStatistic($A55,"Exponential Normal weekly VaR 95%",,,,"m",'PBA Summary'!$F$2,'PBA Summary'!$G$2)</f>
        <v/>
      </c>
      <c r="FG55" s="34" t="str" cm="1">
        <f t="array" ref="FG55">_xll.ASAssetStatistic($A55,"Exponential Normal weekly VaR 90%",,,,"m",'PBA Summary'!$F$2,'PBA Summary'!$G$2)</f>
        <v/>
      </c>
      <c r="FH55" s="34" t="str" cm="1">
        <f t="array" ref="FH55">_xll.ASAssetStatistic($A55,"Exponential Normal daily VaR 99%",,,,"m",'PBA Summary'!$F$2,'PBA Summary'!$G$2)</f>
        <v/>
      </c>
      <c r="FI55" s="34" t="str" cm="1">
        <f t="array" ref="FI55">_xll.ASAssetStatistic($A55,"Exponential Normal daily VaR 97%",,,,"m",'PBA Summary'!$F$2,'PBA Summary'!$G$2)</f>
        <v/>
      </c>
      <c r="FJ55" s="34" t="str" cm="1">
        <f t="array" ref="FJ55">_xll.ASAssetStatistic($A55,"Exponential Normal daily VaR 95%",,,,"m",'PBA Summary'!$F$2,'PBA Summary'!$G$2)</f>
        <v/>
      </c>
      <c r="FK55" s="34" t="str" cm="1">
        <f t="array" ref="FK55">_xll.ASAssetStatistic($A55,"Exponential Normal daily VaR 90%",,,,"m",'PBA Summary'!$F$2,'PBA Summary'!$G$2)</f>
        <v/>
      </c>
      <c r="FL55" s="34" cm="1">
        <f t="array" ref="FL55">_xll.ASAssetStatistic($A55,"Bias Ratio",,,,"m",'PBA Summary'!$F$2,'PBA Summary'!$G$2)</f>
        <v>2</v>
      </c>
      <c r="FM55" s="11" t="str" cm="1">
        <f t="array" ref="FM55">_xll.ASAssetInfo($A55,"Manager's Biography")</f>
        <v/>
      </c>
      <c r="FN55" s="11" cm="1">
        <f t="array" ref="FN55">_xll.ASAssetInfo($A55,"Investment Min")</f>
        <v>200000</v>
      </c>
      <c r="FO55" s="11" t="str" cm="1">
        <f t="array" ref="FO55">_xll.ASAssetInfo($A55,"Auditor")</f>
        <v>Deloitte Audit Sarl</v>
      </c>
      <c r="FP55" s="11" t="str" cm="1">
        <f t="array" ref="FP55">_xll.ASAssetInfo($A55,"Custodian")</f>
        <v>Citibank</v>
      </c>
      <c r="FQ55" s="11" t="str" cm="1">
        <f t="array" ref="FQ55">_xll.ASAssetInfo($A55,"Administrator")</f>
        <v>Equinoxe Alternative Investment Services Ireland Ltd</v>
      </c>
      <c r="FR55" s="14" t="str" cm="1">
        <f t="array" ref="FR55">_xll.ASAssetInfo($A55,"Proxy 1 Start Date")</f>
        <v/>
      </c>
      <c r="FS55" s="14" t="str" cm="1">
        <f t="array" ref="FS55">_xll.ASAssetInfo($A55,"Proxy 1 End Date")</f>
        <v/>
      </c>
      <c r="FT55" s="14" t="str" cm="1">
        <f t="array" ref="FT55">_xll.ASAssetInfo($A55,"Proxy 2 Start Date")</f>
        <v/>
      </c>
      <c r="FU55" s="14" t="str" cm="1">
        <f t="array" ref="FU55">_xll.ASAssetInfo($A55,"Proxy 2 End Date")</f>
        <v/>
      </c>
      <c r="FV55" s="14" t="str" cm="1">
        <f t="array" ref="FV55">_xll.ASAssetInfo($A55,"Proxy 3 Start Date")</f>
        <v/>
      </c>
      <c r="FW55" s="14" t="str" cm="1">
        <f t="array" ref="FW55">_xll.ASAssetInfo($A55,"Proxy 3 End Date")</f>
        <v/>
      </c>
      <c r="FX55" s="14" t="str" cm="1">
        <f t="array" ref="FX55">_xll.ASAssetInfo($A55,"Fund Domicile")</f>
        <v>MT</v>
      </c>
      <c r="FY55" s="14" t="str" cm="1">
        <f t="array" ref="FY55">_xll.ASAssetInfo($A55,"Fund Contact")</f>
        <v/>
      </c>
      <c r="FZ55" s="14" t="str" cm="1">
        <f t="array" ref="FZ55">_xll.ASAssetInfo($A55,"Fund Contact Email")</f>
        <v/>
      </c>
      <c r="GA55" s="14" t="str" cm="1">
        <f t="array" ref="GA55">_xll.ASAssetInfo($A55,"Fund Contact Number")</f>
        <v/>
      </c>
      <c r="GB55" s="14" t="str" cm="1">
        <f t="array" ref="GB55">_xll.ASAssetInfo($A55,"City")</f>
        <v>Sliema</v>
      </c>
      <c r="GC55" s="14" t="str" cm="1">
        <f t="array" ref="GC55">_xll.ASAssetInfo($A55,"Leverage")</f>
        <v>N</v>
      </c>
      <c r="GD55" s="14" t="str" cm="1">
        <f t="array" ref="GD55">_xll.ASAssetInfo($A55,"Lockup 1 Duration")</f>
        <v>0 Months</v>
      </c>
      <c r="GE55" s="14" t="str" cm="1">
        <f t="array" ref="GE55">_xll.ASAssetInfo($A55,"Lockup 2 Duration")</f>
        <v>0 Months</v>
      </c>
      <c r="GF55" s="14" t="str" cm="1">
        <f t="array" ref="GF55">_xll.ASAssetInfo($A55,"Lockup 3 Duration")</f>
        <v>0 Months</v>
      </c>
      <c r="GG55" s="31" cm="1">
        <f t="array" ref="GG55">_xll.ASAssetInfo($A55,"Fund Level Gate")</f>
        <v>0.1</v>
      </c>
      <c r="GH55" s="31" t="str" cm="1">
        <f t="array" ref="GH55">_xll.ASAssetInfo($A55,"Fund Level Gate Frequency")</f>
        <v>Unknown</v>
      </c>
      <c r="GI55" s="35" cm="1">
        <f t="array" ref="GI55">_xll.ASAssetInfo($A55,"Payment 2 (%)")</f>
        <v>0</v>
      </c>
      <c r="GJ55" s="35" t="str" cm="1">
        <f t="array" ref="GJ55">_xll.ASAssetInfo($A55,"Payment 2 (days)")</f>
        <v/>
      </c>
      <c r="GK55" s="35" t="str" cm="1">
        <f t="array" ref="GK55">_xll.ASAssetInfo($A55,"Payment 2 (Paid After)")</f>
        <v>NAV Date</v>
      </c>
      <c r="GL55" s="35" cm="1">
        <f t="array" ref="GL55">_xll.ASAssetInfo($A55,"Payment 3 (%)")</f>
        <v>0</v>
      </c>
      <c r="GM55" s="36" t="str" cm="1">
        <f t="array" ref="GM55">_xll.ASAssetInfo($A55,"Payment 3 (Days)")</f>
        <v/>
      </c>
      <c r="GN55" s="35" t="str" cm="1">
        <f t="array" ref="GN55">_xll.ASAssetInfo($A55,"Payment 3 (Paid After)")</f>
        <v>NAV Date</v>
      </c>
      <c r="GO55" s="35" cm="1">
        <f t="array" ref="GO55">_xll.ASAssetInfo($A55,"Payment 4 (%)")</f>
        <v>0</v>
      </c>
      <c r="GP55" s="36" t="str" cm="1">
        <f t="array" ref="GP55">_xll.ASAssetInfo($A55,"Payment 4 (days)")</f>
        <v/>
      </c>
      <c r="GQ55" s="35" t="str" cm="1">
        <f t="array" ref="GQ55">_xll.ASAssetInfo($A55,"Payment 4 (Paid After)")</f>
        <v>NAV Date</v>
      </c>
      <c r="GR55" s="11" cm="1">
        <f t="array" ref="GR55">_xll.ASAssetInfo($A55,"Payment 1 (%)")</f>
        <v>1</v>
      </c>
      <c r="GS55" s="35" cm="1">
        <f t="array" ref="GS55">_xll.ASAssetInfo($A55,"Lockup 1 Fee")</f>
        <v>0</v>
      </c>
      <c r="GT55" s="35" cm="1">
        <f t="array" ref="GT55">_xll.ASAssetInfo($A55,"Lockup 2 Fee")</f>
        <v>0</v>
      </c>
      <c r="GU55" s="35" cm="1">
        <f t="array" ref="GU55">_xll.ASAssetInfo($A55,"Lockup 3 Fee")</f>
        <v>0</v>
      </c>
      <c r="GV55" s="35" t="str" cm="1">
        <f t="array" ref="GV55">_xll.ASAssetInfo($A55,"Lockup 1 type")</f>
        <v>None</v>
      </c>
      <c r="GW55" s="35" t="str" cm="1">
        <f t="array" ref="GW55">_xll.ASAssetInfo($A55,"Lockup 2 type")</f>
        <v>None</v>
      </c>
      <c r="GX55" s="35" t="str" cm="1">
        <f t="array" ref="GX55">_xll.ASAssetInfo($A55,"Lockup 3 type")</f>
        <v>None</v>
      </c>
      <c r="GY55" s="35" t="str" cm="1">
        <f t="array" ref="GY55">_xll.ASAssetInfo($A55,"Redemption 1 type")</f>
        <v>Calendar</v>
      </c>
      <c r="GZ55" s="35" t="str" cm="1">
        <f t="array" ref="GZ55">_xll.ASAssetInfo($A55,"Redemption 2 type")</f>
        <v>Calendar</v>
      </c>
      <c r="HA55" s="35" t="str" cm="1">
        <f t="array" ref="HA55">_xll.ASAssetInfo($A55,"Redemption 3 type")</f>
        <v>Calendar</v>
      </c>
      <c r="HB55" s="35" t="str" cm="1">
        <f t="array" ref="HB55">_xll.ASAssetInfo($A55,"Redemption 1 Fee")</f>
        <v/>
      </c>
      <c r="HC55" s="35" t="str" cm="1">
        <f t="array" ref="HC55">_xll.ASAssetInfo($A55,"Redemption 2 Fee")</f>
        <v/>
      </c>
      <c r="HD55" s="35" t="str" cm="1">
        <f t="array" ref="HD55">_xll.ASAssetInfo($A55,"Redemption 3 Fee")</f>
        <v/>
      </c>
      <c r="HE55" s="35" t="str" cm="1">
        <f t="array" ref="HE55">_xll.ASAssetInfo($A55,"Redemption 1 Frequency")</f>
        <v>Weekly</v>
      </c>
      <c r="HF55" s="35" t="str" cm="1">
        <f t="array" ref="HF55">_xll.ASAssetInfo($A55,"Redemption 2 Frequency")</f>
        <v>Unknown</v>
      </c>
      <c r="HG55" s="35" t="str" cm="1">
        <f t="array" ref="HG55">_xll.ASAssetInfo($A55,"Redemption 3 Frequency")</f>
        <v>Unknown</v>
      </c>
      <c r="HH55" s="35" t="str" cm="1">
        <f t="array" ref="HH55">_xll.ASAssetInfo($A55,"Asset Calendar")</f>
        <v>[Default]</v>
      </c>
      <c r="HI55" s="16" cm="1">
        <f t="array" ref="HI55">_xll.ASAssetStatistic($A55,"Max Second Drawdown",,,,"m",'PBA Summary'!$F$2,'PBA Summary'!$G$2)</f>
        <v>-8.977131249590653E-3</v>
      </c>
      <c r="HJ55" s="37" cm="1">
        <f t="array" ref="HJ55">_xll.ASAssetStatistic($A55,"Date Max Second Drawdown",,,,"m",'PBA Summary'!$F$2,'PBA Summary'!$G$2)</f>
        <v>43465</v>
      </c>
      <c r="HK55" s="37"/>
      <c r="HL55" s="37" t="str" cm="1">
        <f t="array" ref="HL55">_xll.ASAssetInfo($A55,HL$1)</f>
        <v/>
      </c>
      <c r="HM55" s="34" t="str" cm="1">
        <f t="array" ref="HM55">_xll.ASAssetInfo($A55,HM$1)</f>
        <v/>
      </c>
      <c r="HN55" s="37" t="str" cm="1">
        <f t="array" ref="HN55">_xll.ASAssetInfo($A55,HN$1)</f>
        <v/>
      </c>
      <c r="HO55" s="15" cm="1">
        <f t="array" ref="HO55">_xll.ASAssetInfo($A55,HO$1)</f>
        <v>0</v>
      </c>
      <c r="HP55" s="15" cm="1">
        <f t="array" ref="HP55">_xll.ASAssetInfo($A55,HP$1)</f>
        <v>6.6000000000000003E-2</v>
      </c>
      <c r="HQ55" s="34" t="str" cm="1">
        <f t="array" ref="HQ55">_xll.ASAssetInfo($A55,HQ$1)</f>
        <v/>
      </c>
      <c r="HR55" s="37" t="str" cm="1">
        <f t="array" ref="HR55">_xll.ASAssetInfo($A55,HR$1)</f>
        <v/>
      </c>
      <c r="HS55" s="37" t="str" cm="1">
        <f t="array" ref="HS55">_xll.ASAssetInfo($A55,HS$1)</f>
        <v/>
      </c>
      <c r="HT55" s="37" t="str" cm="1">
        <f t="array" ref="HT55">_xll.ASAssetInfo($A55,HT$1)</f>
        <v>BB-</v>
      </c>
      <c r="HU55" s="37" t="str" cm="1">
        <f t="array" ref="HU55">_xll.ASAssetInfo($A55,HU$1)</f>
        <v>Global</v>
      </c>
      <c r="HV55" s="37" t="str" cm="1">
        <f t="array" ref="HV55">_xll.ASAssetInfo($A55,HV$1)</f>
        <v/>
      </c>
      <c r="HW55" s="37" t="str" cm="1">
        <f t="array" ref="HW55">_xll.ASAssetInfo($A55,HW$1)</f>
        <v/>
      </c>
    </row>
    <row r="56" spans="1:231" s="11" customFormat="1" ht="45" x14ac:dyDescent="0.25">
      <c r="A56" t="s">
        <v>282</v>
      </c>
      <c r="B56" cm="1">
        <f t="array" ref="B56">_xll.ASPortfolioWeights('PBA Summary'!$C$2,"OR",$A56)</f>
        <v>0.10000015540725281</v>
      </c>
      <c r="C56" cm="1">
        <f t="array" ref="C56">_xll.ASAssetStatistic($A56,"Annualized Return since inception",,,,"m",_xll.ASAssetInfo($A56,"Start Date"),_xll.ASAssetInfo($A56,"Last Return Date"))</f>
        <v>0.10450742147778724</v>
      </c>
      <c r="D56" cm="1">
        <f t="array" ref="D56">_xll.ASAssetStatistic($A56,"Annualized Return",,,,"m",'PBA Summary'!$F$2,'PBA Summary'!$G$2)</f>
        <v>0.15410459124161857</v>
      </c>
      <c r="E56" s="19" cm="1">
        <f t="array" ref="E56">_xll.ASAssetStatistic($A56,"Equilibrium Annual Return",,,,"m",'PBA Summary'!$F$2,'PBA Summary'!$G$2)</f>
        <v>-0.31761266446390324</v>
      </c>
      <c r="F56" cm="1">
        <f t="array" ref="F56">_xll.ASAssetStatistic($A56,"Annualized Volatility (Inception)",,,,"m",_xll.ASAssetInfo($A56,"Start Date"),_xll.ASAssetInfo($A56,"Last Return Date"))</f>
        <v>5.8812339255293299E-2</v>
      </c>
      <c r="G56" cm="1">
        <f t="array" ref="G56">_xll.ASAssetStatistic($A56,"Annualized Volatility",,,,"m",'PBA Summary'!$F$2,'PBA Summary'!$G$2)</f>
        <v>3.7337958066245278E-2</v>
      </c>
      <c r="H56" s="20" cm="1">
        <f t="array" ref="H56">_xll.ASAssetStatistic($A56,"Skewness",,,,"m",'PBA Summary'!$F$2,'PBA Summary'!$G$2)</f>
        <v>0.47267626556262266</v>
      </c>
      <c r="I56" s="20" cm="1">
        <f t="array" ref="I56">_xll.ASAssetStatistic($A56,"Excess kurtosis",,,,"m",'PBA Summary'!$F$2,'PBA Summary'!$G$2)</f>
        <v>-0.72649039856785891</v>
      </c>
      <c r="J56" s="19" cm="1">
        <f t="array" ref="J56">_xll.ASAssetStatistic($A56,"Return Last 1 month",,,,"m",'PBA Summary'!$F$2,'PBA Summary'!$G$2)</f>
        <v>1.5377894319596574E-2</v>
      </c>
      <c r="K56" s="19" cm="1">
        <f t="array" ref="K56">_xll.ASAssetStatistic($A56,"Return Last 3 months",,,,"m",'PBA Summary'!$F$2,'PBA Summary'!$G$2)</f>
        <v>2.0677062242353772E-2</v>
      </c>
      <c r="L56" s="19" cm="1">
        <f t="array" ref="L56">_xll.ASAssetStatistic($A56,"Return Last 1 year",,,,"m",'PBA Summary'!$F$2,'PBA Summary'!$G$2)</f>
        <v>0.12266189523275273</v>
      </c>
      <c r="M56" s="19" cm="1">
        <f t="array" ref="M56">_xll.ASAssetStatistic($A56,"Year-to-date Return",,,,"m",'PBA Summary'!$F$2,'PBA Summary'!$G$2)</f>
        <v>1.5377894319596574E-2</v>
      </c>
      <c r="N56" s="19" cm="1">
        <f t="array" ref="N56">_xll.ASAssetStatistic($A56,"Annualized Return",,,,"m",EOMONTH('PBA Summary'!$G$2,-2),'PBA Summary'!$G$2)</f>
        <v>8.5309038337931575E-2</v>
      </c>
      <c r="O56" s="19" t="str" cm="1">
        <f t="array" ref="O56">_xll.ASAssetStatistic($A56,"Annualized Return Last 3 years",,,,"m",'PBA Summary'!$F$2,'PBA Summary'!$G$2)</f>
        <v/>
      </c>
      <c r="P56" s="19" t="str" cm="1">
        <f t="array" ref="P56">_xll.ASAssetStatistic($A56,"Annualized Return Last 5 years",,,,"m",'PBA Summary'!$F$2,'PBA Summary'!$G$2)</f>
        <v/>
      </c>
      <c r="Q56" s="19" cm="1">
        <f t="array" ref="Q56">_xll.ASAssetStatistic($A56,"Annualized Volatility Last 1 year",,,,"m",'PBA Summary'!$F$2,'PBA Summary'!$G$2)</f>
        <v>3.4501956991118958E-2</v>
      </c>
      <c r="R56" s="19" t="str" cm="1">
        <f t="array" ref="R56">_xll.ASAssetStatistic($A56,"Annualized Volatility Last 3 years",,,,"m",'PBA Summary'!$F$2,'PBA Summary'!$G$2)</f>
        <v/>
      </c>
      <c r="S56" s="19" t="str" cm="1">
        <f t="array" ref="S56">_xll.ASAssetStatistic($A56,"Annualized Volatility Last 5 years",,,,"m",'PBA Summary'!$F$2,'PBA Summary'!$G$2)</f>
        <v/>
      </c>
      <c r="T56" s="19" cm="1">
        <f t="array" ref="T56">_xll.ASAssetStatistic($A56,"Normal monthly VaR 99%",,,,"m",'PBA Summary'!$F$2,'PBA Summary'!$G$2)</f>
        <v>-1.3005871321649589E-2</v>
      </c>
      <c r="U56" s="19" cm="1">
        <f t="array" ref="U56">_xll.ASAssetStatistic($A56,"Modified monthly VaR 99%",,,,"m",'PBA Summary'!$F$2,'PBA Summary'!$G$2)</f>
        <v>-6.5226517964630994E-3</v>
      </c>
      <c r="V56" s="19" cm="1">
        <f t="array" ref="V56">_xll.ASAssetStatistic($A56,"Conditional monthly VaR 99%",,,,"m",'PBA Summary'!$F$2,'PBA Summary'!$G$2)</f>
        <v>-9.8959261048814362E-4</v>
      </c>
      <c r="W56" s="19" cm="1">
        <f t="array" ref="W56">_xll.ASAssetStatistic($A56,"Normal monthly VaR 97%",,,,"m",'PBA Summary'!$F$2,'PBA Summary'!$G$2)</f>
        <v>-8.2034468132794244E-3</v>
      </c>
      <c r="X56" s="19" cm="1">
        <f t="array" ref="X56">_xll.ASAssetStatistic($A56,"Modified monthly VaR 97%",,,,"m",'PBA Summary'!$F$2,'PBA Summary'!$G$2)</f>
        <v>-5.4580872480476505E-3</v>
      </c>
      <c r="Y56" s="19" cm="1">
        <f t="array" ref="Y56">_xll.ASAssetStatistic($A56,"Conditional monthly VaR 97%",,,,"m",'PBA Summary'!$F$2,'PBA Summary'!$G$2)</f>
        <v>-9.8959261048814362E-4</v>
      </c>
      <c r="Z56" s="19" cm="1">
        <f t="array" ref="Z56">_xll.ASAssetStatistic($A56,"Normal monthly VaR 95%",,,,"m",'PBA Summary'!$F$2,'PBA Summary'!$G$2)</f>
        <v>-5.6603582717391372E-3</v>
      </c>
      <c r="AA56" s="19" cm="1">
        <f t="array" ref="AA56">_xll.ASAssetStatistic($A56,"Modified monthly VaR 95%",,,,"m",'PBA Summary'!$F$2,'PBA Summary'!$G$2)</f>
        <v>-4.3249292637682017E-3</v>
      </c>
      <c r="AB56" s="19" cm="1">
        <f t="array" ref="AB56">_xll.ASAssetStatistic($A56,"Conditional monthly VaR 95%",,,,"m",'PBA Summary'!$F$2,'PBA Summary'!$G$2)</f>
        <v>-9.8959261048814362E-4</v>
      </c>
      <c r="AC56" s="66" cm="1">
        <f t="array" ref="AC56">_xll.ASAssetStatistic($A56,"Correlation to Benchmark 1","MSCI ACWI Index",,,"m",'PBA Summary'!$F$2,'PBA Summary'!$G$2)</f>
        <v>-0.59002653992256715</v>
      </c>
      <c r="AD56" s="38" cm="1">
        <f t="array" ref="AD56">IF('PBA Summary'!$D$3="","",_xll.ASAssetStatistic($A56,"Correlation to Benchmark 1",'PBA Summary'!$D$3,,,"m",'PBA Summary'!$F$2,'PBA Summary'!$G$2))</f>
        <v>-0.6126126525470319</v>
      </c>
      <c r="AE56" s="21" cm="1">
        <f t="array" ref="AE56">IF('PBA Summary'!$D$2="","",_xll.ASAssetStatistic($A56,"Bull correlation to Benchmark 1",'PBA Summary'!$D$2,,,"m",'PBA Summary'!$F$2,'PBA Summary'!$G$2))</f>
        <v>0.12630601356743534</v>
      </c>
      <c r="AF56" s="21" cm="1">
        <f t="array" ref="AF56">IF('PBA Summary'!$D$2="","",_xll.ASAssetStatistic($A56,"Bear correlation to Benchmark 1",'PBA Summary'!$D$2,,,"m",'PBA Summary'!$F$2,'PBA Summary'!$G$2))</f>
        <v>-0.98314276450097948</v>
      </c>
      <c r="AG56" s="21" cm="1">
        <f t="array" ref="AG56">IF('PBA Summary'!$D$3="","",_xll.ASAssetStatistic($A56,"Bull correlation to Benchmark 1",'PBA Summary'!$D$3,,,"m",'PBA Summary'!$F$2,'PBA Summary'!$G$2))</f>
        <v>0.12630601356743534</v>
      </c>
      <c r="AH56" s="21" cm="1">
        <f t="array" ref="AH56">IF('PBA Summary'!$D$3="","",_xll.ASAssetStatistic($A56,"Bear correlation to Benchmark 1",'PBA Summary'!$D$3,,,"m",'PBA Summary'!$F$2,'PBA Summary'!$G$2))</f>
        <v>-0.98314276450097948</v>
      </c>
      <c r="AI56" s="24" cm="1">
        <f t="array" ref="AI56">IF('PBA Summary'!$D$2="","",_xll.ASAssetStatistic($A56,"Beta to Benchmark 1",'PBA Summary'!$D$2,,,"m",'PBA Summary'!$F$2,'PBA Summary'!$G$2))</f>
        <v>-0.14899107657683225</v>
      </c>
      <c r="AJ56" s="24" t="str" cm="1">
        <f t="array" ref="AJ56">IF('PBA Summary'!$D$2="","",_xll.ASAssetStatistic($A56,"Beta to Benchmark 1 Last 3 years",'PBA Summary'!$D$2,,,"m",'PBA Summary'!$F$2,'PBA Summary'!$G$2))</f>
        <v/>
      </c>
      <c r="AK56" s="24" t="str" cm="1">
        <f t="array" ref="AK56">IF('PBA Summary'!$D$2="","",_xll.ASAssetStatistic($A56,"Beta to Benchmark 1 Last 5 years",'PBA Summary'!$D$2,,,"m",'PBA Summary'!$F$2,'PBA Summary'!$G$2))</f>
        <v/>
      </c>
      <c r="AL56" s="25" cm="1">
        <f t="array" ref="AL56">IF('PBA Summary'!$D$3="","",_xll.ASAssetStatistic($A56,"Beta to Benchmark 1",'PBA Summary'!$D$3,,,"m",'PBA Summary'!$F$2,'PBA Summary'!$G$2))</f>
        <v>-0.14899107657683225</v>
      </c>
      <c r="AM56" s="25" t="str" cm="1">
        <f t="array" ref="AM56">IF('PBA Summary'!$D$3="","",_xll.ASAssetStatistic($A56,"Beta to Benchmark 1 Last 3 years",'PBA Summary'!$D$3,,,"m",'PBA Summary'!$F$2,'PBA Summary'!$G$2))</f>
        <v/>
      </c>
      <c r="AN56" s="25" t="str" cm="1">
        <f t="array" ref="AN56">IF('PBA Summary'!$D$3="","",_xll.ASAssetStatistic($A56,"Beta to Benchmark 1 Last 5 years",'PBA Summary'!$D$3,,,"m",'PBA Summary'!$F$2,'PBA Summary'!$G$2))</f>
        <v/>
      </c>
      <c r="AO56" s="25" cm="1">
        <f t="array" ref="AO56">IF('PBA Summary'!$D$2="","",_xll.ASAssetStatistic($A56,"Bull Beta to Benchmark 1",'PBA Summary'!$D$2,,,"m",'PBA Summary'!$F$2,'PBA Summary'!$G$2))</f>
        <v>5.2006445394232513E-2</v>
      </c>
      <c r="AP56" s="25" cm="1">
        <f t="array" ref="AP56">IF('PBA Summary'!$D$2="","",_xll.ASAssetStatistic($A56,"Bear Beta to Benchmark 1",'PBA Summary'!$D$2,,,"m",'PBA Summary'!$F$2,'PBA Summary'!$G$2))</f>
        <v>-0.18535393526973951</v>
      </c>
      <c r="AQ56" s="25" cm="1">
        <f t="array" ref="AQ56">IF('PBA Summary'!$D$3="","",_xll.ASAssetStatistic($A56,"Bull Beta to Benchmark 1",'PBA Summary'!$D$3,,,"m",'PBA Summary'!$F$2,'PBA Summary'!$G$2))</f>
        <v>5.2006445394232513E-2</v>
      </c>
      <c r="AR56" s="25" cm="1">
        <f t="array" ref="AR56">IF('PBA Summary'!$D$3="","",_xll.ASAssetStatistic($A56,"Bear Beta to Benchmark 1",'PBA Summary'!$D$3,,,"m",'PBA Summary'!$F$2,'PBA Summary'!$G$2))</f>
        <v>-0.18535393526973951</v>
      </c>
      <c r="AS56" s="25" cm="1">
        <f t="array" ref="AS56">_xll.ASAssetStatistic($A56,"Annual Sharpe Ratio (Rf)",,,'PBA Summary'!$H$2,"m",'PBA Summary'!$F$2,'PBA Summary'!$G$2)</f>
        <v>4.060334284286264</v>
      </c>
      <c r="AT56" s="25" t="str" cm="1">
        <f t="array" ref="AT56">_xll.ASAssetStatistic($A56,"Annual Sharpe Ratio (Rf) Last 3 years",,,'PBA Summary'!$H$2,"m",'PBA Summary'!$F$2,'PBA Summary'!$G$2)</f>
        <v/>
      </c>
      <c r="AU56" s="25" t="str" cm="1">
        <f t="array" ref="AU56">_xll.ASAssetStatistic($A56,"Annual Sharpe Ratio (Rf) Last 5 years",,,'PBA Summary'!$H$2,"m",'PBA Summary'!$F$2,'PBA Summary'!$G$2)</f>
        <v/>
      </c>
      <c r="AV56" s="18" cm="1">
        <f t="array" ref="AV56">_xll.ASAssetStatistic($A56,"Ann. Downside Deviation (vs 0%)",,,'PBA Summary'!$H$2,"m",'PBA Summary'!$F$2,'PBA Summary'!$G$2)</f>
        <v>1.0615107359029951E-3</v>
      </c>
      <c r="AW56" s="18" cm="1">
        <f t="array" ref="AW56">_xll.ASAssetStatistic($A56,"Ann. Downside Deviation (vs Rf)",,,'PBA Summary'!$H$2,"m",'PBA Summary'!$F$2,'PBA Summary'!$G$2)</f>
        <v>1.3204956651078094E-3</v>
      </c>
      <c r="AX56" s="39" cm="1">
        <f t="array" ref="AX56">_xll.ASAssetStatistic($A56,"Annual Treynor ratio",,,'PBA Summary'!$H$2,"m",'PBA Summary'!$F$2,'PBA Summary'!$G$2)</f>
        <v>-0.69451817968607155</v>
      </c>
      <c r="AY56" s="26" cm="1">
        <f t="array" ref="AY56">_xll.ASAssetStatistic($A56,"Annual Sortino Ratio (vs 0%)",,,'PBA Summary'!$H$2,"m",'PBA Summary'!$F$2,'PBA Summary'!$G$2)</f>
        <v>145.17478347548359</v>
      </c>
      <c r="AZ56" s="26" cm="1">
        <f t="array" ref="AZ56">_xll.ASAssetStatistic($A56,"Annual Sortino Ratio (vs Rf)",,,'PBA Summary'!$H$2,"m",'PBA Summary'!$F$2,'PBA Summary'!$G$2)</f>
        <v>114.80885189368728</v>
      </c>
      <c r="BA56" s="26" cm="1">
        <f t="array" ref="BA56">_xll.ASAssetStatistic($A56,"Sterling ratio",,,'PBA Summary'!$H$2,"m",'PBA Summary'!$F$2,'PBA Summary'!$G$2)</f>
        <v>1.5259452707764882</v>
      </c>
      <c r="BB56" s="26" cm="1">
        <f t="array" ref="BB56">_xll.ASAssetStatistic($A56,"Calmar ratio",,,'PBA Summary'!$H$2,"m",'PBA Summary'!$F$2,'PBA Summary'!$G$2)</f>
        <v>155.72528493880424</v>
      </c>
      <c r="BC56" s="26" cm="1">
        <f t="array" ref="BC56">_xll.ASAssetStatistic($A56,"Hurst index",,,'PBA Summary'!$H$2,"m",'PBA Summary'!$F$2,'PBA Summary'!$G$2)</f>
        <v>0.44831070033417525</v>
      </c>
      <c r="BD56" s="26" cm="1">
        <f t="array" ref="BD56">_xll.ASAssetStatistic($A56,"Omega (Threshold 1)",,,'PBA Summary'!$H$2,"m",'PBA Summary'!$F$2,'PBA Summary'!$G$2)</f>
        <v>111.06717467854166</v>
      </c>
      <c r="BE56" s="26" cm="1">
        <f t="array" ref="BE56">_xll.ASAssetStatistic($A56,"Omega (Threshold 2)",,,'PBA Summary'!$H$2,"m",'PBA Summary'!$F$2,'PBA Summary'!$G$2)</f>
        <v>6.014183567220984</v>
      </c>
      <c r="BF56" s="26" cm="1">
        <f t="array" ref="BF56">_xll.ASAssetStatistic($A56,"Omega (Threshold 3)",,,'PBA Summary'!$H$2,"m",'PBA Summary'!$F$2,'PBA Summary'!$G$2)</f>
        <v>1.5900498651448838</v>
      </c>
      <c r="BG56" s="26" cm="1">
        <f t="array" ref="BG56">_xll.ASAssetStatistic($A56,"Omega (Threshold 4)",,,'PBA Summary'!$H$2,"m",'PBA Summary'!$F$2,'PBA Summary'!$G$2)</f>
        <v>0.50663014249846017</v>
      </c>
      <c r="BH56" s="26" cm="1">
        <f t="array" ref="BH56">_xll.ASAssetStatistic($A56,"Omega (Threshold 5)",,,'PBA Summary'!$H$2,"m",'PBA Summary'!$F$2,'PBA Summary'!$G$2)</f>
        <v>0.17434131817702947</v>
      </c>
      <c r="BI56" s="26" t="str" cm="1">
        <f t="array" ref="BI56">_xll.ASAssetStatistic($A56,"Autocorrelated (illiquid)",,,'PBA Summary'!$H$2,"m",'PBA Summary'!$F$2,'PBA Summary'!$G$2)</f>
        <v>No</v>
      </c>
      <c r="BJ56" s="27" cm="1">
        <f t="array" ref="BJ56">_xll.ASAssetStatistic($A56,"% months in Run Up",,,'PBA Summary'!$H$2,"m",'PBA Summary'!$F$2,'PBA Summary'!$G$2)</f>
        <v>0.8666666666666667</v>
      </c>
      <c r="BK56" s="27" cm="1">
        <f t="array" ref="BK56">_xll.ASAssetStatistic($A56,"% months in Drawdown",,,'PBA Summary'!$H$2,"m",'PBA Summary'!$F$2,'PBA Summary'!$G$2)</f>
        <v>0.13333333333333333</v>
      </c>
      <c r="BL56" s="18" cm="1">
        <f t="array" ref="BL56">IF('PBA Summary'!$D$2="","",_xll.ASAssetStatistic($A56,"Bull Beta to Benchmark 1",'PBA Summary'!$D$2,,,"m",'PBA Summary'!$F$2,'PBA Summary'!$G$2))</f>
        <v>5.2006445394232513E-2</v>
      </c>
      <c r="BM56" s="18" cm="1">
        <f t="array" ref="BM56">IF('PBA Summary'!$D$2="","",_xll.ASAssetStatistic($A56,"Average return during bear Benchmark 1",'PBA Summary'!$D$2,,,"m",'PBA Summary'!$F$2,'PBA Summary'!$G$2))</f>
        <v>2.2959987330305742E-2</v>
      </c>
      <c r="BN56" s="18" cm="1">
        <f t="array" ref="BN56">IF('PBA Summary'!$D$3="","",_xll.ASAssetStatistic($A56,"Average return during bull Benchmark 1",'PBA Summary'!$D$3,,,"m",'PBA Summary'!$F$2,'PBA Summary'!$G$2))</f>
        <v>8.1083170472765476E-3</v>
      </c>
      <c r="BO56" s="18" cm="1">
        <f t="array" ref="BO56">IF('PBA Summary'!$D$3="","",_xll.ASAssetStatistic($A56,"Average return during bear Benchmark 1",'PBA Summary'!$D$3,,,"m",'PBA Summary'!$F$2,'PBA Summary'!$G$2))</f>
        <v>2.2959987330305742E-2</v>
      </c>
      <c r="BP56" s="27" cm="1">
        <f t="array" ref="BP56">_xll.ASAssetStatistic($A56,"Maximum consecutive gain",,,'PBA Summary'!$H$2,"m",'PBA Summary'!$F$2,'PBA Summary'!$G$2)</f>
        <v>9.4806236542643418E-2</v>
      </c>
      <c r="BQ56" s="27" cm="1">
        <f t="array" ref="BQ56">_xll.ASAssetStatistic($A56,"Maximum consecutive loss",,,'PBA Summary'!$H$2,"m",'PBA Summary'!$F$2,'PBA Summary'!$G$2)</f>
        <v>-9.8959261048814362E-4</v>
      </c>
      <c r="BR56" s="27" cm="1">
        <f t="array" ref="BR56">_xll.ASAssetStatistic($A56,"Max monthly gain",,,'PBA Summary'!$H$2,"m",'PBA Summary'!$F$2,'PBA Summary'!$G$2)</f>
        <v>3.3163883668878347E-2</v>
      </c>
      <c r="BS56" s="27" cm="1">
        <f t="array" ref="BS56">_xll.ASAssetStatistic($A56,"Max monthly loss",,,'PBA Summary'!$H$2,"m",'PBA Summary'!$F$2,'PBA Summary'!$G$2)</f>
        <v>-9.8959261048814362E-4</v>
      </c>
      <c r="BT56" s="27" cm="1">
        <f t="array" ref="BT56">_xll.ASAssetStatistic($A56,"Max drawdown",,,'PBA Summary'!$H$2,"m",'PBA Summary'!$F$2,'PBA Summary'!$G$2)</f>
        <v>-9.8959261048825464E-4</v>
      </c>
      <c r="BU56" s="28" cm="1">
        <f t="array" ref="BU56">_xll.ASAssetStatistic($A56,"Date Max drawdown",,,'PBA Summary'!$H$2,"m",'PBA Summary'!$F$2,'PBA Summary'!$G$2)</f>
        <v>43524</v>
      </c>
      <c r="BV56" s="28" cm="1">
        <f t="array" ref="BV56">_xll.ASAssetStatistic($A56,"Start Date Max Drawdown",,,'PBA Summary'!$H$2,"m",'PBA Summary'!$F$2,'PBA Summary'!$G$2)</f>
        <v>43524</v>
      </c>
      <c r="BW56" s="28" cm="1">
        <f t="array" ref="BW56">_xll.ASAssetStatistic($A56,"End Date Max Drawdown",,,'PBA Summary'!$H$2,"m",'PBA Summary'!$F$2,'PBA Summary'!$G$2)</f>
        <v>43524</v>
      </c>
      <c r="BX56" s="29" cm="1">
        <f t="array" ref="BX56">_xll.ASAssetStatistic($A56,"Max Time-under-water (months)",,,'PBA Summary'!$H$2,"m",'PBA Summary'!$F$2,'PBA Summary'!$G$2)</f>
        <v>1</v>
      </c>
      <c r="BY56" s="27" cm="1">
        <f t="array" ref="BY56">_xll.ASAssetStatistic($A56,"Max possible drawdown 99%",,,'PBA Summary'!$H$2,"m",'PBA Summary'!$F$2,'PBA Summary'!$G$2)</f>
        <v>-1.3024062354680449E-2</v>
      </c>
      <c r="BZ56" s="27" cm="1">
        <f t="array" ref="BZ56">_xll.ASAssetStatistic($A56,"Max possible drawdown 99.9%",,,'PBA Summary'!$H$2,"m",'PBA Summary'!$F$2,'PBA Summary'!$G$2)</f>
        <v>-2.2981554810197063E-2</v>
      </c>
      <c r="CA56" s="30" cm="1">
        <f t="array" ref="CA56">_xll.ASAssetStatistic($A56,"Max Possible Time-under-water 99% (months)",,,'PBA Summary'!$H$2,"m",'PBA Summary'!$F$2,'PBA Summary'!$G$2)</f>
        <v>4.3166190078136859</v>
      </c>
      <c r="CB56" s="30" cm="1">
        <f t="array" ref="CB56">_xll.ASAssetStatistic($A56,"Max Possible Time-under-water 99.9% (months)",,,'PBA Summary'!$H$2,"m",'PBA Summary'!$F$2,'PBA Summary'!$G$2)</f>
        <v>7.6168720343356053</v>
      </c>
      <c r="CC56" s="17" cm="1">
        <f t="array" ref="CC56">_xll.ASPortfolioReturnAttribution('PBA Summary'!$C$2,"OR",A56,"Last 1m",'PBA Summary'!$F$2,'PBA Summary'!$G$2)</f>
        <v>1.537791624844898E-3</v>
      </c>
      <c r="CD56" s="11" t="str" cm="1">
        <f t="array" ref="CD56">_xll.ASAssetInfo($A56,"Strategy")</f>
        <v>Funds - Structured Credit</v>
      </c>
      <c r="CE56" s="14" cm="1">
        <f t="array" ref="CE56">_xll.ASAssetInfo($A56,"Start Date")</f>
        <v>36585</v>
      </c>
      <c r="CF56" s="14" t="str" cm="1">
        <f t="array" ref="CF56">_xll.ASAssetRatings($A56,"Quantitative",0,0,0,0,0,'PBA Summary'!$F$2,'PBA Summary'!$G$2)</f>
        <v/>
      </c>
      <c r="CG56" s="14" t="str" cm="1">
        <f t="array" ref="CG56">_xll.ASAssetRatings($A56,"Qualitative",0,0,0,0,0,'PBA Summary'!$F$2,'PBA Summary'!$G$2)</f>
        <v/>
      </c>
      <c r="CH56" s="14" t="str" cm="1">
        <f t="array" ref="CH56">_xll.ASAssetRatings($A56,"Final",0,0,0,0,0,'PBA Summary'!$F$2,'PBA Summary'!$G$2)</f>
        <v/>
      </c>
      <c r="CI56" s="14" cm="1">
        <f t="array" ref="CI56">_xll.ASAssetInfo($A56,"Last Return Date")</f>
        <v>44135</v>
      </c>
      <c r="CJ56" s="14" t="str" cm="1">
        <f t="array" ref="CJ56">_xll.ASAssetInfo($A56,"Company Name")</f>
        <v/>
      </c>
      <c r="CK56" s="14" t="str" cm="1">
        <f t="array" ref="CK56">_xll.ASAssetInfo($A56,"Manager Name")</f>
        <v/>
      </c>
      <c r="CL56" s="14" t="str" cm="1">
        <f t="array" ref="CL56">_xll.ASAssetInfo($A56,"Address")</f>
        <v/>
      </c>
      <c r="CM56" s="14" t="str" cm="1">
        <f t="array" ref="CM56">_xll.ASAssetInfo($A56,"Phone Number")</f>
        <v/>
      </c>
      <c r="CN56" s="14" t="str" cm="1">
        <f t="array" ref="CN56">_xll.ASAssetInfo($A56,"Email")</f>
        <v/>
      </c>
      <c r="CO56" s="14" t="str" cm="1">
        <f t="array" ref="CO56">_xll.ASAssetInfo($A56,"Asset Type")</f>
        <v>Fixed Income</v>
      </c>
      <c r="CP56" s="14" t="str" cm="1">
        <f t="array" ref="CP56">_xll.ASAssetInfo($A56,"Proprietary ID")</f>
        <v/>
      </c>
      <c r="CQ56" s="14" t="str" cm="1">
        <f t="array" ref="CQ56">_xll.ASAssetInfo($A56,"Country")</f>
        <v>[Not Classified]</v>
      </c>
      <c r="CR56" s="14" t="str" cm="1">
        <f t="array" ref="CR56">_xll.ASAssetInfo($A56,"Currency")</f>
        <v>USD</v>
      </c>
      <c r="CS56" s="14" t="str" cm="1">
        <f t="array" ref="CS56">_xll.ASAssetInfo($A56,"Sub-Strategy")</f>
        <v/>
      </c>
      <c r="CT56" s="31" t="str" cm="1">
        <f t="array" ref="CT56">_xll.ASAssetInfo($A56,"Fund AUM (m)")</f>
        <v/>
      </c>
      <c r="CU56" s="31" t="str" cm="1">
        <f t="array" ref="CU56">_xll.ASAssetInfo($A56,"Status")</f>
        <v>Unknown</v>
      </c>
      <c r="CV56" s="31" t="str" cm="1">
        <f t="array" ref="CV56">_xll.ASAssetInfo($A56,"Redemption 1 Frequency")</f>
        <v>Unknown</v>
      </c>
      <c r="CW56" s="31" t="str" cm="1">
        <f t="array" ref="CW56">_xll.ASAssetInfo($A56,"Redemption 2 Frequency")</f>
        <v>Unknown</v>
      </c>
      <c r="CX56" s="31" t="str" cm="1">
        <f t="array" ref="CX56">_xll.ASAssetInfo($A56,"Redemption 3 Frequency")</f>
        <v>Unknown</v>
      </c>
      <c r="CY56" s="31" t="str" cm="1">
        <f t="array" ref="CY56">_xll.ASAssetInfo($A56,"Notice Period")</f>
        <v/>
      </c>
      <c r="CZ56" s="15" t="str" cm="1">
        <f t="array" ref="CZ56">_xll.ASAssetInfo($A56,"Performance Fee")</f>
        <v/>
      </c>
      <c r="DA56" s="15" t="str" cm="1">
        <f t="array" ref="DA56">_xll.ASAssetInfo($A56,"Management Fee")</f>
        <v/>
      </c>
      <c r="DB56" s="15" t="str" cm="1">
        <f t="array" ref="DB56">_xll.ASAssetInfo($A56,"ISIN")</f>
        <v/>
      </c>
      <c r="DC56" s="16" cm="1">
        <f t="array" ref="DC56">_xll.ASAssetStatistic($A56,"Return during " &amp;YEAR(EOMONTH('PBA Summary'!$G$2,-60)),,,,"M",DATE(YEAR(EOMONTH('PBA Summary'!$G$2,-60)),1,31),DATE(YEAR(EOMONTH('PBA Summary'!$G$2,-60)),12,31))</f>
        <v>2.6931206323755452E-2</v>
      </c>
      <c r="DD56" s="16" cm="1">
        <f t="array" ref="DD56">_xll.ASAssetStatistic($A56,"Return during " &amp;YEAR(EOMONTH('PBA Summary'!$G$2,-48)),,,,"M",DATE(YEAR(EOMONTH('PBA Summary'!$G$2,-48)),1,31),DATE(YEAR(EOMONTH('PBA Summary'!$G$2,-48)),12,31))</f>
        <v>3.2735471733552624E-2</v>
      </c>
      <c r="DE56" s="16" cm="1">
        <f t="array" ref="DE56">_xll.ASAssetStatistic($A56,"Return during " &amp;YEAR(EOMONTH('PBA Summary'!$G$2,-36)),,,,"M",DATE(YEAR(EOMONTH('PBA Summary'!$G$2,-36)),1,31),DATE(YEAR(EOMONTH('PBA Summary'!$G$2,-36)),12,31))</f>
        <v>4.6447323028257825E-2</v>
      </c>
      <c r="DF56" s="16" cm="1">
        <f t="array" ref="DF56">_xll.ASAssetStatistic($A56,"Return during " &amp;YEAR(EOMONTH('PBA Summary'!$G$2,-24)),,,,"M",DATE(YEAR(EOMONTH('PBA Summary'!$G$2,-24)),1,31),DATE(YEAR(EOMONTH('PBA Summary'!$G$2,-24)),12,31))</f>
        <v>1.7882889002781788E-2</v>
      </c>
      <c r="DG56" s="16" cm="1">
        <f t="array" ref="DG56">_xll.ASAssetStatistic($A56,"Return during " &amp;YEAR(EOMONTH('PBA Summary'!$G$2,-12)),,,,"M",DATE(YEAR(EOMONTH('PBA Summary'!$G$2,-12)),1,31),DATE(YEAR(EOMONTH('PBA Summary'!$G$2,-12)),12,31))</f>
        <v>0.12212093970089311</v>
      </c>
      <c r="DH56" s="11" t="str" cm="1">
        <f t="array" ref="DH56">_xll.ASAssetInfo($A56,"Prime Broker")</f>
        <v/>
      </c>
      <c r="DI56" s="16" cm="1">
        <f t="array" ref="DI56">_xll.ASAssetStatistic($A56,"Return",,,,"m",'PBA Summary'!$F$2,'PBA Summary'!$G$2)</f>
        <v>0.19620733442487426</v>
      </c>
      <c r="DJ56" s="33" cm="1">
        <f t="array" ref="DJ56">IF('PBA Summary'!$D$2="","",_xll.ASAssetStatistic($A56,"Ann. Information Ratio vs Benchmark 1",'PBA Summary'!$D$2,,,"m",'PBA Summary'!$F$2,'PBA Summary'!$G$2))</f>
        <v>-0.10180495377092924</v>
      </c>
      <c r="DK56" s="33" cm="1">
        <f t="array" ref="DK56">IF('PBA Summary'!$D$3="","",_xll.ASAssetStatistic($A56,"Ann. Information Ratio vs Benchmark 1",'PBA Summary'!$D$3,,,"m",'PBA Summary'!$F$2,'PBA Summary'!$G$2))</f>
        <v>-0.10180495377092924</v>
      </c>
      <c r="DL56" s="33" cm="1">
        <f t="array" ref="DL56">IF('PBA Summary'!$D$2="","",_xll.ASAssetStatistic($A56,"Ann. Tracking Error vs Benchmark 1",'PBA Summary'!$D$2,,,"m",'PBA Summary'!$F$2,'PBA Summary'!$G$2))</f>
        <v>0.17884928297318245</v>
      </c>
      <c r="DM56" s="33" cm="1">
        <f t="array" ref="DM56">IF('PBA Summary'!$D$3="","",_xll.ASAssetStatistic($A56,"Ann. Tracking Error vs Benchmark 1",'PBA Summary'!$D$3,,,"m",'PBA Summary'!$F$2,'PBA Summary'!$G$2))</f>
        <v>0.17884928297318245</v>
      </c>
      <c r="DN56" s="33" cm="1">
        <f t="array" ref="DN56">IF('PBA Summary'!$D$2="","",_xll.ASAssetStatistic($A56,"R² vs Benchmark 1",'PBA Summary'!$D$2,,,"m",'PBA Summary'!$F$2,'PBA Summary'!$G$2))</f>
        <v>0.37529426206071043</v>
      </c>
      <c r="DO56" s="33" cm="1">
        <f t="array" ref="DO56">IF('PBA Summary'!$D$3="","",_xll.ASAssetStatistic($A56,"R² vs Benchmark 1",'PBA Summary'!$D$3,,,"m",'PBA Summary'!$F$2,'PBA Summary'!$G$2))</f>
        <v>0.37529426206071043</v>
      </c>
      <c r="DP56" s="11" t="str" cm="1">
        <f t="array" ref="DP56">_xll.ASAssetInfo($A56,"On-/Offshore")</f>
        <v>Unknown</v>
      </c>
      <c r="DQ56" s="16" cm="1">
        <f t="array" ref="DQ56">_xll.ASAssetStatistic($A56,"Quarter-to-date",,,,"m",'PBA Summary'!$F$2,'PBA Summary'!$G$2)</f>
        <v>1.5377894319596574E-2</v>
      </c>
      <c r="DR56" s="16" cm="1">
        <f t="array" ref="DR56">_xll.ASAssetStatistic($A56,"Annualized Return Since inception",,,,"m",'PBA Summary'!$F$2,'PBA Summary'!$G$2)</f>
        <v>0.10450742147778724</v>
      </c>
      <c r="DS56" s="16" cm="1">
        <f t="array" ref="DS56">IF('PBA Summary'!$D$2="","",_xll.ASAssetStatistic($A56,"Ann. Bear Market Return vs Benchmark 1",'PBA Summary'!$D$2,,,"m",'PBA Summary'!$F$2,'PBA Summary'!$G$2))</f>
        <v>0.31277010148818629</v>
      </c>
      <c r="DT56" s="16" cm="1">
        <f t="array" ref="DT56">IF('PBA Summary'!$D$2="","",_xll.ASAssetStatistic($A56,"Ann. Bull Market Return vs Benchmark 1",'PBA Summary'!$D$2,,,"m",'PBA Summary'!$F$2,'PBA Summary'!$G$2))</f>
        <v>0.10129096124701986</v>
      </c>
      <c r="DU56" s="16" cm="1">
        <f t="array" ref="DU56">IF('PBA Summary'!$D$3="","",_xll.ASAssetStatistic($A56,"Ann. Bear Market Return vs Benchmark 1",'PBA Summary'!$D$3,,,"m",'PBA Summary'!$F$2,'PBA Summary'!$G$2))</f>
        <v>0.31277010148818629</v>
      </c>
      <c r="DV56" s="16" cm="1">
        <f t="array" ref="DV56">IF('PBA Summary'!$D$3="","",_xll.ASAssetStatistic($A56,"Ann. Bull Market Return vs Benchmark 1",'PBA Summary'!$D$3,,,"m",'PBA Summary'!$F$2,'PBA Summary'!$G$2))</f>
        <v>0.10129096124701986</v>
      </c>
      <c r="DW56" s="17" cm="1">
        <f t="array" ref="DW56">_xll.ASAssetStatistic($A56,"Average Positive Return",,,,"m",'PBA Summary'!$F$2,'PBA Summary'!$G$2)</f>
        <v>1.4052013290051098E-2</v>
      </c>
      <c r="DX56" s="17" cm="1">
        <f t="array" ref="DX56">_xll.ASAssetStatistic($A56,"Average Negative Return",,,,"m",'PBA Summary'!$F$2,'PBA Summary'!$G$2)</f>
        <v>-8.2236796469964402E-4</v>
      </c>
      <c r="DY56" s="16" cm="1">
        <f t="array" ref="DY56">IF('PBA Summary'!$D$2="","",_xll.ASAssetStatistic($A56,"Outperformance vs Benchmark 1",'PBA Summary'!$D$2,,,"m",'PBA Summary'!$F$2,'PBA Summary'!$G$2))</f>
        <v>-2.3636310383844394E-2</v>
      </c>
      <c r="DZ56" s="16" cm="1">
        <f t="array" ref="DZ56">IF('PBA Summary'!$D$3="","",_xll.ASAssetStatistic($A56,"Outperformance vs Benchmark 1",'PBA Summary'!$D$3,,,"m",'PBA Summary'!$F$2,'PBA Summary'!$G$2))</f>
        <v>-2.3636310383844394E-2</v>
      </c>
      <c r="EA56" s="16" cm="1">
        <f t="array" ref="EA56">IF('PBA Summary'!$D$2="","",_xll.ASAssetStatistic($A56,"Annual Outperformance vs Benchmark 1",'PBA Summary'!$D$2,,,"m",'PBA Summary'!$F$2,'PBA Summary'!$G$2))</f>
        <v>-1.820774298504868E-2</v>
      </c>
      <c r="EB56" s="16" cm="1">
        <f t="array" ref="EB56">IF('PBA Summary'!$D$3="","",_xll.ASAssetStatistic($A56,"Annual Outperformance vs Benchmark 1",'PBA Summary'!$D$3,,,"m",'PBA Summary'!$F$2,'PBA Summary'!$G$2))</f>
        <v>-1.820774298504868E-2</v>
      </c>
      <c r="EC56" s="32" cm="1">
        <f t="array" ref="EC56">_xll.ASAssetStatistic($A56,"Rachev Ratio 99%",,,,"m",'PBA Summary'!$F$2,'PBA Summary'!$G$2)</f>
        <v>-33.512663006365166</v>
      </c>
      <c r="ED56" s="32" cm="1">
        <f t="array" ref="ED56">_xll.ASAssetStatistic($A56,"Rachev Ratio 97%",,,,"m",'PBA Summary'!$F$2,'PBA Summary'!$G$2)</f>
        <v>-33.512663006365166</v>
      </c>
      <c r="EE56" s="32" cm="1">
        <f t="array" ref="EE56">_xll.ASAssetStatistic($A56,"Rachev Ratio 95%",,,,"m",'PBA Summary'!$F$2,'PBA Summary'!$G$2)</f>
        <v>-33.512663006365166</v>
      </c>
      <c r="EF56" s="32" cm="1">
        <f t="array" ref="EF56">_xll.ASAssetStatistic($A56,"Rachev Ratio 90%",,,,"m",'PBA Summary'!$F$2,'PBA Summary'!$G$2)</f>
        <v>-36.660012004523736</v>
      </c>
      <c r="EG56" s="34" cm="1">
        <f t="array" ref="EG56">IF('PBA Summary'!$D$2="","",_xll.ASAssetStatistic($A56,"Annual Up Capture vs Benchmark 1",'PBA Summary'!$D$2,,,"m",'PBA Summary'!$F$2,'PBA Summary'!$G$2))</f>
        <v>0.20009756451351557</v>
      </c>
      <c r="EH56" s="34" cm="1">
        <f t="array" ref="EH56">IF('PBA Summary'!$D$3="","",_xll.ASAssetStatistic($A56,"Annual Up Capture vs Benchmark 1",'PBA Summary'!$D$3,,,"m",'PBA Summary'!$F$2,'PBA Summary'!$G$2))</f>
        <v>0.20009756451351557</v>
      </c>
      <c r="EI56" s="34" cm="1">
        <f t="array" ref="EI56">IF('PBA Summary'!$D$2="","",_xll.ASAssetStatistic($A56,"Annual Down Capture vs Benchmark 1",'PBA Summary'!$D$2,,,"m",'PBA Summary'!$F$2,'PBA Summary'!$G$2))</f>
        <v>-0.76002942789834926</v>
      </c>
      <c r="EJ56" s="34" cm="1">
        <f t="array" ref="EJ56">IF('PBA Summary'!$D$3="","",_xll.ASAssetStatistic($A56,"Annual Down Capture vs Benchmark 1",'PBA Summary'!$D$3,,,"m",'PBA Summary'!$F$2,'PBA Summary'!$G$2))</f>
        <v>-0.76002942789834926</v>
      </c>
      <c r="EK56" s="16" cm="1">
        <f t="array" ref="EK56">IF('PBA Summary'!$D$2="","",_xll.ASAssetStatistic($A56,"Ann. Tracking Error vs Benchmark 1",'PBA Summary'!$D$2,,,"m",'PBA Summary'!$F$2,'PBA Summary'!$G$2))</f>
        <v>0.17884928297318245</v>
      </c>
      <c r="EL56" s="16" cm="1">
        <f t="array" ref="EL56">IF('PBA Summary'!$D$3="","",_xll.ASAssetStatistic($A56,"Ann. Tracking Error vs Benchmark 1",'PBA Summary'!$D$3,,,"m",'PBA Summary'!$F$2,'PBA Summary'!$G$2))</f>
        <v>0.17884928297318245</v>
      </c>
      <c r="EM56" s="16" cm="1">
        <f t="array" ref="EM56">IF('PBA Summary'!$D$2="","",_xll.ASAssetStatistic($A56,"Annual Jensen Alpha vs Benchmark 1 (Rf)",'PBA Summary'!$D$2,,,"m",'PBA Summary'!$F$2,'PBA Summary'!$G$2))</f>
        <v>0.17690511373407458</v>
      </c>
      <c r="EN56" s="16" cm="1">
        <f t="array" ref="EN56">IF('PBA Summary'!$D$3="","",_xll.ASAssetStatistic($A56,"Annual Jensen Alpha vs Benchmark 1 (Rf)",'PBA Summary'!$D$3,,,"m",'PBA Summary'!$F$2,'PBA Summary'!$G$2))</f>
        <v>0.17690511373407458</v>
      </c>
      <c r="EO56" s="33" cm="1">
        <f t="array" ref="EO56">IF('PBA Summary'!$D$2="","",_xll.ASAssetStatistic($A56,"Ann. Information Ratio vs Benchmark 1",'PBA Summary'!$D$2,,,"m",'PBA Summary'!$F$2,'PBA Summary'!$G$2))</f>
        <v>-0.10180495377092924</v>
      </c>
      <c r="EP56" s="33" cm="1">
        <f t="array" ref="EP56">IF('PBA Summary'!$D$3="","",_xll.ASAssetStatistic($A56,"Ann. Information Ratio vs Benchmark 1",'PBA Summary'!$D$3,,,"m",'PBA Summary'!$F$2,'PBA Summary'!$G$2))</f>
        <v>-0.10180495377092924</v>
      </c>
      <c r="EQ56" s="17" cm="1">
        <f t="array" ref="EQ56">IF('PBA Summary'!$D$2="","",_xll.ASAssetStatistic($A56,"Alpha Monthly vs Benchmark 1",'PBA Summary'!$D$2,,,"m",'PBA Summary'!$F$2,'PBA Summary'!$G$2))</f>
        <v>1.4194489200870119E-2</v>
      </c>
      <c r="ER56" s="17" cm="1">
        <f t="array" ref="ER56">IF('PBA Summary'!$D$3="","",_xll.ASAssetStatistic($A56,"Alpha Monthly vs Benchmark 1",'PBA Summary'!$D$3,,,"m",'PBA Summary'!$F$2,'PBA Summary'!$G$2))</f>
        <v>1.4194489200870119E-2</v>
      </c>
      <c r="ES56" s="11" t="str" cm="1">
        <f t="array" ref="ES56">_xll.ASAssetInfo($A56,"Company AUM (m)")</f>
        <v/>
      </c>
      <c r="ET56" s="16" cm="1">
        <f t="array" ref="ET56">_xll.ASAssetStatistic($A56,"Exponential Annualized Volatility",,,,"m",'PBA Summary'!$F$2,'PBA Summary'!$G$2)</f>
        <v>3.3401031192443816E-2</v>
      </c>
      <c r="EU56" s="16" cm="1">
        <f t="array" ref="EU56">_xll.ASAssetStatistic($A56,"Exponential Annualized Volatility Last 1 year",,,,"m",'PBA Summary'!$F$2,'PBA Summary'!$G$2)</f>
        <v>3.1072758810440856E-2</v>
      </c>
      <c r="EV56" s="16" t="str" cm="1">
        <f t="array" ref="EV56">_xll.ASAssetStatistic($A56,"Exponential Annualized Volatility Last 3 years",,,,"m",'PBA Summary'!$F$2,'PBA Summary'!$G$2)</f>
        <v/>
      </c>
      <c r="EW56" s="34" cm="1">
        <f t="array" ref="EW56">IF('PBA Summary'!$D$2="","",_xll.ASAssetStatistic($A56,"Exponential Correlation to Benchmark 1",'PBA Summary'!$D$2,,,"m",'PBA Summary'!$F$2,'PBA Summary'!$G$2))</f>
        <v>-0.56034170592639776</v>
      </c>
      <c r="EX56" s="34" cm="1">
        <f t="array" ref="EX56">IF('PBA Summary'!$D$3="","",_xll.ASAssetStatistic($A56,"Exponential Correlation to Benchmark 1",'PBA Summary'!$D$3,,,"m",'PBA Summary'!$F$2,'PBA Summary'!$G$2))</f>
        <v>-0.56034170592639776</v>
      </c>
      <c r="EY56" s="34" cm="1">
        <f t="array" ref="EY56">_xll.ASAssetStatistic($A56,"Exponential Annual Sharpe Ratio (Rf)",,,,"m",'PBA Summary'!$F$2,'PBA Summary'!$G$2)</f>
        <v>3.8526031008323169</v>
      </c>
      <c r="EZ56" s="34" cm="1">
        <f t="array" ref="EZ56">_xll.ASAssetStatistic($A56,"Exponential Normal Monthly VaR 99%",,,,"m",'PBA Summary'!$F$2,'PBA Summary'!$G$2)</f>
        <v>-1.2105973967362623E-2</v>
      </c>
      <c r="FA56" s="34" cm="1">
        <f t="array" ref="FA56">_xll.ASAssetStatistic($A56,"Exponential Normal Monthly VaR 97%",,,,"m",'PBA Summary'!$F$2,'PBA Summary'!$G$2)</f>
        <v>-7.8099187165951538E-3</v>
      </c>
      <c r="FB56" s="34" cm="1">
        <f t="array" ref="FB56">_xll.ASAssetStatistic($A56,"Exponential Normal Monthly VaR 95%",,,,"m",'PBA Summary'!$F$2,'PBA Summary'!$G$2)</f>
        <v>-5.5349742873783969E-3</v>
      </c>
      <c r="FC56" s="34" cm="1">
        <f t="array" ref="FC56">_xll.ASAssetStatistic($A56,"Exponential Normal Monthly VaR 90%",,,,"m",'PBA Summary'!$F$2,'PBA Summary'!$G$2)</f>
        <v>-2.0319986724879821E-3</v>
      </c>
      <c r="FD56" s="34" t="str" cm="1">
        <f t="array" ref="FD56">_xll.ASAssetStatistic($A56,"Exponential Normal weekly VaR 99%",,,,"m",'PBA Summary'!$F$2,'PBA Summary'!$G$2)</f>
        <v/>
      </c>
      <c r="FE56" s="34" t="str" cm="1">
        <f t="array" ref="FE56">_xll.ASAssetStatistic($A56,"Exponential Normal weekly VaR 97%",,,,"m",'PBA Summary'!$F$2,'PBA Summary'!$G$2)</f>
        <v/>
      </c>
      <c r="FF56" s="34" t="str" cm="1">
        <f t="array" ref="FF56">_xll.ASAssetStatistic($A56,"Exponential Normal weekly VaR 95%",,,,"m",'PBA Summary'!$F$2,'PBA Summary'!$G$2)</f>
        <v/>
      </c>
      <c r="FG56" s="34" t="str" cm="1">
        <f t="array" ref="FG56">_xll.ASAssetStatistic($A56,"Exponential Normal weekly VaR 90%",,,,"m",'PBA Summary'!$F$2,'PBA Summary'!$G$2)</f>
        <v/>
      </c>
      <c r="FH56" s="34" t="str" cm="1">
        <f t="array" ref="FH56">_xll.ASAssetStatistic($A56,"Exponential Normal daily VaR 99%",,,,"m",'PBA Summary'!$F$2,'PBA Summary'!$G$2)</f>
        <v/>
      </c>
      <c r="FI56" s="34" t="str" cm="1">
        <f t="array" ref="FI56">_xll.ASAssetStatistic($A56,"Exponential Normal daily VaR 97%",,,,"m",'PBA Summary'!$F$2,'PBA Summary'!$G$2)</f>
        <v/>
      </c>
      <c r="FJ56" s="34" t="str" cm="1">
        <f t="array" ref="FJ56">_xll.ASAssetStatistic($A56,"Exponential Normal daily VaR 95%",,,,"m",'PBA Summary'!$F$2,'PBA Summary'!$G$2)</f>
        <v/>
      </c>
      <c r="FK56" s="34" t="str" cm="1">
        <f t="array" ref="FK56">_xll.ASAssetStatistic($A56,"Exponential Normal daily VaR 90%",,,,"m",'PBA Summary'!$F$2,'PBA Summary'!$G$2)</f>
        <v/>
      </c>
      <c r="FL56" s="34" cm="1">
        <f t="array" ref="FL56">_xll.ASAssetStatistic($A56,"Bias Ratio",,,,"m",'PBA Summary'!$F$2,'PBA Summary'!$G$2)</f>
        <v>1.6666666666666667</v>
      </c>
      <c r="FM56" s="11" t="str" cm="1">
        <f t="array" ref="FM56">_xll.ASAssetInfo($A56,"Manager's Biography")</f>
        <v/>
      </c>
      <c r="FN56" s="11" cm="1">
        <f t="array" ref="FN56">_xll.ASAssetInfo($A56,"Investment Min")</f>
        <v>0</v>
      </c>
      <c r="FO56" s="11" t="str" cm="1">
        <f t="array" ref="FO56">_xll.ASAssetInfo($A56,"Auditor")</f>
        <v/>
      </c>
      <c r="FP56" s="11" t="str" cm="1">
        <f t="array" ref="FP56">_xll.ASAssetInfo($A56,"Custodian")</f>
        <v/>
      </c>
      <c r="FQ56" s="11" t="str" cm="1">
        <f t="array" ref="FQ56">_xll.ASAssetInfo($A56,"Administrator")</f>
        <v/>
      </c>
      <c r="FR56" s="14" cm="1">
        <f t="array" ref="FR56">_xll.ASAssetInfo($A56,"Proxy 1 Start Date")</f>
        <v>36557</v>
      </c>
      <c r="FS56" s="14" cm="1">
        <f t="array" ref="FS56">_xll.ASAssetInfo($A56,"Proxy 1 End Date")</f>
        <v>44135</v>
      </c>
      <c r="FT56" s="14" t="str" cm="1">
        <f t="array" ref="FT56">_xll.ASAssetInfo($A56,"Proxy 2 Start Date")</f>
        <v/>
      </c>
      <c r="FU56" s="14" t="str" cm="1">
        <f t="array" ref="FU56">_xll.ASAssetInfo($A56,"Proxy 2 End Date")</f>
        <v/>
      </c>
      <c r="FV56" s="14" t="str" cm="1">
        <f t="array" ref="FV56">_xll.ASAssetInfo($A56,"Proxy 3 Start Date")</f>
        <v/>
      </c>
      <c r="FW56" s="14" t="str" cm="1">
        <f t="array" ref="FW56">_xll.ASAssetInfo($A56,"Proxy 3 End Date")</f>
        <v/>
      </c>
      <c r="FX56" s="14" t="str" cm="1">
        <f t="array" ref="FX56">_xll.ASAssetInfo($A56,"Fund Domicile")</f>
        <v/>
      </c>
      <c r="FY56" s="14" t="str" cm="1">
        <f t="array" ref="FY56">_xll.ASAssetInfo($A56,"Fund Contact")</f>
        <v/>
      </c>
      <c r="FZ56" s="14" t="str" cm="1">
        <f t="array" ref="FZ56">_xll.ASAssetInfo($A56,"Fund Contact Email")</f>
        <v/>
      </c>
      <c r="GA56" s="14" t="str" cm="1">
        <f t="array" ref="GA56">_xll.ASAssetInfo($A56,"Fund Contact Number")</f>
        <v/>
      </c>
      <c r="GB56" s="14" t="str" cm="1">
        <f t="array" ref="GB56">_xll.ASAssetInfo($A56,"City")</f>
        <v/>
      </c>
      <c r="GC56" s="14" t="str" cm="1">
        <f t="array" ref="GC56">_xll.ASAssetInfo($A56,"Leverage")</f>
        <v/>
      </c>
      <c r="GD56" s="14" t="str" cm="1">
        <f t="array" ref="GD56">_xll.ASAssetInfo($A56,"Lockup 1 Duration")</f>
        <v>0 Months</v>
      </c>
      <c r="GE56" s="14" t="str" cm="1">
        <f t="array" ref="GE56">_xll.ASAssetInfo($A56,"Lockup 2 Duration")</f>
        <v>0 Months</v>
      </c>
      <c r="GF56" s="14" t="str" cm="1">
        <f t="array" ref="GF56">_xll.ASAssetInfo($A56,"Lockup 3 Duration")</f>
        <v>0 Months</v>
      </c>
      <c r="GG56" s="31" t="str" cm="1">
        <f t="array" ref="GG56">_xll.ASAssetInfo($A56,"Fund Level Gate")</f>
        <v/>
      </c>
      <c r="GH56" s="31" t="str" cm="1">
        <f t="array" ref="GH56">_xll.ASAssetInfo($A56,"Fund Level Gate Frequency")</f>
        <v>Unknown</v>
      </c>
      <c r="GI56" s="35" cm="1">
        <f t="array" ref="GI56">_xll.ASAssetInfo($A56,"Payment 2 (%)")</f>
        <v>0</v>
      </c>
      <c r="GJ56" s="35" t="str" cm="1">
        <f t="array" ref="GJ56">_xll.ASAssetInfo($A56,"Payment 2 (days)")</f>
        <v/>
      </c>
      <c r="GK56" s="35" t="str" cm="1">
        <f t="array" ref="GK56">_xll.ASAssetInfo($A56,"Payment 2 (Paid After)")</f>
        <v>NAV Date</v>
      </c>
      <c r="GL56" s="35" cm="1">
        <f t="array" ref="GL56">_xll.ASAssetInfo($A56,"Payment 3 (%)")</f>
        <v>0</v>
      </c>
      <c r="GM56" s="36" t="str" cm="1">
        <f t="array" ref="GM56">_xll.ASAssetInfo($A56,"Payment 3 (Days)")</f>
        <v/>
      </c>
      <c r="GN56" s="35" t="str" cm="1">
        <f t="array" ref="GN56">_xll.ASAssetInfo($A56,"Payment 3 (Paid After)")</f>
        <v>NAV Date</v>
      </c>
      <c r="GO56" s="35" cm="1">
        <f t="array" ref="GO56">_xll.ASAssetInfo($A56,"Payment 4 (%)")</f>
        <v>0</v>
      </c>
      <c r="GP56" s="36" t="str" cm="1">
        <f t="array" ref="GP56">_xll.ASAssetInfo($A56,"Payment 4 (days)")</f>
        <v/>
      </c>
      <c r="GQ56" s="35" t="str" cm="1">
        <f t="array" ref="GQ56">_xll.ASAssetInfo($A56,"Payment 4 (Paid After)")</f>
        <v>NAV Date</v>
      </c>
      <c r="GR56" s="11" cm="1">
        <f t="array" ref="GR56">_xll.ASAssetInfo($A56,"Payment 1 (%)")</f>
        <v>1</v>
      </c>
      <c r="GS56" s="35" cm="1">
        <f t="array" ref="GS56">_xll.ASAssetInfo($A56,"Lockup 1 Fee")</f>
        <v>0</v>
      </c>
      <c r="GT56" s="35" cm="1">
        <f t="array" ref="GT56">_xll.ASAssetInfo($A56,"Lockup 2 Fee")</f>
        <v>0</v>
      </c>
      <c r="GU56" s="35" cm="1">
        <f t="array" ref="GU56">_xll.ASAssetInfo($A56,"Lockup 3 Fee")</f>
        <v>0</v>
      </c>
      <c r="GV56" s="35" t="str" cm="1">
        <f t="array" ref="GV56">_xll.ASAssetInfo($A56,"Lockup 1 type")</f>
        <v>None</v>
      </c>
      <c r="GW56" s="35" t="str" cm="1">
        <f t="array" ref="GW56">_xll.ASAssetInfo($A56,"Lockup 2 type")</f>
        <v>None</v>
      </c>
      <c r="GX56" s="35" t="str" cm="1">
        <f t="array" ref="GX56">_xll.ASAssetInfo($A56,"Lockup 3 type")</f>
        <v>None</v>
      </c>
      <c r="GY56" s="35" t="str" cm="1">
        <f t="array" ref="GY56">_xll.ASAssetInfo($A56,"Redemption 1 type")</f>
        <v>Calendar</v>
      </c>
      <c r="GZ56" s="35" t="str" cm="1">
        <f t="array" ref="GZ56">_xll.ASAssetInfo($A56,"Redemption 2 type")</f>
        <v>Calendar</v>
      </c>
      <c r="HA56" s="35" t="str" cm="1">
        <f t="array" ref="HA56">_xll.ASAssetInfo($A56,"Redemption 3 type")</f>
        <v>Calendar</v>
      </c>
      <c r="HB56" s="35" t="str" cm="1">
        <f t="array" ref="HB56">_xll.ASAssetInfo($A56,"Redemption 1 Fee")</f>
        <v/>
      </c>
      <c r="HC56" s="35" t="str" cm="1">
        <f t="array" ref="HC56">_xll.ASAssetInfo($A56,"Redemption 2 Fee")</f>
        <v/>
      </c>
      <c r="HD56" s="35" t="str" cm="1">
        <f t="array" ref="HD56">_xll.ASAssetInfo($A56,"Redemption 3 Fee")</f>
        <v/>
      </c>
      <c r="HE56" s="35" t="str" cm="1">
        <f t="array" ref="HE56">_xll.ASAssetInfo($A56,"Redemption 1 Frequency")</f>
        <v>Unknown</v>
      </c>
      <c r="HF56" s="35" t="str" cm="1">
        <f t="array" ref="HF56">_xll.ASAssetInfo($A56,"Redemption 2 Frequency")</f>
        <v>Unknown</v>
      </c>
      <c r="HG56" s="35" t="str" cm="1">
        <f t="array" ref="HG56">_xll.ASAssetInfo($A56,"Redemption 3 Frequency")</f>
        <v>Unknown</v>
      </c>
      <c r="HH56" s="35" t="str" cm="1">
        <f t="array" ref="HH56">_xll.ASAssetInfo($A56,"Asset Calendar")</f>
        <v>[Default]</v>
      </c>
      <c r="HI56" s="16" cm="1">
        <f t="array" ref="HI56">_xll.ASAssetStatistic($A56,"Max Second Drawdown",,,,"m",'PBA Summary'!$F$2,'PBA Summary'!$G$2)</f>
        <v>-6.5514331891114441E-4</v>
      </c>
      <c r="HJ56" s="37" cm="1">
        <f t="array" ref="HJ56">_xll.ASAssetStatistic($A56,"Date Max Second Drawdown",,,,"m",'PBA Summary'!$F$2,'PBA Summary'!$G$2)</f>
        <v>43585</v>
      </c>
      <c r="HK56" s="37"/>
      <c r="HL56" s="37" t="str" cm="1">
        <f t="array" ref="HL56">_xll.ASAssetInfo($A56,HL$1)</f>
        <v/>
      </c>
      <c r="HM56" s="34" t="str" cm="1">
        <f t="array" ref="HM56">_xll.ASAssetInfo($A56,HM$1)</f>
        <v/>
      </c>
      <c r="HN56" s="37" t="str" cm="1">
        <f t="array" ref="HN56">_xll.ASAssetInfo($A56,HN$1)</f>
        <v/>
      </c>
      <c r="HO56" s="15" cm="1">
        <f t="array" ref="HO56">_xll.ASAssetInfo($A56,HO$1)</f>
        <v>0</v>
      </c>
      <c r="HP56" s="15" t="str" cm="1">
        <f t="array" ref="HP56">_xll.ASAssetInfo($A56,HP$1)</f>
        <v/>
      </c>
      <c r="HQ56" s="34" t="str" cm="1">
        <f t="array" ref="HQ56">_xll.ASAssetInfo($A56,HQ$1)</f>
        <v/>
      </c>
      <c r="HR56" s="37" t="str" cm="1">
        <f t="array" ref="HR56">_xll.ASAssetInfo($A56,HR$1)</f>
        <v/>
      </c>
      <c r="HS56" s="37" t="str" cm="1">
        <f t="array" ref="HS56">_xll.ASAssetInfo($A56,HS$1)</f>
        <v/>
      </c>
      <c r="HT56" s="37" t="str" cm="1">
        <f t="array" ref="HT56">_xll.ASAssetInfo($A56,HT$1)</f>
        <v/>
      </c>
      <c r="HU56" s="37" t="str" cm="1">
        <f t="array" ref="HU56">_xll.ASAssetInfo($A56,HU$1)</f>
        <v>U.S.</v>
      </c>
      <c r="HV56" s="37" t="str" cm="1">
        <f t="array" ref="HV56">_xll.ASAssetInfo($A56,HV$1)</f>
        <v/>
      </c>
      <c r="HW56" s="37" t="str" cm="1">
        <f t="array" ref="HW56">_xll.ASAssetInfo($A56,HW$1)</f>
        <v/>
      </c>
    </row>
    <row r="57" spans="1:231" s="11" customFormat="1" ht="120" x14ac:dyDescent="0.25">
      <c r="A57" t="s">
        <v>312</v>
      </c>
      <c r="B57" cm="1">
        <f t="array" ref="B57">_xll.ASPortfolioWeights('PBA Summary'!$C$2,"OR",$A57)</f>
        <v>0</v>
      </c>
      <c r="C57" cm="1">
        <f t="array" ref="C57">_xll.ASAssetStatistic($A57,"Annualized Return since inception",,,,"m",_xll.ASAssetInfo($A57,"Start Date"),_xll.ASAssetInfo($A57,"Last Return Date"))</f>
        <v>0.18139472466266282</v>
      </c>
      <c r="D57" cm="1">
        <f t="array" ref="D57">_xll.ASAssetStatistic($A57,"Annualized Return",,,,"m",'PBA Summary'!$F$2,'PBA Summary'!$G$2)</f>
        <v>9.2103014312822529E-2</v>
      </c>
      <c r="E57" s="19" cm="1">
        <f t="array" ref="E57">_xll.ASAssetStatistic($A57,"Equilibrium Annual Return",,,,"m",'PBA Summary'!$F$2,'PBA Summary'!$G$2)</f>
        <v>8.0077787351930496E-2</v>
      </c>
      <c r="F57" cm="1">
        <f t="array" ref="F57">_xll.ASAssetStatistic($A57,"Annualized Volatility (Inception)",,,,"m",_xll.ASAssetInfo($A57,"Start Date"),_xll.ASAssetInfo($A57,"Last Return Date"))</f>
        <v>0.21716075067758039</v>
      </c>
      <c r="G57" cm="1">
        <f t="array" ref="G57">_xll.ASAssetStatistic($A57,"Annualized Volatility",,,,"m",'PBA Summary'!$F$2,'PBA Summary'!$G$2)</f>
        <v>0.25504559229266399</v>
      </c>
      <c r="H57" s="20" cm="1">
        <f t="array" ref="H57">_xll.ASAssetStatistic($A57,"Skewness",,,,"m",'PBA Summary'!$F$2,'PBA Summary'!$G$2)</f>
        <v>0.63718765400535082</v>
      </c>
      <c r="I57" s="20" cm="1">
        <f t="array" ref="I57">_xll.ASAssetStatistic($A57,"Excess kurtosis",,,,"m",'PBA Summary'!$F$2,'PBA Summary'!$G$2)</f>
        <v>-0.42995759201845263</v>
      </c>
      <c r="J57" s="19" cm="1">
        <f t="array" ref="J57">_xll.ASAssetStatistic($A57,"Return Last 1 month",,,,"m",'PBA Summary'!$F$2,'PBA Summary'!$G$2)</f>
        <v>-5.0423555058652814E-2</v>
      </c>
      <c r="K57" s="19" cm="1">
        <f t="array" ref="K57">_xll.ASAssetStatistic($A57,"Return Last 3 months",,,,"m",'PBA Summary'!$F$2,'PBA Summary'!$G$2)</f>
        <v>5.0773257049600007E-2</v>
      </c>
      <c r="L57" s="19" cm="1">
        <f t="array" ref="L57">_xll.ASAssetStatistic($A57,"Return Last 1 year",,,,"m",'PBA Summary'!$F$2,'PBA Summary'!$G$2)</f>
        <v>3.9588916208523894E-2</v>
      </c>
      <c r="M57" s="19" cm="1">
        <f t="array" ref="M57">_xll.ASAssetStatistic($A57,"Year-to-date Return",,,,"m",'PBA Summary'!$F$2,'PBA Summary'!$G$2)</f>
        <v>-5.0423555058652814E-2</v>
      </c>
      <c r="N57" s="19" cm="1">
        <f t="array" ref="N57">_xll.ASAssetStatistic($A57,"Annualized Return",,,,"m",EOMONTH('PBA Summary'!$G$2,-2),'PBA Summary'!$G$2)</f>
        <v>0.21909077399396826</v>
      </c>
      <c r="O57" s="19" t="str" cm="1">
        <f t="array" ref="O57">_xll.ASAssetStatistic($A57,"Annualized Return Last 3 years",,,,"m",'PBA Summary'!$F$2,'PBA Summary'!$G$2)</f>
        <v/>
      </c>
      <c r="P57" s="19" t="str" cm="1">
        <f t="array" ref="P57">_xll.ASAssetStatistic($A57,"Annualized Return Last 5 years",,,,"m",'PBA Summary'!$F$2,'PBA Summary'!$G$2)</f>
        <v/>
      </c>
      <c r="Q57" s="19" cm="1">
        <f t="array" ref="Q57">_xll.ASAssetStatistic($A57,"Annualized Volatility Last 1 year",,,,"m",'PBA Summary'!$F$2,'PBA Summary'!$G$2)</f>
        <v>0.21088463970698956</v>
      </c>
      <c r="R57" s="19" t="str" cm="1">
        <f t="array" ref="R57">_xll.ASAssetStatistic($A57,"Annualized Volatility Last 3 years",,,,"m",'PBA Summary'!$F$2,'PBA Summary'!$G$2)</f>
        <v/>
      </c>
      <c r="S57" s="19" t="str" cm="1">
        <f t="array" ref="S57">_xll.ASAssetStatistic($A57,"Annualized Volatility Last 5 years",,,,"m",'PBA Summary'!$F$2,'PBA Summary'!$G$2)</f>
        <v/>
      </c>
      <c r="T57" s="19" cm="1">
        <f t="array" ref="T57">_xll.ASAssetStatistic($A57,"Normal monthly VaR 99%",,,,"m",'PBA Summary'!$F$2,'PBA Summary'!$G$2)</f>
        <v>-0.16146037405765878</v>
      </c>
      <c r="U57" s="19" cm="1">
        <f t="array" ref="U57">_xll.ASAssetStatistic($A57,"Modified monthly VaR 99%",,,,"m",'PBA Summary'!$F$2,'PBA Summary'!$G$2)</f>
        <v>-0.10831400298637199</v>
      </c>
      <c r="V57" s="19" cm="1">
        <f t="array" ref="V57">_xll.ASAssetStatistic($A57,"Conditional monthly VaR 99%",,,,"m",'PBA Summary'!$F$2,'PBA Summary'!$G$2)</f>
        <v>-0.10487694479697696</v>
      </c>
      <c r="W57" s="19" cm="1">
        <f t="array" ref="W57">_xll.ASAssetStatistic($A57,"Normal monthly VaR 97%",,,,"m",'PBA Summary'!$F$2,'PBA Summary'!$G$2)</f>
        <v>-0.12865629834990425</v>
      </c>
      <c r="X57" s="19" cm="1">
        <f t="array" ref="X57">_xll.ASAssetStatistic($A57,"Modified monthly VaR 97%",,,,"m",'PBA Summary'!$F$2,'PBA Summary'!$G$2)</f>
        <v>-0.10424354470320583</v>
      </c>
      <c r="Y57" s="19" cm="1">
        <f t="array" ref="Y57">_xll.ASAssetStatistic($A57,"Conditional monthly VaR 97%",,,,"m",'PBA Summary'!$F$2,'PBA Summary'!$G$2)</f>
        <v>-0.10487694479697696</v>
      </c>
      <c r="Z57" s="19" cm="1">
        <f t="array" ref="Z57">_xll.ASAssetStatistic($A57,"Normal monthly VaR 95%",,,,"m",'PBA Summary'!$F$2,'PBA Summary'!$G$2)</f>
        <v>-0.11128514157215352</v>
      </c>
      <c r="AA57" s="19" cm="1">
        <f t="array" ref="AA57">_xll.ASAssetStatistic($A57,"Modified monthly VaR 95%",,,,"m",'PBA Summary'!$F$2,'PBA Summary'!$G$2)</f>
        <v>-9.8027115304581622E-2</v>
      </c>
      <c r="AB57" s="19" cm="1">
        <f t="array" ref="AB57">_xll.ASAssetStatistic($A57,"Conditional monthly VaR 95%",,,,"m",'PBA Summary'!$F$2,'PBA Summary'!$G$2)</f>
        <v>-0.10487694479697696</v>
      </c>
      <c r="AC57" s="66" cm="1">
        <f t="array" ref="AC57">_xll.ASAssetStatistic($A57,"Correlation to Benchmark 1","MSCI ACWI Index",,,"m",'PBA Summary'!$F$2,'PBA Summary'!$G$2)</f>
        <v>0.77614178357103836</v>
      </c>
      <c r="AD57" s="38" cm="1">
        <f t="array" ref="AD57">IF('PBA Summary'!$D$3="","",_xll.ASAssetStatistic($A57,"Correlation to Benchmark 1",'PBA Summary'!$D$3,,,"m",'PBA Summary'!$F$2,'PBA Summary'!$G$2))</f>
        <v>0.76879450920288417</v>
      </c>
      <c r="AE57" s="21" cm="1">
        <f t="array" ref="AE57">IF('PBA Summary'!$D$2="","",_xll.ASAssetStatistic($A57,"Bull correlation to Benchmark 1",'PBA Summary'!$D$2,,,"m",'PBA Summary'!$F$2,'PBA Summary'!$G$2))</f>
        <v>0.70785265879433357</v>
      </c>
      <c r="AF57" s="21" cm="1">
        <f t="array" ref="AF57">IF('PBA Summary'!$D$2="","",_xll.ASAssetStatistic($A57,"Bear correlation to Benchmark 1",'PBA Summary'!$D$2,,,"m",'PBA Summary'!$F$2,'PBA Summary'!$G$2))</f>
        <v>0.80790375993737396</v>
      </c>
      <c r="AG57" s="21" cm="1">
        <f t="array" ref="AG57">IF('PBA Summary'!$D$3="","",_xll.ASAssetStatistic($A57,"Bull correlation to Benchmark 1",'PBA Summary'!$D$3,,,"m",'PBA Summary'!$F$2,'PBA Summary'!$G$2))</f>
        <v>0.70785265879433357</v>
      </c>
      <c r="AH57" s="21" cm="1">
        <f t="array" ref="AH57">IF('PBA Summary'!$D$3="","",_xll.ASAssetStatistic($A57,"Bear correlation to Benchmark 1",'PBA Summary'!$D$3,,,"m",'PBA Summary'!$F$2,'PBA Summary'!$G$2))</f>
        <v>0.80790375993737396</v>
      </c>
      <c r="AI57" s="24" cm="1">
        <f t="array" ref="AI57">IF('PBA Summary'!$D$2="","",_xll.ASAssetStatistic($A57,"Beta to Benchmark 1",'PBA Summary'!$D$2,,,"m",'PBA Summary'!$F$2,'PBA Summary'!$G$2))</f>
        <v>1.2771791727151383</v>
      </c>
      <c r="AJ57" s="24" t="str" cm="1">
        <f t="array" ref="AJ57">IF('PBA Summary'!$D$2="","",_xll.ASAssetStatistic($A57,"Beta to Benchmark 1 Last 3 years",'PBA Summary'!$D$2,,,"m",'PBA Summary'!$F$2,'PBA Summary'!$G$2))</f>
        <v/>
      </c>
      <c r="AK57" s="24" t="str" cm="1">
        <f t="array" ref="AK57">IF('PBA Summary'!$D$2="","",_xll.ASAssetStatistic($A57,"Beta to Benchmark 1 Last 5 years",'PBA Summary'!$D$2,,,"m",'PBA Summary'!$F$2,'PBA Summary'!$G$2))</f>
        <v/>
      </c>
      <c r="AL57" s="25" cm="1">
        <f t="array" ref="AL57">IF('PBA Summary'!$D$3="","",_xll.ASAssetStatistic($A57,"Beta to Benchmark 1",'PBA Summary'!$D$3,,,"m",'PBA Summary'!$F$2,'PBA Summary'!$G$2))</f>
        <v>1.2771791727151383</v>
      </c>
      <c r="AM57" s="25" t="str" cm="1">
        <f t="array" ref="AM57">IF('PBA Summary'!$D$3="","",_xll.ASAssetStatistic($A57,"Beta to Benchmark 1 Last 3 years",'PBA Summary'!$D$3,,,"m",'PBA Summary'!$F$2,'PBA Summary'!$G$2))</f>
        <v/>
      </c>
      <c r="AN57" s="25" t="str" cm="1">
        <f t="array" ref="AN57">IF('PBA Summary'!$D$3="","",_xll.ASAssetStatistic($A57,"Beta to Benchmark 1 Last 5 years",'PBA Summary'!$D$3,,,"m",'PBA Summary'!$F$2,'PBA Summary'!$G$2))</f>
        <v/>
      </c>
      <c r="AO57" s="25" cm="1">
        <f t="array" ref="AO57">IF('PBA Summary'!$D$2="","",_xll.ASAssetStatistic($A57,"Bull Beta to Benchmark 1",'PBA Summary'!$D$2,,,"m",'PBA Summary'!$F$2,'PBA Summary'!$G$2))</f>
        <v>2.2392987899526799</v>
      </c>
      <c r="AP57" s="25" cm="1">
        <f t="array" ref="AP57">IF('PBA Summary'!$D$2="","",_xll.ASAssetStatistic($A57,"Bear Beta to Benchmark 1",'PBA Summary'!$D$2,,,"m",'PBA Summary'!$F$2,'PBA Summary'!$G$2))</f>
        <v>0.65105814629824987</v>
      </c>
      <c r="AQ57" s="25" cm="1">
        <f t="array" ref="AQ57">IF('PBA Summary'!$D$3="","",_xll.ASAssetStatistic($A57,"Bull Beta to Benchmark 1",'PBA Summary'!$D$3,,,"m",'PBA Summary'!$F$2,'PBA Summary'!$G$2))</f>
        <v>2.2392987899526799</v>
      </c>
      <c r="AR57" s="25" cm="1">
        <f t="array" ref="AR57">IF('PBA Summary'!$D$3="","",_xll.ASAssetStatistic($A57,"Bear Beta to Benchmark 1",'PBA Summary'!$D$3,,,"m",'PBA Summary'!$F$2,'PBA Summary'!$G$2))</f>
        <v>0.65105814629824987</v>
      </c>
      <c r="AS57" s="25" cm="1">
        <f t="array" ref="AS57">_xll.ASAssetStatistic($A57,"Annual Sharpe Ratio (Rf)",,,'PBA Summary'!$H$2,"m",'PBA Summary'!$F$2,'PBA Summary'!$G$2)</f>
        <v>0.35132155591225961</v>
      </c>
      <c r="AT57" s="25" t="str" cm="1">
        <f t="array" ref="AT57">_xll.ASAssetStatistic($A57,"Annual Sharpe Ratio (Rf) Last 3 years",,,'PBA Summary'!$H$2,"m",'PBA Summary'!$F$2,'PBA Summary'!$G$2)</f>
        <v/>
      </c>
      <c r="AU57" s="25" t="str" cm="1">
        <f t="array" ref="AU57">_xll.ASAssetStatistic($A57,"Annual Sharpe Ratio (Rf) Last 5 years",,,'PBA Summary'!$H$2,"m",'PBA Summary'!$F$2,'PBA Summary'!$G$2)</f>
        <v/>
      </c>
      <c r="AV57" s="18" cm="1">
        <f t="array" ref="AV57">_xll.ASAssetStatistic($A57,"Ann. Downside Deviation (vs 0%)",,,'PBA Summary'!$H$2,"m",'PBA Summary'!$F$2,'PBA Summary'!$G$2)</f>
        <v>0.13040684900214902</v>
      </c>
      <c r="AW57" s="18" cm="1">
        <f t="array" ref="AW57">_xll.ASAssetStatistic($A57,"Ann. Downside Deviation (vs Rf)",,,'PBA Summary'!$H$2,"m",'PBA Summary'!$F$2,'PBA Summary'!$G$2)</f>
        <v>0.1308681496032108</v>
      </c>
      <c r="AX57" s="39" cm="1">
        <f t="array" ref="AX57">_xll.ASAssetStatistic($A57,"Annual Treynor ratio",,,'PBA Summary'!$H$2,"m",'PBA Summary'!$F$2,'PBA Summary'!$G$2)</f>
        <v>8.9437843954359039E-2</v>
      </c>
      <c r="AY57" s="26" cm="1">
        <f t="array" ref="AY57">_xll.ASAssetStatistic($A57,"Annual Sortino Ratio (vs 0%)",,,'PBA Summary'!$H$2,"m",'PBA Summary'!$F$2,'PBA Summary'!$G$2)</f>
        <v>0.70627436378977859</v>
      </c>
      <c r="AZ57" s="26" cm="1">
        <f t="array" ref="AZ57">_xll.ASAssetStatistic($A57,"Annual Sortino Ratio (vs Rf)",,,'PBA Summary'!$H$2,"m",'PBA Summary'!$F$2,'PBA Summary'!$G$2)</f>
        <v>0.684681601936734</v>
      </c>
      <c r="BA57" s="26" cm="1">
        <f t="array" ref="BA57">_xll.ASAssetStatistic($A57,"Sterling ratio",,,'PBA Summary'!$H$2,"m",'PBA Summary'!$F$2,'PBA Summary'!$G$2)</f>
        <v>0.44998352212073001</v>
      </c>
      <c r="BB57" s="26" cm="1">
        <f t="array" ref="BB57">_xll.ASAssetStatistic($A57,"Calmar ratio",,,'PBA Summary'!$H$2,"m",'PBA Summary'!$F$2,'PBA Summary'!$G$2)</f>
        <v>0.8782007760725441</v>
      </c>
      <c r="BC57" s="26" cm="1">
        <f t="array" ref="BC57">_xll.ASAssetStatistic($A57,"Hurst index",,,'PBA Summary'!$H$2,"m",'PBA Summary'!$F$2,'PBA Summary'!$G$2)</f>
        <v>0.30815804290034188</v>
      </c>
      <c r="BD57" s="26" cm="1">
        <f t="array" ref="BD57">_xll.ASAssetStatistic($A57,"Omega (Threshold 1)",,,'PBA Summary'!$H$2,"m",'PBA Summary'!$F$2,'PBA Summary'!$G$2)</f>
        <v>1.4078751029332306</v>
      </c>
      <c r="BE57" s="26" cm="1">
        <f t="array" ref="BE57">_xll.ASAssetStatistic($A57,"Omega (Threshold 2)",,,'PBA Summary'!$H$2,"m",'PBA Summary'!$F$2,'PBA Summary'!$G$2)</f>
        <v>1.1779702787992501</v>
      </c>
      <c r="BF57" s="26" cm="1">
        <f t="array" ref="BF57">_xll.ASAssetStatistic($A57,"Omega (Threshold 3)",,,'PBA Summary'!$H$2,"m",'PBA Summary'!$F$2,'PBA Summary'!$G$2)</f>
        <v>0.99393870536571993</v>
      </c>
      <c r="BG57" s="26" cm="1">
        <f t="array" ref="BG57">_xll.ASAssetStatistic($A57,"Omega (Threshold 4)",,,'PBA Summary'!$H$2,"m",'PBA Summary'!$F$2,'PBA Summary'!$G$2)</f>
        <v>0.84329614517403162</v>
      </c>
      <c r="BH57" s="26" cm="1">
        <f t="array" ref="BH57">_xll.ASAssetStatistic($A57,"Omega (Threshold 5)",,,'PBA Summary'!$H$2,"m",'PBA Summary'!$F$2,'PBA Summary'!$G$2)</f>
        <v>0.71858849066022623</v>
      </c>
      <c r="BI57" s="26" t="str" cm="1">
        <f t="array" ref="BI57">_xll.ASAssetStatistic($A57,"Autocorrelated (illiquid)",,,'PBA Summary'!$H$2,"m",'PBA Summary'!$F$2,'PBA Summary'!$G$2)</f>
        <v>No</v>
      </c>
      <c r="BJ57" s="27" cm="1">
        <f t="array" ref="BJ57">_xll.ASAssetStatistic($A57,"% months in Run Up",,,'PBA Summary'!$H$2,"m",'PBA Summary'!$F$2,'PBA Summary'!$G$2)</f>
        <v>0.6</v>
      </c>
      <c r="BK57" s="27" cm="1">
        <f t="array" ref="BK57">_xll.ASAssetStatistic($A57,"% months in Drawdown",,,'PBA Summary'!$H$2,"m",'PBA Summary'!$F$2,'PBA Summary'!$G$2)</f>
        <v>0.4</v>
      </c>
      <c r="BL57" s="18" cm="1">
        <f t="array" ref="BL57">IF('PBA Summary'!$D$2="","",_xll.ASAssetStatistic($A57,"Bull Beta to Benchmark 1",'PBA Summary'!$D$2,,,"m",'PBA Summary'!$F$2,'PBA Summary'!$G$2))</f>
        <v>2.2392987899526799</v>
      </c>
      <c r="BM57" s="18" cm="1">
        <f t="array" ref="BM57">IF('PBA Summary'!$D$2="","",_xll.ASAssetStatistic($A57,"Average return during bear Benchmark 1",'PBA Summary'!$D$2,,,"m",'PBA Summary'!$F$2,'PBA Summary'!$G$2))</f>
        <v>-5.8718357179097486E-2</v>
      </c>
      <c r="BN57" s="18" cm="1">
        <f t="array" ref="BN57">IF('PBA Summary'!$D$3="","",_xll.ASAssetStatistic($A57,"Average return during bull Benchmark 1",'PBA Summary'!$D$3,,,"m",'PBA Summary'!$F$2,'PBA Summary'!$G$2))</f>
        <v>3.473994923136825E-2</v>
      </c>
      <c r="BO57" s="18" cm="1">
        <f t="array" ref="BO57">IF('PBA Summary'!$D$3="","",_xll.ASAssetStatistic($A57,"Average return during bear Benchmark 1",'PBA Summary'!$D$3,,,"m",'PBA Summary'!$F$2,'PBA Summary'!$G$2))</f>
        <v>-5.8718357179097486E-2</v>
      </c>
      <c r="BP57" s="27" cm="1">
        <f t="array" ref="BP57">_xll.ASAssetStatistic($A57,"Maximum consecutive gain",,,'PBA Summary'!$H$2,"m",'PBA Summary'!$F$2,'PBA Summary'!$G$2)</f>
        <v>0.19766115989581445</v>
      </c>
      <c r="BQ57" s="27" cm="1">
        <f t="array" ref="BQ57">_xll.ASAssetStatistic($A57,"Maximum consecutive loss",,,'PBA Summary'!$H$2,"m",'PBA Summary'!$F$2,'PBA Summary'!$G$2)</f>
        <v>-0.10487694479697696</v>
      </c>
      <c r="BR57" s="27" cm="1">
        <f t="array" ref="BR57">_xll.ASAssetStatistic($A57,"Max monthly gain",,,'PBA Summary'!$H$2,"m",'PBA Summary'!$F$2,'PBA Summary'!$G$2)</f>
        <v>0.15399166138270926</v>
      </c>
      <c r="BS57" s="27" cm="1">
        <f t="array" ref="BS57">_xll.ASAssetStatistic($A57,"Max monthly loss",,,'PBA Summary'!$H$2,"m",'PBA Summary'!$F$2,'PBA Summary'!$G$2)</f>
        <v>-0.10487694479697696</v>
      </c>
      <c r="BT57" s="27" cm="1">
        <f t="array" ref="BT57">_xll.ASAssetStatistic($A57,"Max drawdown",,,'PBA Summary'!$H$2,"m",'PBA Summary'!$F$2,'PBA Summary'!$G$2)</f>
        <v>-0.10487694479697696</v>
      </c>
      <c r="BU57" s="28" cm="1">
        <f t="array" ref="BU57">_xll.ASAssetStatistic($A57,"Date Max drawdown",,,'PBA Summary'!$H$2,"m",'PBA Summary'!$F$2,'PBA Summary'!$G$2)</f>
        <v>43465</v>
      </c>
      <c r="BV57" s="28" cm="1">
        <f t="array" ref="BV57">_xll.ASAssetStatistic($A57,"Start Date Max Drawdown",,,'PBA Summary'!$H$2,"m",'PBA Summary'!$F$2,'PBA Summary'!$G$2)</f>
        <v>43465</v>
      </c>
      <c r="BW57" s="28" cm="1">
        <f t="array" ref="BW57">_xll.ASAssetStatistic($A57,"End Date Max Drawdown",,,'PBA Summary'!$H$2,"m",'PBA Summary'!$F$2,'PBA Summary'!$G$2)</f>
        <v>43465</v>
      </c>
      <c r="BX57" s="29" cm="1">
        <f t="array" ref="BX57">_xll.ASAssetStatistic($A57,"Max Time-under-water (months)",,,'PBA Summary'!$H$2,"m",'PBA Summary'!$F$2,'PBA Summary'!$G$2)</f>
        <v>8</v>
      </c>
      <c r="BY57" s="27" cm="1">
        <f t="array" ref="BY57">_xll.ASAssetStatistic($A57,"Max possible drawdown 99%",,,'PBA Summary'!$H$2,"m",'PBA Summary'!$F$2,'PBA Summary'!$G$2)</f>
        <v>-0.7470203868052645</v>
      </c>
      <c r="BZ57" s="27" cm="1">
        <f t="array" ref="BZ57">_xll.ASAssetStatistic($A57,"Max possible drawdown 99.9%",,,'PBA Summary'!$H$2,"m",'PBA Summary'!$F$2,'PBA Summary'!$G$2)</f>
        <v>-1</v>
      </c>
      <c r="CA57" s="30" cm="1">
        <f t="array" ref="CA57">_xll.ASAssetStatistic($A57,"Max Possible Time-under-water 99% (months)",,,'PBA Summary'!$H$2,"m",'PBA Summary'!$F$2,'PBA Summary'!$G$2)</f>
        <v>304.3555152162902</v>
      </c>
      <c r="CB57" s="30" cm="1">
        <f t="array" ref="CB57">_xll.ASAssetStatistic($A57,"Max Possible Time-under-water 99.9% (months)",,,'PBA Summary'!$H$2,"m",'PBA Summary'!$F$2,'PBA Summary'!$G$2)</f>
        <v>537.04925270227272</v>
      </c>
      <c r="CC57" s="17" cm="1">
        <f t="array" ref="CC57">_xll.ASPortfolioReturnAttribution('PBA Summary'!$C$2,"OR",A57,"Last 1m",'PBA Summary'!$F$2,'PBA Summary'!$G$2)</f>
        <v>0</v>
      </c>
      <c r="CD57" s="11" t="str" cm="1">
        <f t="array" ref="CD57">_xll.ASAssetInfo($A57,"Strategy")</f>
        <v>Funds - Healthcare Index Long Only</v>
      </c>
      <c r="CE57" s="14" cm="1">
        <f t="array" ref="CE57">_xll.ASAssetInfo($A57,"Start Date")</f>
        <v>40899</v>
      </c>
      <c r="CF57" s="14" t="str" cm="1">
        <f t="array" ref="CF57">_xll.ASAssetRatings($A57,"Quantitative",0,0,0,0,0,'PBA Summary'!$F$2,'PBA Summary'!$G$2)</f>
        <v/>
      </c>
      <c r="CG57" s="14" t="str" cm="1">
        <f t="array" ref="CG57">_xll.ASAssetRatings($A57,"Qualitative",0,0,0,0,0,'PBA Summary'!$F$2,'PBA Summary'!$G$2)</f>
        <v/>
      </c>
      <c r="CH57" s="14" t="str" cm="1">
        <f t="array" ref="CH57">_xll.ASAssetRatings($A57,"Final",0,0,0,0,0,'PBA Summary'!$F$2,'PBA Summary'!$G$2)</f>
        <v/>
      </c>
      <c r="CI57" s="14" cm="1">
        <f t="array" ref="CI57">_xll.ASAssetInfo($A57,"Last Return Date")</f>
        <v>44134</v>
      </c>
      <c r="CJ57" s="14" t="str" cm="1">
        <f t="array" ref="CJ57">_xll.ASAssetInfo($A57,"Company Name")</f>
        <v>VanEck Vectors ETFs/USA</v>
      </c>
      <c r="CK57" s="14" t="str" cm="1">
        <f t="array" ref="CK57">_xll.ASAssetInfo($A57,"Manager Name")</f>
        <v>Liao Hao-Hung "Peter"</v>
      </c>
      <c r="CL57" s="14" t="str" cm="1">
        <f t="array" ref="CL57">_xll.ASAssetInfo($A57,"Address")</f>
        <v>VanEck Vectors ETF Trust. 666 Third Avenue. New York, NY 10017. USA</v>
      </c>
      <c r="CM57" s="14" t="str" cm="1">
        <f t="array" ref="CM57">_xll.ASAssetInfo($A57,"Phone Number")</f>
        <v>1-212-293-2000</v>
      </c>
      <c r="CN57" s="14" t="str" cm="1">
        <f t="array" ref="CN57">_xll.ASAssetInfo($A57,"Email")</f>
        <v/>
      </c>
      <c r="CO57" s="14" t="str" cm="1">
        <f t="array" ref="CO57">_xll.ASAssetInfo($A57,"Asset Type")</f>
        <v>Equities</v>
      </c>
      <c r="CP57" s="14" t="str" cm="1">
        <f t="array" ref="CP57">_xll.ASAssetInfo($A57,"Proprietary ID")</f>
        <v/>
      </c>
      <c r="CQ57" s="14" t="str" cm="1">
        <f t="array" ref="CQ57">_xll.ASAssetInfo($A57,"Country")</f>
        <v>United States of America</v>
      </c>
      <c r="CR57" s="14" t="str" cm="1">
        <f t="array" ref="CR57">_xll.ASAssetInfo($A57,"Currency")</f>
        <v>USD</v>
      </c>
      <c r="CS57" s="14" t="str" cm="1">
        <f t="array" ref="CS57">_xll.ASAssetInfo($A57,"Sub-Strategy")</f>
        <v/>
      </c>
      <c r="CT57" s="31" cm="1">
        <f t="array" ref="CT57">_xll.ASAssetInfo($A57,"Fund AUM (m)")</f>
        <v>492.30650000000003</v>
      </c>
      <c r="CU57" s="31" t="str" cm="1">
        <f t="array" ref="CU57">_xll.ASAssetInfo($A57,"Status")</f>
        <v>Unknown</v>
      </c>
      <c r="CV57" s="31" t="str" cm="1">
        <f t="array" ref="CV57">_xll.ASAssetInfo($A57,"Redemption 1 Frequency")</f>
        <v>Daily</v>
      </c>
      <c r="CW57" s="31" t="str" cm="1">
        <f t="array" ref="CW57">_xll.ASAssetInfo($A57,"Redemption 2 Frequency")</f>
        <v>Unknown</v>
      </c>
      <c r="CX57" s="31" t="str" cm="1">
        <f t="array" ref="CX57">_xll.ASAssetInfo($A57,"Redemption 3 Frequency")</f>
        <v>Unknown</v>
      </c>
      <c r="CY57" s="31" t="str" cm="1">
        <f t="array" ref="CY57">_xll.ASAssetInfo($A57,"Notice Period")</f>
        <v/>
      </c>
      <c r="CZ57" s="15" t="str" cm="1">
        <f t="array" ref="CZ57">_xll.ASAssetInfo($A57,"Performance Fee")</f>
        <v/>
      </c>
      <c r="DA57" s="15" cm="1">
        <f t="array" ref="DA57">_xll.ASAssetInfo($A57,"Management Fee")</f>
        <v>3.4999999999999996E-3</v>
      </c>
      <c r="DB57" s="15" t="str" cm="1">
        <f t="array" ref="DB57">_xll.ASAssetInfo($A57,"ISIN")</f>
        <v>US92189F7261</v>
      </c>
      <c r="DC57" s="16" cm="1">
        <f t="array" ref="DC57">_xll.ASAssetStatistic($A57,"Return during " &amp;YEAR(EOMONTH('PBA Summary'!$G$2,-60)),,,,"M",DATE(YEAR(EOMONTH('PBA Summary'!$G$2,-60)),1,31),DATE(YEAR(EOMONTH('PBA Summary'!$G$2,-60)),12,31))</f>
        <v>0.10326555430987683</v>
      </c>
      <c r="DD57" s="16" cm="1">
        <f t="array" ref="DD57">_xll.ASAssetStatistic($A57,"Return during " &amp;YEAR(EOMONTH('PBA Summary'!$G$2,-48)),,,,"M",DATE(YEAR(EOMONTH('PBA Summary'!$G$2,-48)),1,31),DATE(YEAR(EOMONTH('PBA Summary'!$G$2,-48)),12,31))</f>
        <v>-0.15007503869366201</v>
      </c>
      <c r="DE57" s="16" cm="1">
        <f t="array" ref="DE57">_xll.ASAssetStatistic($A57,"Return during " &amp;YEAR(EOMONTH('PBA Summary'!$G$2,-36)),,,,"M",DATE(YEAR(EOMONTH('PBA Summary'!$G$2,-36)),1,31),DATE(YEAR(EOMONTH('PBA Summary'!$G$2,-36)),12,31))</f>
        <v>0.16460644557516013</v>
      </c>
      <c r="DF57" s="16" cm="1">
        <f t="array" ref="DF57">_xll.ASAssetStatistic($A57,"Return during " &amp;YEAR(EOMONTH('PBA Summary'!$G$2,-24)),,,,"M",DATE(YEAR(EOMONTH('PBA Summary'!$G$2,-24)),1,31),DATE(YEAR(EOMONTH('PBA Summary'!$G$2,-24)),12,31))</f>
        <v>-0.10688829341289008</v>
      </c>
      <c r="DG57" s="16" cm="1">
        <f t="array" ref="DG57">_xll.ASAssetStatistic($A57,"Return during " &amp;YEAR(EOMONTH('PBA Summary'!$G$2,-12)),,,,"M",DATE(YEAR(EOMONTH('PBA Summary'!$G$2,-12)),1,31),DATE(YEAR(EOMONTH('PBA Summary'!$G$2,-12)),12,31))</f>
        <v>0.26338110739954779</v>
      </c>
      <c r="DH57" s="11" t="str" cm="1">
        <f t="array" ref="DH57">_xll.ASAssetInfo($A57,"Prime Broker")</f>
        <v/>
      </c>
      <c r="DI57" s="16" cm="1">
        <f t="array" ref="DI57">_xll.ASAssetStatistic($A57,"Return",,,,"m",'PBA Summary'!$F$2,'PBA Summary'!$G$2)</f>
        <v>0.11642488229442693</v>
      </c>
      <c r="DJ57" s="33" cm="1">
        <f t="array" ref="DJ57">IF('PBA Summary'!$D$2="","",_xll.ASAssetStatistic($A57,"Ann. Information Ratio vs Benchmark 1",'PBA Summary'!$D$2,,,"m",'PBA Summary'!$F$2,'PBA Summary'!$G$2))</f>
        <v>-0.47584901410261182</v>
      </c>
      <c r="DK57" s="33" cm="1">
        <f t="array" ref="DK57">IF('PBA Summary'!$D$3="","",_xll.ASAssetStatistic($A57,"Ann. Information Ratio vs Benchmark 1",'PBA Summary'!$D$3,,,"m",'PBA Summary'!$F$2,'PBA Summary'!$G$2))</f>
        <v>-0.47584901410261182</v>
      </c>
      <c r="DL57" s="33" cm="1">
        <f t="array" ref="DL57">IF('PBA Summary'!$D$2="","",_xll.ASAssetStatistic($A57,"Ann. Tracking Error vs Benchmark 1",'PBA Summary'!$D$2,,,"m",'PBA Summary'!$F$2,'PBA Summary'!$G$2))</f>
        <v>0.16856044151968849</v>
      </c>
      <c r="DM57" s="33" cm="1">
        <f t="array" ref="DM57">IF('PBA Summary'!$D$3="","",_xll.ASAssetStatistic($A57,"Ann. Tracking Error vs Benchmark 1",'PBA Summary'!$D$3,,,"m",'PBA Summary'!$F$2,'PBA Summary'!$G$2))</f>
        <v>0.16856044151968849</v>
      </c>
      <c r="DN57" s="33" cm="1">
        <f t="array" ref="DN57">IF('PBA Summary'!$D$2="","",_xll.ASAssetStatistic($A57,"R² vs Benchmark 1",'PBA Summary'!$D$2,,,"m",'PBA Summary'!$F$2,'PBA Summary'!$G$2))</f>
        <v>0.59104499738050353</v>
      </c>
      <c r="DO57" s="33" cm="1">
        <f t="array" ref="DO57">IF('PBA Summary'!$D$3="","",_xll.ASAssetStatistic($A57,"R² vs Benchmark 1",'PBA Summary'!$D$3,,,"m",'PBA Summary'!$F$2,'PBA Summary'!$G$2))</f>
        <v>0.59104499738050353</v>
      </c>
      <c r="DP57" s="11" t="str" cm="1">
        <f t="array" ref="DP57">_xll.ASAssetInfo($A57,"On-/Offshore")</f>
        <v>Unknown</v>
      </c>
      <c r="DQ57" s="16" cm="1">
        <f t="array" ref="DQ57">_xll.ASAssetStatistic($A57,"Quarter-to-date",,,,"m",'PBA Summary'!$F$2,'PBA Summary'!$G$2)</f>
        <v>-5.0423555058652814E-2</v>
      </c>
      <c r="DR57" s="16" cm="1">
        <f t="array" ref="DR57">_xll.ASAssetStatistic($A57,"Annualized Return Since inception",,,,"m",'PBA Summary'!$F$2,'PBA Summary'!$G$2)</f>
        <v>0.18139472466266282</v>
      </c>
      <c r="DS57" s="16" cm="1">
        <f t="array" ref="DS57">IF('PBA Summary'!$D$2="","",_xll.ASAssetStatistic($A57,"Ann. Bear Market Return vs Benchmark 1",'PBA Summary'!$D$2,,,"m",'PBA Summary'!$F$2,'PBA Summary'!$G$2))</f>
        <v>-0.51903387509898247</v>
      </c>
      <c r="DT57" s="16" cm="1">
        <f t="array" ref="DT57">IF('PBA Summary'!$D$2="","",_xll.ASAssetStatistic($A57,"Ann. Bull Market Return vs Benchmark 1",'PBA Summary'!$D$2,,,"m",'PBA Summary'!$F$2,'PBA Summary'!$G$2))</f>
        <v>0.47154102870701098</v>
      </c>
      <c r="DU57" s="16" cm="1">
        <f t="array" ref="DU57">IF('PBA Summary'!$D$3="","",_xll.ASAssetStatistic($A57,"Ann. Bear Market Return vs Benchmark 1",'PBA Summary'!$D$3,,,"m",'PBA Summary'!$F$2,'PBA Summary'!$G$2))</f>
        <v>-0.51903387509898247</v>
      </c>
      <c r="DV57" s="16" cm="1">
        <f t="array" ref="DV57">IF('PBA Summary'!$D$3="","",_xll.ASAssetStatistic($A57,"Ann. Bull Market Return vs Benchmark 1",'PBA Summary'!$D$3,,,"m",'PBA Summary'!$F$2,'PBA Summary'!$G$2))</f>
        <v>0.47154102870701098</v>
      </c>
      <c r="DW57" s="17" cm="1">
        <f t="array" ref="DW57">_xll.ASAssetStatistic($A57,"Average Positive Return",,,,"m",'PBA Summary'!$F$2,'PBA Summary'!$G$2)</f>
        <v>8.4720441575819705E-2</v>
      </c>
      <c r="DX57" s="17" cm="1">
        <f t="array" ref="DX57">_xll.ASAssetStatistic($A57,"Average Negative Return",,,,"m",'PBA Summary'!$F$2,'PBA Summary'!$G$2)</f>
        <v>-4.011740406958416E-2</v>
      </c>
      <c r="DY57" s="16" cm="1">
        <f t="array" ref="DY57">IF('PBA Summary'!$D$2="","",_xll.ASAssetStatistic($A57,"Outperformance vs Benchmark 1",'PBA Summary'!$D$2,,,"m",'PBA Summary'!$F$2,'PBA Summary'!$G$2))</f>
        <v>-0.10341876251429172</v>
      </c>
      <c r="DZ57" s="16" cm="1">
        <f t="array" ref="DZ57">IF('PBA Summary'!$D$3="","",_xll.ASAssetStatistic($A57,"Outperformance vs Benchmark 1",'PBA Summary'!$D$3,,,"m",'PBA Summary'!$F$2,'PBA Summary'!$G$2))</f>
        <v>-0.10341876251429172</v>
      </c>
      <c r="EA57" s="16" cm="1">
        <f t="array" ref="EA57">IF('PBA Summary'!$D$2="","",_xll.ASAssetStatistic($A57,"Annual Outperformance vs Benchmark 1",'PBA Summary'!$D$2,,,"m",'PBA Summary'!$F$2,'PBA Summary'!$G$2))</f>
        <v>-8.0209319913844723E-2</v>
      </c>
      <c r="EB57" s="16" cm="1">
        <f t="array" ref="EB57">IF('PBA Summary'!$D$3="","",_xll.ASAssetStatistic($A57,"Annual Outperformance vs Benchmark 1",'PBA Summary'!$D$3,,,"m",'PBA Summary'!$F$2,'PBA Summary'!$G$2))</f>
        <v>-8.0209319913844723E-2</v>
      </c>
      <c r="EC57" s="32" cm="1">
        <f t="array" ref="EC57">_xll.ASAssetStatistic($A57,"Rachev Ratio 99%",,,,"m",'PBA Summary'!$F$2,'PBA Summary'!$G$2)</f>
        <v>-1.4683080412078138</v>
      </c>
      <c r="ED57" s="32" cm="1">
        <f t="array" ref="ED57">_xll.ASAssetStatistic($A57,"Rachev Ratio 97%",,,,"m",'PBA Summary'!$F$2,'PBA Summary'!$G$2)</f>
        <v>-1.4683080412078138</v>
      </c>
      <c r="EE57" s="32" cm="1">
        <f t="array" ref="EE57">_xll.ASAssetStatistic($A57,"Rachev Ratio 95%",,,,"m",'PBA Summary'!$F$2,'PBA Summary'!$G$2)</f>
        <v>-1.4683080412078138</v>
      </c>
      <c r="EF57" s="32" cm="1">
        <f t="array" ref="EF57">_xll.ASAssetStatistic($A57,"Rachev Ratio 90%",,,,"m",'PBA Summary'!$F$2,'PBA Summary'!$G$2)</f>
        <v>-1.699117678504791</v>
      </c>
      <c r="EG57" s="34" cm="1">
        <f t="array" ref="EG57">IF('PBA Summary'!$D$2="","",_xll.ASAssetStatistic($A57,"Annual Up Capture vs Benchmark 1",'PBA Summary'!$D$2,,,"m",'PBA Summary'!$F$2,'PBA Summary'!$G$2))</f>
        <v>0.93151659586256197</v>
      </c>
      <c r="EH57" s="34" cm="1">
        <f t="array" ref="EH57">IF('PBA Summary'!$D$3="","",_xll.ASAssetStatistic($A57,"Annual Up Capture vs Benchmark 1",'PBA Summary'!$D$3,,,"m",'PBA Summary'!$F$2,'PBA Summary'!$G$2))</f>
        <v>0.93151659586256197</v>
      </c>
      <c r="EI57" s="34" cm="1">
        <f t="array" ref="EI57">IF('PBA Summary'!$D$2="","",_xll.ASAssetStatistic($A57,"Annual Down Capture vs Benchmark 1",'PBA Summary'!$D$2,,,"m",'PBA Summary'!$F$2,'PBA Summary'!$G$2))</f>
        <v>1.2612491324278414</v>
      </c>
      <c r="EJ57" s="34" cm="1">
        <f t="array" ref="EJ57">IF('PBA Summary'!$D$3="","",_xll.ASAssetStatistic($A57,"Annual Down Capture vs Benchmark 1",'PBA Summary'!$D$3,,,"m",'PBA Summary'!$F$2,'PBA Summary'!$G$2))</f>
        <v>1.2612491324278414</v>
      </c>
      <c r="EK57" s="16" cm="1">
        <f t="array" ref="EK57">IF('PBA Summary'!$D$2="","",_xll.ASAssetStatistic($A57,"Ann. Tracking Error vs Benchmark 1",'PBA Summary'!$D$2,,,"m",'PBA Summary'!$F$2,'PBA Summary'!$G$2))</f>
        <v>0.16856044151968849</v>
      </c>
      <c r="EL57" s="16" cm="1">
        <f t="array" ref="EL57">IF('PBA Summary'!$D$3="","",_xll.ASAssetStatistic($A57,"Ann. Tracking Error vs Benchmark 1",'PBA Summary'!$D$3,,,"m",'PBA Summary'!$F$2,'PBA Summary'!$G$2))</f>
        <v>0.16856044151968849</v>
      </c>
      <c r="EM57" s="16" cm="1">
        <f t="array" ref="EM57">IF('PBA Summary'!$D$2="","",_xll.ASAssetStatistic($A57,"Annual Jensen Alpha vs Benchmark 1 (Rf)",'PBA Summary'!$D$2,,,"m",'PBA Summary'!$F$2,'PBA Summary'!$G$2))</f>
        <v>-0.12727776223161891</v>
      </c>
      <c r="EN57" s="16" cm="1">
        <f t="array" ref="EN57">IF('PBA Summary'!$D$3="","",_xll.ASAssetStatistic($A57,"Annual Jensen Alpha vs Benchmark 1 (Rf)",'PBA Summary'!$D$3,,,"m",'PBA Summary'!$F$2,'PBA Summary'!$G$2))</f>
        <v>-0.12727776223161891</v>
      </c>
      <c r="EO57" s="33" cm="1">
        <f t="array" ref="EO57">IF('PBA Summary'!$D$2="","",_xll.ASAssetStatistic($A57,"Ann. Information Ratio vs Benchmark 1",'PBA Summary'!$D$2,,,"m",'PBA Summary'!$F$2,'PBA Summary'!$G$2))</f>
        <v>-0.47584901410261182</v>
      </c>
      <c r="EP57" s="33" cm="1">
        <f t="array" ref="EP57">IF('PBA Summary'!$D$3="","",_xll.ASAssetStatistic($A57,"Ann. Information Ratio vs Benchmark 1",'PBA Summary'!$D$3,,,"m",'PBA Summary'!$F$2,'PBA Summary'!$G$2))</f>
        <v>-0.47584901410261182</v>
      </c>
      <c r="EQ57" s="17" cm="1">
        <f t="array" ref="EQ57">IF('PBA Summary'!$D$2="","",_xll.ASAssetStatistic($A57,"Alpha Monthly vs Benchmark 1",'PBA Summary'!$D$2,,,"m",'PBA Summary'!$F$2,'PBA Summary'!$G$2))</f>
        <v>-8.4043901674669044E-3</v>
      </c>
      <c r="ER57" s="17" cm="1">
        <f t="array" ref="ER57">IF('PBA Summary'!$D$3="","",_xll.ASAssetStatistic($A57,"Alpha Monthly vs Benchmark 1",'PBA Summary'!$D$3,,,"m",'PBA Summary'!$F$2,'PBA Summary'!$G$2))</f>
        <v>-8.4043901674669044E-3</v>
      </c>
      <c r="ES57" s="11" t="str" cm="1">
        <f t="array" ref="ES57">_xll.ASAssetInfo($A57,"Company AUM (m)")</f>
        <v/>
      </c>
      <c r="ET57" s="16" cm="1">
        <f t="array" ref="ET57">_xll.ASAssetStatistic($A57,"Exponential Annualized Volatility",,,,"m",'PBA Summary'!$F$2,'PBA Summary'!$G$2)</f>
        <v>0.24341202613923876</v>
      </c>
      <c r="EU57" s="16" cm="1">
        <f t="array" ref="EU57">_xll.ASAssetStatistic($A57,"Exponential Annualized Volatility Last 1 year",,,,"m",'PBA Summary'!$F$2,'PBA Summary'!$G$2)</f>
        <v>0.22154648857439321</v>
      </c>
      <c r="EV57" s="16" t="str" cm="1">
        <f t="array" ref="EV57">_xll.ASAssetStatistic($A57,"Exponential Annualized Volatility Last 3 years",,,,"m",'PBA Summary'!$F$2,'PBA Summary'!$G$2)</f>
        <v/>
      </c>
      <c r="EW57" s="34" cm="1">
        <f t="array" ref="EW57">IF('PBA Summary'!$D$2="","",_xll.ASAssetStatistic($A57,"Exponential Correlation to Benchmark 1",'PBA Summary'!$D$2,,,"m",'PBA Summary'!$F$2,'PBA Summary'!$G$2))</f>
        <v>0.65130754843900673</v>
      </c>
      <c r="EX57" s="34" cm="1">
        <f t="array" ref="EX57">IF('PBA Summary'!$D$3="","",_xll.ASAssetStatistic($A57,"Exponential Correlation to Benchmark 1",'PBA Summary'!$D$3,,,"m",'PBA Summary'!$F$2,'PBA Summary'!$G$2))</f>
        <v>0.65130754843900673</v>
      </c>
      <c r="EY57" s="34" cm="1">
        <f t="array" ref="EY57">_xll.ASAssetStatistic($A57,"Exponential Annual Sharpe Ratio (Rf)",,,,"m",'PBA Summary'!$F$2,'PBA Summary'!$G$2)</f>
        <v>0.47345279528725043</v>
      </c>
      <c r="EZ57" s="34" cm="1">
        <f t="array" ref="EZ57">_xll.ASAssetStatistic($A57,"Exponential Normal Monthly VaR 99%",,,,"m",'PBA Summary'!$F$2,'PBA Summary'!$G$2)</f>
        <v>-0.15414629045788406</v>
      </c>
      <c r="FA57" s="34" cm="1">
        <f t="array" ref="FA57">_xll.ASAssetStatistic($A57,"Exponential Normal Monthly VaR 97%",,,,"m",'PBA Summary'!$F$2,'PBA Summary'!$G$2)</f>
        <v>-0.1228385291205038</v>
      </c>
      <c r="FB57" s="34" cm="1">
        <f t="array" ref="FB57">_xll.ASAssetStatistic($A57,"Exponential Normal Monthly VaR 95%",,,,"m",'PBA Summary'!$F$2,'PBA Summary'!$G$2)</f>
        <v>-0.10625973460127658</v>
      </c>
      <c r="FC57" s="34" cm="1">
        <f t="array" ref="FC57">_xll.ASAssetStatistic($A57,"Exponential Normal Monthly VaR 90%",,,,"m",'PBA Summary'!$F$2,'PBA Summary'!$G$2)</f>
        <v>-8.0731588867568899E-2</v>
      </c>
      <c r="FD57" s="34" t="str" cm="1">
        <f t="array" ref="FD57">_xll.ASAssetStatistic($A57,"Exponential Normal weekly VaR 99%",,,,"m",'PBA Summary'!$F$2,'PBA Summary'!$G$2)</f>
        <v/>
      </c>
      <c r="FE57" s="34" t="str" cm="1">
        <f t="array" ref="FE57">_xll.ASAssetStatistic($A57,"Exponential Normal weekly VaR 97%",,,,"m",'PBA Summary'!$F$2,'PBA Summary'!$G$2)</f>
        <v/>
      </c>
      <c r="FF57" s="34" t="str" cm="1">
        <f t="array" ref="FF57">_xll.ASAssetStatistic($A57,"Exponential Normal weekly VaR 95%",,,,"m",'PBA Summary'!$F$2,'PBA Summary'!$G$2)</f>
        <v/>
      </c>
      <c r="FG57" s="34" t="str" cm="1">
        <f t="array" ref="FG57">_xll.ASAssetStatistic($A57,"Exponential Normal weekly VaR 90%",,,,"m",'PBA Summary'!$F$2,'PBA Summary'!$G$2)</f>
        <v/>
      </c>
      <c r="FH57" s="34" t="str" cm="1">
        <f t="array" ref="FH57">_xll.ASAssetStatistic($A57,"Exponential Normal daily VaR 99%",,,,"m",'PBA Summary'!$F$2,'PBA Summary'!$G$2)</f>
        <v/>
      </c>
      <c r="FI57" s="34" t="str" cm="1">
        <f t="array" ref="FI57">_xll.ASAssetStatistic($A57,"Exponential Normal daily VaR 97%",,,,"m",'PBA Summary'!$F$2,'PBA Summary'!$G$2)</f>
        <v/>
      </c>
      <c r="FJ57" s="34" t="str" cm="1">
        <f t="array" ref="FJ57">_xll.ASAssetStatistic($A57,"Exponential Normal daily VaR 95%",,,,"m",'PBA Summary'!$F$2,'PBA Summary'!$G$2)</f>
        <v/>
      </c>
      <c r="FK57" s="34" t="str" cm="1">
        <f t="array" ref="FK57">_xll.ASAssetStatistic($A57,"Exponential Normal daily VaR 90%",,,,"m",'PBA Summary'!$F$2,'PBA Summary'!$G$2)</f>
        <v/>
      </c>
      <c r="FL57" s="34" cm="1">
        <f t="array" ref="FL57">_xll.ASAssetStatistic($A57,"Bias Ratio",,,,"m",'PBA Summary'!$F$2,'PBA Summary'!$G$2)</f>
        <v>0.33333333333333331</v>
      </c>
      <c r="FM57" s="11" t="str" cm="1">
        <f t="array" ref="FM57">_xll.ASAssetInfo($A57,"Manager's Biography")</f>
        <v/>
      </c>
      <c r="FN57" s="11" cm="1">
        <f t="array" ref="FN57">_xll.ASAssetInfo($A57,"Investment Min")</f>
        <v>0</v>
      </c>
      <c r="FO57" s="11" t="str" cm="1">
        <f t="array" ref="FO57">_xll.ASAssetInfo($A57,"Auditor")</f>
        <v>Ernst &amp; Young LLP</v>
      </c>
      <c r="FP57" s="11" t="str" cm="1">
        <f t="array" ref="FP57">_xll.ASAssetInfo($A57,"Custodian")</f>
        <v>Bank of New York Mellon/The</v>
      </c>
      <c r="FQ57" s="11" t="str" cm="1">
        <f t="array" ref="FQ57">_xll.ASAssetInfo($A57,"Administrator")</f>
        <v>Van Eck Associates Corp</v>
      </c>
      <c r="FR57" s="14" t="str" cm="1">
        <f t="array" ref="FR57">_xll.ASAssetInfo($A57,"Proxy 1 Start Date")</f>
        <v/>
      </c>
      <c r="FS57" s="14" t="str" cm="1">
        <f t="array" ref="FS57">_xll.ASAssetInfo($A57,"Proxy 1 End Date")</f>
        <v/>
      </c>
      <c r="FT57" s="14" t="str" cm="1">
        <f t="array" ref="FT57">_xll.ASAssetInfo($A57,"Proxy 2 Start Date")</f>
        <v/>
      </c>
      <c r="FU57" s="14" t="str" cm="1">
        <f t="array" ref="FU57">_xll.ASAssetInfo($A57,"Proxy 2 End Date")</f>
        <v/>
      </c>
      <c r="FV57" s="14" t="str" cm="1">
        <f t="array" ref="FV57">_xll.ASAssetInfo($A57,"Proxy 3 Start Date")</f>
        <v/>
      </c>
      <c r="FW57" s="14" t="str" cm="1">
        <f t="array" ref="FW57">_xll.ASAssetInfo($A57,"Proxy 3 End Date")</f>
        <v/>
      </c>
      <c r="FX57" s="14" t="str" cm="1">
        <f t="array" ref="FX57">_xll.ASAssetInfo($A57,"Fund Domicile")</f>
        <v>US</v>
      </c>
      <c r="FY57" s="14" t="str" cm="1">
        <f t="array" ref="FY57">_xll.ASAssetInfo($A57,"Fund Contact")</f>
        <v/>
      </c>
      <c r="FZ57" s="14" t="str" cm="1">
        <f t="array" ref="FZ57">_xll.ASAssetInfo($A57,"Fund Contact Email")</f>
        <v/>
      </c>
      <c r="GA57" s="14" t="str" cm="1">
        <f t="array" ref="GA57">_xll.ASAssetInfo($A57,"Fund Contact Number")</f>
        <v/>
      </c>
      <c r="GB57" s="14" t="str" cm="1">
        <f t="array" ref="GB57">_xll.ASAssetInfo($A57,"City")</f>
        <v>New York</v>
      </c>
      <c r="GC57" s="14" t="str" cm="1">
        <f t="array" ref="GC57">_xll.ASAssetInfo($A57,"Leverage")</f>
        <v>N</v>
      </c>
      <c r="GD57" s="14" t="str" cm="1">
        <f t="array" ref="GD57">_xll.ASAssetInfo($A57,"Lockup 1 Duration")</f>
        <v>0 Months</v>
      </c>
      <c r="GE57" s="14" t="str" cm="1">
        <f t="array" ref="GE57">_xll.ASAssetInfo($A57,"Lockup 2 Duration")</f>
        <v>0 Months</v>
      </c>
      <c r="GF57" s="14" t="str" cm="1">
        <f t="array" ref="GF57">_xll.ASAssetInfo($A57,"Lockup 3 Duration")</f>
        <v>0 Months</v>
      </c>
      <c r="GG57" s="31" t="str" cm="1">
        <f t="array" ref="GG57">_xll.ASAssetInfo($A57,"Fund Level Gate")</f>
        <v/>
      </c>
      <c r="GH57" s="31" t="str" cm="1">
        <f t="array" ref="GH57">_xll.ASAssetInfo($A57,"Fund Level Gate Frequency")</f>
        <v>Unknown</v>
      </c>
      <c r="GI57" s="35" cm="1">
        <f t="array" ref="GI57">_xll.ASAssetInfo($A57,"Payment 2 (%)")</f>
        <v>0</v>
      </c>
      <c r="GJ57" s="35" t="str" cm="1">
        <f t="array" ref="GJ57">_xll.ASAssetInfo($A57,"Payment 2 (days)")</f>
        <v/>
      </c>
      <c r="GK57" s="35" t="str" cm="1">
        <f t="array" ref="GK57">_xll.ASAssetInfo($A57,"Payment 2 (Paid After)")</f>
        <v>NAV Date</v>
      </c>
      <c r="GL57" s="35" cm="1">
        <f t="array" ref="GL57">_xll.ASAssetInfo($A57,"Payment 3 (%)")</f>
        <v>0</v>
      </c>
      <c r="GM57" s="36" t="str" cm="1">
        <f t="array" ref="GM57">_xll.ASAssetInfo($A57,"Payment 3 (Days)")</f>
        <v/>
      </c>
      <c r="GN57" s="35" t="str" cm="1">
        <f t="array" ref="GN57">_xll.ASAssetInfo($A57,"Payment 3 (Paid After)")</f>
        <v>NAV Date</v>
      </c>
      <c r="GO57" s="35" cm="1">
        <f t="array" ref="GO57">_xll.ASAssetInfo($A57,"Payment 4 (%)")</f>
        <v>0</v>
      </c>
      <c r="GP57" s="36" t="str" cm="1">
        <f t="array" ref="GP57">_xll.ASAssetInfo($A57,"Payment 4 (days)")</f>
        <v/>
      </c>
      <c r="GQ57" s="35" t="str" cm="1">
        <f t="array" ref="GQ57">_xll.ASAssetInfo($A57,"Payment 4 (Paid After)")</f>
        <v>NAV Date</v>
      </c>
      <c r="GR57" s="11" cm="1">
        <f t="array" ref="GR57">_xll.ASAssetInfo($A57,"Payment 1 (%)")</f>
        <v>1</v>
      </c>
      <c r="GS57" s="35" cm="1">
        <f t="array" ref="GS57">_xll.ASAssetInfo($A57,"Lockup 1 Fee")</f>
        <v>0</v>
      </c>
      <c r="GT57" s="35" cm="1">
        <f t="array" ref="GT57">_xll.ASAssetInfo($A57,"Lockup 2 Fee")</f>
        <v>0</v>
      </c>
      <c r="GU57" s="35" cm="1">
        <f t="array" ref="GU57">_xll.ASAssetInfo($A57,"Lockup 3 Fee")</f>
        <v>0</v>
      </c>
      <c r="GV57" s="35" t="str" cm="1">
        <f t="array" ref="GV57">_xll.ASAssetInfo($A57,"Lockup 1 type")</f>
        <v>None</v>
      </c>
      <c r="GW57" s="35" t="str" cm="1">
        <f t="array" ref="GW57">_xll.ASAssetInfo($A57,"Lockup 2 type")</f>
        <v>None</v>
      </c>
      <c r="GX57" s="35" t="str" cm="1">
        <f t="array" ref="GX57">_xll.ASAssetInfo($A57,"Lockup 3 type")</f>
        <v>None</v>
      </c>
      <c r="GY57" s="35" t="str" cm="1">
        <f t="array" ref="GY57">_xll.ASAssetInfo($A57,"Redemption 1 type")</f>
        <v>Calendar</v>
      </c>
      <c r="GZ57" s="35" t="str" cm="1">
        <f t="array" ref="GZ57">_xll.ASAssetInfo($A57,"Redemption 2 type")</f>
        <v>Calendar</v>
      </c>
      <c r="HA57" s="35" t="str" cm="1">
        <f t="array" ref="HA57">_xll.ASAssetInfo($A57,"Redemption 3 type")</f>
        <v>Calendar</v>
      </c>
      <c r="HB57" s="35" t="str" cm="1">
        <f t="array" ref="HB57">_xll.ASAssetInfo($A57,"Redemption 1 Fee")</f>
        <v/>
      </c>
      <c r="HC57" s="35" t="str" cm="1">
        <f t="array" ref="HC57">_xll.ASAssetInfo($A57,"Redemption 2 Fee")</f>
        <v/>
      </c>
      <c r="HD57" s="35" t="str" cm="1">
        <f t="array" ref="HD57">_xll.ASAssetInfo($A57,"Redemption 3 Fee")</f>
        <v/>
      </c>
      <c r="HE57" s="35" t="str" cm="1">
        <f t="array" ref="HE57">_xll.ASAssetInfo($A57,"Redemption 1 Frequency")</f>
        <v>Daily</v>
      </c>
      <c r="HF57" s="35" t="str" cm="1">
        <f t="array" ref="HF57">_xll.ASAssetInfo($A57,"Redemption 2 Frequency")</f>
        <v>Unknown</v>
      </c>
      <c r="HG57" s="35" t="str" cm="1">
        <f t="array" ref="HG57">_xll.ASAssetInfo($A57,"Redemption 3 Frequency")</f>
        <v>Unknown</v>
      </c>
      <c r="HH57" s="35" t="str" cm="1">
        <f t="array" ref="HH57">_xll.ASAssetInfo($A57,"Asset Calendar")</f>
        <v>[Default]</v>
      </c>
      <c r="HI57" s="16" cm="1">
        <f t="array" ref="HI57">_xll.ASAssetStatistic($A57,"Max Second Drawdown",,,,"m",'PBA Summary'!$F$2,'PBA Summary'!$G$2)</f>
        <v>-0.1046808600429403</v>
      </c>
      <c r="HJ57" s="37" cm="1">
        <f t="array" ref="HJ57">_xll.ASAssetStatistic($A57,"Date Max Second Drawdown",,,,"m",'PBA Summary'!$F$2,'PBA Summary'!$G$2)</f>
        <v>43616</v>
      </c>
      <c r="HK57" s="37"/>
      <c r="HL57" s="37" t="str" cm="1">
        <f t="array" ref="HL57">_xll.ASAssetInfo($A57,HL$1)</f>
        <v/>
      </c>
      <c r="HM57" s="34" t="str" cm="1">
        <f t="array" ref="HM57">_xll.ASAssetInfo($A57,HM$1)</f>
        <v/>
      </c>
      <c r="HN57" s="37" t="str" cm="1">
        <f t="array" ref="HN57">_xll.ASAssetInfo($A57,HN$1)</f>
        <v/>
      </c>
      <c r="HO57" s="15" cm="1">
        <f t="array" ref="HO57">_xll.ASAssetInfo($A57,HO$1)</f>
        <v>0</v>
      </c>
      <c r="HP57" s="15" t="str" cm="1">
        <f t="array" ref="HP57">_xll.ASAssetInfo($A57,HP$1)</f>
        <v/>
      </c>
      <c r="HQ57" s="34" t="str" cm="1">
        <f t="array" ref="HQ57">_xll.ASAssetInfo($A57,HQ$1)</f>
        <v/>
      </c>
      <c r="HR57" s="37" t="str" cm="1">
        <f t="array" ref="HR57">_xll.ASAssetInfo($A57,HR$1)</f>
        <v/>
      </c>
      <c r="HS57" s="37" t="str" cm="1">
        <f t="array" ref="HS57">_xll.ASAssetInfo($A57,HS$1)</f>
        <v/>
      </c>
      <c r="HT57" s="37" t="str" cm="1">
        <f t="array" ref="HT57">_xll.ASAssetInfo($A57,HT$1)</f>
        <v/>
      </c>
      <c r="HU57" s="37" t="str" cm="1">
        <f t="array" ref="HU57">_xll.ASAssetInfo($A57,HU$1)</f>
        <v>Americas</v>
      </c>
      <c r="HV57" s="37" t="str" cm="1">
        <f t="array" ref="HV57">_xll.ASAssetInfo($A57,HV$1)</f>
        <v>Health Care</v>
      </c>
      <c r="HW57" s="37" t="str" cm="1">
        <f t="array" ref="HW57">_xll.ASAssetInfo($A57,HW$1)</f>
        <v/>
      </c>
    </row>
    <row r="58" spans="1:231" s="11" customFormat="1" ht="120" x14ac:dyDescent="0.25">
      <c r="A58" t="s">
        <v>313</v>
      </c>
      <c r="B58" cm="1">
        <f t="array" ref="B58">_xll.ASPortfolioWeights('PBA Summary'!$C$2,"OR",$A58)</f>
        <v>0</v>
      </c>
      <c r="C58" cm="1">
        <f t="array" ref="C58">_xll.ASAssetStatistic($A58,"Annualized Return since inception",,,,"m",_xll.ASAssetInfo($A58,"Start Date"),_xll.ASAssetInfo($A58,"Last Return Date"))</f>
        <v>0.23742266604769702</v>
      </c>
      <c r="D58" cm="1">
        <f t="array" ref="D58">_xll.ASAssetStatistic($A58,"Annualized Return",,,,"m",'PBA Summary'!$F$2,'PBA Summary'!$G$2)</f>
        <v>0.40000805728461586</v>
      </c>
      <c r="E58" s="19" cm="1">
        <f t="array" ref="E58">_xll.ASAssetStatistic($A58,"Equilibrium Annual Return",,,,"m",'PBA Summary'!$F$2,'PBA Summary'!$G$2)</f>
        <v>2.4712410323431739</v>
      </c>
      <c r="F58" cm="1">
        <f t="array" ref="F58">_xll.ASAssetStatistic($A58,"Annualized Volatility (Inception)",,,,"m",_xll.ASAssetInfo($A58,"Start Date"),_xll.ASAssetInfo($A58,"Last Return Date"))</f>
        <v>0.19230836843261459</v>
      </c>
      <c r="G58" cm="1">
        <f t="array" ref="G58">_xll.ASAssetStatistic($A58,"Annualized Volatility",,,,"m",'PBA Summary'!$F$2,'PBA Summary'!$G$2)</f>
        <v>0.25824002488359016</v>
      </c>
      <c r="H58" s="20" cm="1">
        <f t="array" ref="H58">_xll.ASAssetStatistic($A58,"Skewness",,,,"m",'PBA Summary'!$F$2,'PBA Summary'!$G$2)</f>
        <v>-1.2946656975439563</v>
      </c>
      <c r="I58" s="20" cm="1">
        <f t="array" ref="I58">_xll.ASAssetStatistic($A58,"Excess kurtosis",,,,"m",'PBA Summary'!$F$2,'PBA Summary'!$G$2)</f>
        <v>1.5704353129114783</v>
      </c>
      <c r="J58" s="19" cm="1">
        <f t="array" ref="J58">_xll.ASAssetStatistic($A58,"Return Last 1 month",,,,"m",'PBA Summary'!$F$2,'PBA Summary'!$G$2)</f>
        <v>-2.7155369758392833E-2</v>
      </c>
      <c r="K58" s="19" cm="1">
        <f t="array" ref="K58">_xll.ASAssetStatistic($A58,"Return Last 3 months",,,,"m",'PBA Summary'!$F$2,'PBA Summary'!$G$2)</f>
        <v>9.5182354023388482E-2</v>
      </c>
      <c r="L58" s="19" cm="1">
        <f t="array" ref="L58">_xll.ASAssetStatistic($A58,"Return Last 1 year",,,,"m",'PBA Summary'!$F$2,'PBA Summary'!$G$2)</f>
        <v>0.44554171887859662</v>
      </c>
      <c r="M58" s="19" cm="1">
        <f t="array" ref="M58">_xll.ASAssetStatistic($A58,"Year-to-date Return",,,,"m",'PBA Summary'!$F$2,'PBA Summary'!$G$2)</f>
        <v>-2.7155369758392833E-2</v>
      </c>
      <c r="N58" s="19" cm="1">
        <f t="array" ref="N58">_xll.ASAssetStatistic($A58,"Annualized Return",,,,"m",EOMONTH('PBA Summary'!$G$2,-2),'PBA Summary'!$G$2)</f>
        <v>0.43861886388263049</v>
      </c>
      <c r="O58" s="19" t="str" cm="1">
        <f t="array" ref="O58">_xll.ASAssetStatistic($A58,"Annualized Return Last 3 years",,,,"m",'PBA Summary'!$F$2,'PBA Summary'!$G$2)</f>
        <v/>
      </c>
      <c r="P58" s="19" t="str" cm="1">
        <f t="array" ref="P58">_xll.ASAssetStatistic($A58,"Annualized Return Last 5 years",,,,"m",'PBA Summary'!$F$2,'PBA Summary'!$G$2)</f>
        <v/>
      </c>
      <c r="Q58" s="19" cm="1">
        <f t="array" ref="Q58">_xll.ASAssetStatistic($A58,"Annualized Volatility Last 1 year",,,,"m",'PBA Summary'!$F$2,'PBA Summary'!$G$2)</f>
        <v>0.25488699717319691</v>
      </c>
      <c r="R58" s="19" t="str" cm="1">
        <f t="array" ref="R58">_xll.ASAssetStatistic($A58,"Annualized Volatility Last 3 years",,,,"m",'PBA Summary'!$F$2,'PBA Summary'!$G$2)</f>
        <v/>
      </c>
      <c r="S58" s="19" t="str" cm="1">
        <f t="array" ref="S58">_xll.ASAssetStatistic($A58,"Annualized Volatility Last 5 years",,,,"m",'PBA Summary'!$F$2,'PBA Summary'!$G$2)</f>
        <v/>
      </c>
      <c r="T58" s="19" cm="1">
        <f t="array" ref="T58">_xll.ASAssetStatistic($A58,"Normal monthly VaR 99%",,,,"m",'PBA Summary'!$F$2,'PBA Summary'!$G$2)</f>
        <v>-0.14231294098856132</v>
      </c>
      <c r="U58" s="19" cm="1">
        <f t="array" ref="U58">_xll.ASAssetStatistic($A58,"Modified monthly VaR 99%",,,,"m",'PBA Summary'!$F$2,'PBA Summary'!$G$2)</f>
        <v>-0.19362654424217163</v>
      </c>
      <c r="V58" s="19" cm="1">
        <f t="array" ref="V58">_xll.ASAssetStatistic($A58,"Conditional monthly VaR 99%",,,,"m",'PBA Summary'!$F$2,'PBA Summary'!$G$2)</f>
        <v>-0.15501053487598426</v>
      </c>
      <c r="W58" s="19" cm="1">
        <f t="array" ref="W58">_xll.ASAssetStatistic($A58,"Normal monthly VaR 97%",,,,"m",'PBA Summary'!$F$2,'PBA Summary'!$G$2)</f>
        <v>-0.10909799596283867</v>
      </c>
      <c r="X58" s="19" cm="1">
        <f t="array" ref="X58">_xll.ASAssetStatistic($A58,"Modified monthly VaR 97%",,,,"m",'PBA Summary'!$F$2,'PBA Summary'!$G$2)</f>
        <v>-0.14129948093854991</v>
      </c>
      <c r="Y58" s="19" cm="1">
        <f t="array" ref="Y58">_xll.ASAssetStatistic($A58,"Conditional monthly VaR 97%",,,,"m",'PBA Summary'!$F$2,'PBA Summary'!$G$2)</f>
        <v>-0.15501053487598426</v>
      </c>
      <c r="Z58" s="19" cm="1">
        <f t="array" ref="Z58">_xll.ASAssetStatistic($A58,"Normal monthly VaR 95%",,,,"m",'PBA Summary'!$F$2,'PBA Summary'!$G$2)</f>
        <v>-9.1509266362699154E-2</v>
      </c>
      <c r="AA58" s="19" cm="1">
        <f t="array" ref="AA58">_xll.ASAssetStatistic($A58,"Modified monthly VaR 95%",,,,"m",'PBA Summary'!$F$2,'PBA Summary'!$G$2)</f>
        <v>-0.11423452106221024</v>
      </c>
      <c r="AB58" s="19" cm="1">
        <f t="array" ref="AB58">_xll.ASAssetStatistic($A58,"Conditional monthly VaR 95%",,,,"m",'PBA Summary'!$F$2,'PBA Summary'!$G$2)</f>
        <v>-0.15501053487598426</v>
      </c>
      <c r="AC58" s="66" cm="1">
        <f t="array" ref="AC58">_xll.ASAssetStatistic($A58,"Correlation to Benchmark 1","MSCI ACWI Index",,,"m",'PBA Summary'!$F$2,'PBA Summary'!$G$2)</f>
        <v>0.93097123301910878</v>
      </c>
      <c r="AD58" s="38" cm="1">
        <f t="array" ref="AD58">IF('PBA Summary'!$D$3="","",_xll.ASAssetStatistic($A58,"Correlation to Benchmark 1",'PBA Summary'!$D$3,,,"m",'PBA Summary'!$F$2,'PBA Summary'!$G$2))</f>
        <v>0.91647275855895372</v>
      </c>
      <c r="AE58" s="21" cm="1">
        <f t="array" ref="AE58">IF('PBA Summary'!$D$2="","",_xll.ASAssetStatistic($A58,"Bull correlation to Benchmark 1",'PBA Summary'!$D$2,,,"m",'PBA Summary'!$F$2,'PBA Summary'!$G$2))</f>
        <v>0.80866110838537675</v>
      </c>
      <c r="AF58" s="21" cm="1">
        <f t="array" ref="AF58">IF('PBA Summary'!$D$2="","",_xll.ASAssetStatistic($A58,"Bear correlation to Benchmark 1",'PBA Summary'!$D$2,,,"m",'PBA Summary'!$F$2,'PBA Summary'!$G$2))</f>
        <v>0.69413083729036917</v>
      </c>
      <c r="AG58" s="21" cm="1">
        <f t="array" ref="AG58">IF('PBA Summary'!$D$3="","",_xll.ASAssetStatistic($A58,"Bull correlation to Benchmark 1",'PBA Summary'!$D$3,,,"m",'PBA Summary'!$F$2,'PBA Summary'!$G$2))</f>
        <v>0.80866110838537675</v>
      </c>
      <c r="AH58" s="21" cm="1">
        <f t="array" ref="AH58">IF('PBA Summary'!$D$3="","",_xll.ASAssetStatistic($A58,"Bear correlation to Benchmark 1",'PBA Summary'!$D$3,,,"m",'PBA Summary'!$F$2,'PBA Summary'!$G$2))</f>
        <v>0.69413083729036917</v>
      </c>
      <c r="AI58" s="24" cm="1">
        <f t="array" ref="AI58">IF('PBA Summary'!$D$2="","",_xll.ASAssetStatistic($A58,"Beta to Benchmark 1",'PBA Summary'!$D$2,,,"m",'PBA Summary'!$F$2,'PBA Summary'!$G$2))</f>
        <v>1.5415827703754643</v>
      </c>
      <c r="AJ58" s="24" t="str" cm="1">
        <f t="array" ref="AJ58">IF('PBA Summary'!$D$2="","",_xll.ASAssetStatistic($A58,"Beta to Benchmark 1 Last 3 years",'PBA Summary'!$D$2,,,"m",'PBA Summary'!$F$2,'PBA Summary'!$G$2))</f>
        <v/>
      </c>
      <c r="AK58" s="24" t="str" cm="1">
        <f t="array" ref="AK58">IF('PBA Summary'!$D$2="","",_xll.ASAssetStatistic($A58,"Beta to Benchmark 1 Last 5 years",'PBA Summary'!$D$2,,,"m",'PBA Summary'!$F$2,'PBA Summary'!$G$2))</f>
        <v/>
      </c>
      <c r="AL58" s="25" cm="1">
        <f t="array" ref="AL58">IF('PBA Summary'!$D$3="","",_xll.ASAssetStatistic($A58,"Beta to Benchmark 1",'PBA Summary'!$D$3,,,"m",'PBA Summary'!$F$2,'PBA Summary'!$G$2))</f>
        <v>1.5415827703754643</v>
      </c>
      <c r="AM58" s="25" t="str" cm="1">
        <f t="array" ref="AM58">IF('PBA Summary'!$D$3="","",_xll.ASAssetStatistic($A58,"Beta to Benchmark 1 Last 3 years",'PBA Summary'!$D$3,,,"m",'PBA Summary'!$F$2,'PBA Summary'!$G$2))</f>
        <v/>
      </c>
      <c r="AN58" s="25" t="str" cm="1">
        <f t="array" ref="AN58">IF('PBA Summary'!$D$3="","",_xll.ASAssetStatistic($A58,"Beta to Benchmark 1 Last 5 years",'PBA Summary'!$D$3,,,"m",'PBA Summary'!$F$2,'PBA Summary'!$G$2))</f>
        <v/>
      </c>
      <c r="AO58" s="25" cm="1">
        <f t="array" ref="AO58">IF('PBA Summary'!$D$2="","",_xll.ASAssetStatistic($A58,"Bull Beta to Benchmark 1",'PBA Summary'!$D$2,,,"m",'PBA Summary'!$F$2,'PBA Summary'!$G$2))</f>
        <v>1.1302669615927068</v>
      </c>
      <c r="AP58" s="25" cm="1">
        <f t="array" ref="AP58">IF('PBA Summary'!$D$2="","",_xll.ASAssetStatistic($A58,"Bear Beta to Benchmark 1",'PBA Summary'!$D$2,,,"m",'PBA Summary'!$F$2,'PBA Summary'!$G$2))</f>
        <v>1.026305589509436</v>
      </c>
      <c r="AQ58" s="25" cm="1">
        <f t="array" ref="AQ58">IF('PBA Summary'!$D$3="","",_xll.ASAssetStatistic($A58,"Bull Beta to Benchmark 1",'PBA Summary'!$D$3,,,"m",'PBA Summary'!$F$2,'PBA Summary'!$G$2))</f>
        <v>1.1302669615927068</v>
      </c>
      <c r="AR58" s="25" cm="1">
        <f t="array" ref="AR58">IF('PBA Summary'!$D$3="","",_xll.ASAssetStatistic($A58,"Bear Beta to Benchmark 1",'PBA Summary'!$D$3,,,"m",'PBA Summary'!$F$2,'PBA Summary'!$G$2))</f>
        <v>1.026305589509436</v>
      </c>
      <c r="AS58" s="25" cm="1">
        <f t="array" ref="AS58">_xll.ASAssetStatistic($A58,"Annual Sharpe Ratio (Rf)",,,'PBA Summary'!$H$2,"m",'PBA Summary'!$F$2,'PBA Summary'!$G$2)</f>
        <v>1.5392968516937107</v>
      </c>
      <c r="AT58" s="25" t="str" cm="1">
        <f t="array" ref="AT58">_xll.ASAssetStatistic($A58,"Annual Sharpe Ratio (Rf) Last 3 years",,,'PBA Summary'!$H$2,"m",'PBA Summary'!$F$2,'PBA Summary'!$G$2)</f>
        <v/>
      </c>
      <c r="AU58" s="25" t="str" cm="1">
        <f t="array" ref="AU58">_xll.ASAssetStatistic($A58,"Annual Sharpe Ratio (Rf) Last 5 years",,,'PBA Summary'!$H$2,"m",'PBA Summary'!$F$2,'PBA Summary'!$G$2)</f>
        <v/>
      </c>
      <c r="AV58" s="18" cm="1">
        <f t="array" ref="AV58">_xll.ASAssetStatistic($A58,"Ann. Downside Deviation (vs 0%)",,,'PBA Summary'!$H$2,"m",'PBA Summary'!$F$2,'PBA Summary'!$G$2)</f>
        <v>0.15938089753748322</v>
      </c>
      <c r="AW58" s="18" cm="1">
        <f t="array" ref="AW58">_xll.ASAssetStatistic($A58,"Ann. Downside Deviation (vs Rf)",,,'PBA Summary'!$H$2,"m",'PBA Summary'!$F$2,'PBA Summary'!$G$2)</f>
        <v>0.15967914558676669</v>
      </c>
      <c r="AX58" s="39" cm="1">
        <f t="array" ref="AX58">_xll.ASAssetStatistic($A58,"Annual Treynor ratio",,,'PBA Summary'!$H$2,"m",'PBA Summary'!$F$2,'PBA Summary'!$G$2)</f>
        <v>0.10088962915959486</v>
      </c>
      <c r="AY58" s="26" cm="1">
        <f t="array" ref="AY58">_xll.ASAssetStatistic($A58,"Annual Sortino Ratio (vs 0%)",,,'PBA Summary'!$H$2,"m",'PBA Summary'!$F$2,'PBA Summary'!$G$2)</f>
        <v>2.50976160546807</v>
      </c>
      <c r="AZ58" s="26" cm="1">
        <f t="array" ref="AZ58">_xll.ASAssetStatistic($A58,"Annual Sortino Ratio (vs Rf)",,,'PBA Summary'!$H$2,"m",'PBA Summary'!$F$2,'PBA Summary'!$G$2)</f>
        <v>2.4894174866975183</v>
      </c>
      <c r="BA58" s="26" cm="1">
        <f t="array" ref="BA58">_xll.ASAssetStatistic($A58,"Sterling ratio",,,'PBA Summary'!$H$2,"m",'PBA Summary'!$F$2,'PBA Summary'!$G$2)</f>
        <v>1.5685942444658072</v>
      </c>
      <c r="BB58" s="26" cm="1">
        <f t="array" ref="BB58">_xll.ASAssetStatistic($A58,"Calmar ratio",,,'PBA Summary'!$H$2,"m",'PBA Summary'!$F$2,'PBA Summary'!$G$2)</f>
        <v>2.5805217535997853</v>
      </c>
      <c r="BC58" s="26" cm="1">
        <f t="array" ref="BC58">_xll.ASAssetStatistic($A58,"Hurst index",,,'PBA Summary'!$H$2,"m",'PBA Summary'!$F$2,'PBA Summary'!$G$2)</f>
        <v>0.33786692057229889</v>
      </c>
      <c r="BD58" s="26" cm="1">
        <f t="array" ref="BD58">_xll.ASAssetStatistic($A58,"Omega (Threshold 1)",,,'PBA Summary'!$H$2,"m",'PBA Summary'!$F$2,'PBA Summary'!$G$2)</f>
        <v>2.6351649236800267</v>
      </c>
      <c r="BE58" s="26" cm="1">
        <f t="array" ref="BE58">_xll.ASAssetStatistic($A58,"Omega (Threshold 2)",,,'PBA Summary'!$H$2,"m",'PBA Summary'!$F$2,'PBA Summary'!$G$2)</f>
        <v>2.2824878654486316</v>
      </c>
      <c r="BF58" s="26" cm="1">
        <f t="array" ref="BF58">_xll.ASAssetStatistic($A58,"Omega (Threshold 3)",,,'PBA Summary'!$H$2,"m",'PBA Summary'!$F$2,'PBA Summary'!$G$2)</f>
        <v>1.9731654718437159</v>
      </c>
      <c r="BG58" s="26" cm="1">
        <f t="array" ref="BG58">_xll.ASAssetStatistic($A58,"Omega (Threshold 4)",,,'PBA Summary'!$H$2,"m",'PBA Summary'!$F$2,'PBA Summary'!$G$2)</f>
        <v>1.6996662687099742</v>
      </c>
      <c r="BH58" s="26" cm="1">
        <f t="array" ref="BH58">_xll.ASAssetStatistic($A58,"Omega (Threshold 5)",,,'PBA Summary'!$H$2,"m",'PBA Summary'!$F$2,'PBA Summary'!$G$2)</f>
        <v>1.4561077636140209</v>
      </c>
      <c r="BI58" s="26" t="str" cm="1">
        <f t="array" ref="BI58">_xll.ASAssetStatistic($A58,"Autocorrelated (illiquid)",,,'PBA Summary'!$H$2,"m",'PBA Summary'!$F$2,'PBA Summary'!$G$2)</f>
        <v>No</v>
      </c>
      <c r="BJ58" s="27" cm="1">
        <f t="array" ref="BJ58">_xll.ASAssetStatistic($A58,"% months in Run Up",,,'PBA Summary'!$H$2,"m",'PBA Summary'!$F$2,'PBA Summary'!$G$2)</f>
        <v>0.73333333333333339</v>
      </c>
      <c r="BK58" s="27" cm="1">
        <f t="array" ref="BK58">_xll.ASAssetStatistic($A58,"% months in Drawdown",,,'PBA Summary'!$H$2,"m",'PBA Summary'!$F$2,'PBA Summary'!$G$2)</f>
        <v>0.26666666666666666</v>
      </c>
      <c r="BL58" s="18" cm="1">
        <f t="array" ref="BL58">IF('PBA Summary'!$D$2="","",_xll.ASAssetStatistic($A58,"Bull Beta to Benchmark 1",'PBA Summary'!$D$2,,,"m",'PBA Summary'!$F$2,'PBA Summary'!$G$2))</f>
        <v>1.1302669615927068</v>
      </c>
      <c r="BM58" s="18" cm="1">
        <f t="array" ref="BM58">IF('PBA Summary'!$D$2="","",_xll.ASAssetStatistic($A58,"Average return during bear Benchmark 1",'PBA Summary'!$D$2,,,"m",'PBA Summary'!$F$2,'PBA Summary'!$G$2))</f>
        <v>-7.134696952908634E-2</v>
      </c>
      <c r="BN58" s="18" cm="1">
        <f t="array" ref="BN58">IF('PBA Summary'!$D$3="","",_xll.ASAssetStatistic($A58,"Average return during bull Benchmark 1",'PBA Summary'!$D$3,,,"m",'PBA Summary'!$F$2,'PBA Summary'!$G$2))</f>
        <v>6.8367647823242186E-2</v>
      </c>
      <c r="BO58" s="18" cm="1">
        <f t="array" ref="BO58">IF('PBA Summary'!$D$3="","",_xll.ASAssetStatistic($A58,"Average return during bear Benchmark 1",'PBA Summary'!$D$3,,,"m",'PBA Summary'!$F$2,'PBA Summary'!$G$2))</f>
        <v>-7.134696952908634E-2</v>
      </c>
      <c r="BP58" s="27" cm="1">
        <f t="array" ref="BP58">_xll.ASAssetStatistic($A58,"Maximum consecutive gain",,,'PBA Summary'!$H$2,"m",'PBA Summary'!$F$2,'PBA Summary'!$G$2)</f>
        <v>0.33192059827209985</v>
      </c>
      <c r="BQ58" s="27" cm="1">
        <f t="array" ref="BQ58">_xll.ASAssetStatistic($A58,"Maximum consecutive loss",,,'PBA Summary'!$H$2,"m",'PBA Summary'!$F$2,'PBA Summary'!$G$2)</f>
        <v>-0.15501053487598426</v>
      </c>
      <c r="BR58" s="27" cm="1">
        <f t="array" ref="BR58">_xll.ASAssetStatistic($A58,"Max monthly gain",,,'PBA Summary'!$H$2,"m",'PBA Summary'!$F$2,'PBA Summary'!$G$2)</f>
        <v>0.12165255874654557</v>
      </c>
      <c r="BS58" s="27" cm="1">
        <f t="array" ref="BS58">_xll.ASAssetStatistic($A58,"Max monthly loss",,,'PBA Summary'!$H$2,"m",'PBA Summary'!$F$2,'PBA Summary'!$G$2)</f>
        <v>-0.15501053487598426</v>
      </c>
      <c r="BT58" s="27" cm="1">
        <f t="array" ref="BT58">_xll.ASAssetStatistic($A58,"Max drawdown",,,'PBA Summary'!$H$2,"m",'PBA Summary'!$F$2,'PBA Summary'!$G$2)</f>
        <v>-0.15501053487598437</v>
      </c>
      <c r="BU58" s="28" cm="1">
        <f t="array" ref="BU58">_xll.ASAssetStatistic($A58,"Date Max drawdown",,,'PBA Summary'!$H$2,"m",'PBA Summary'!$F$2,'PBA Summary'!$G$2)</f>
        <v>43616</v>
      </c>
      <c r="BV58" s="28" cm="1">
        <f t="array" ref="BV58">_xll.ASAssetStatistic($A58,"Start Date Max Drawdown",,,'PBA Summary'!$H$2,"m",'PBA Summary'!$F$2,'PBA Summary'!$G$2)</f>
        <v>43616</v>
      </c>
      <c r="BW58" s="28" cm="1">
        <f t="array" ref="BW58">_xll.ASAssetStatistic($A58,"End Date Max Drawdown",,,'PBA Summary'!$H$2,"m",'PBA Summary'!$F$2,'PBA Summary'!$G$2)</f>
        <v>43646</v>
      </c>
      <c r="BX58" s="29" cm="1">
        <f t="array" ref="BX58">_xll.ASAssetStatistic($A58,"Max Time-under-water (months)",,,'PBA Summary'!$H$2,"m",'PBA Summary'!$F$2,'PBA Summary'!$G$2)</f>
        <v>2</v>
      </c>
      <c r="BY58" s="27" cm="1">
        <f t="array" ref="BY58">_xll.ASAssetStatistic($A58,"Max possible drawdown 99%",,,'PBA Summary'!$H$2,"m",'PBA Summary'!$F$2,'PBA Summary'!$G$2)</f>
        <v>-0.24168481402724051</v>
      </c>
      <c r="BZ58" s="27" cm="1">
        <f t="array" ref="BZ58">_xll.ASAssetStatistic($A58,"Max possible drawdown 99.9%",,,'PBA Summary'!$H$2,"m",'PBA Summary'!$F$2,'PBA Summary'!$G$2)</f>
        <v>-0.42646392877282779</v>
      </c>
      <c r="CA58" s="30" cm="1">
        <f t="array" ref="CA58">_xll.ASAssetStatistic($A58,"Max Possible Time-under-water 99% (months)",,,'PBA Summary'!$H$2,"m",'PBA Summary'!$F$2,'PBA Summary'!$G$2)</f>
        <v>31.074455566959575</v>
      </c>
      <c r="CB58" s="30" cm="1">
        <f t="array" ref="CB58">_xll.ASAssetStatistic($A58,"Max Possible Time-under-water 99.9% (months)",,,'PBA Summary'!$H$2,"m",'PBA Summary'!$F$2,'PBA Summary'!$G$2)</f>
        <v>54.832300733916171</v>
      </c>
      <c r="CC58" s="17" cm="1">
        <f t="array" ref="CC58">_xll.ASPortfolioReturnAttribution('PBA Summary'!$C$2,"OR",A58,"Last 1m",'PBA Summary'!$F$2,'PBA Summary'!$G$2)</f>
        <v>0</v>
      </c>
      <c r="CD58" s="11" t="str" cm="1">
        <f t="array" ref="CD58">_xll.ASAssetInfo($A58,"Strategy")</f>
        <v>Funds - Semicon Index Long Only</v>
      </c>
      <c r="CE58" s="14" cm="1">
        <f t="array" ref="CE58">_xll.ASAssetInfo($A58,"Start Date")</f>
        <v>40899</v>
      </c>
      <c r="CF58" s="14" t="str" cm="1">
        <f t="array" ref="CF58">_xll.ASAssetRatings($A58,"Quantitative",0,0,0,0,0,'PBA Summary'!$F$2,'PBA Summary'!$G$2)</f>
        <v/>
      </c>
      <c r="CG58" s="14" t="str" cm="1">
        <f t="array" ref="CG58">_xll.ASAssetRatings($A58,"Qualitative",0,0,0,0,0,'PBA Summary'!$F$2,'PBA Summary'!$G$2)</f>
        <v/>
      </c>
      <c r="CH58" s="14" t="str" cm="1">
        <f t="array" ref="CH58">_xll.ASAssetRatings($A58,"Final",0,0,0,0,0,'PBA Summary'!$F$2,'PBA Summary'!$G$2)</f>
        <v/>
      </c>
      <c r="CI58" s="14" cm="1">
        <f t="array" ref="CI58">_xll.ASAssetInfo($A58,"Last Return Date")</f>
        <v>44134</v>
      </c>
      <c r="CJ58" s="14" t="str" cm="1">
        <f t="array" ref="CJ58">_xll.ASAssetInfo($A58,"Company Name")</f>
        <v>VanEck Vectors ETFs/USA</v>
      </c>
      <c r="CK58" s="14" t="str" cm="1">
        <f t="array" ref="CK58">_xll.ASAssetInfo($A58,"Manager Name")</f>
        <v>Liao Hao-Hung "Peter"</v>
      </c>
      <c r="CL58" s="14" t="str" cm="1">
        <f t="array" ref="CL58">_xll.ASAssetInfo($A58,"Address")</f>
        <v>VanEck Vectors ETF Trust. 666 Third Avenue. New York, NY 10017. USA</v>
      </c>
      <c r="CM58" s="14" t="str" cm="1">
        <f t="array" ref="CM58">_xll.ASAssetInfo($A58,"Phone Number")</f>
        <v>1-212-293-2000</v>
      </c>
      <c r="CN58" s="14" t="str" cm="1">
        <f t="array" ref="CN58">_xll.ASAssetInfo($A58,"Email")</f>
        <v/>
      </c>
      <c r="CO58" s="14" t="str" cm="1">
        <f t="array" ref="CO58">_xll.ASAssetInfo($A58,"Asset Type")</f>
        <v>Equities</v>
      </c>
      <c r="CP58" s="14" t="str" cm="1">
        <f t="array" ref="CP58">_xll.ASAssetInfo($A58,"Proprietary ID")</f>
        <v/>
      </c>
      <c r="CQ58" s="14" t="str" cm="1">
        <f t="array" ref="CQ58">_xll.ASAssetInfo($A58,"Country")</f>
        <v>United States of America</v>
      </c>
      <c r="CR58" s="14" t="str" cm="1">
        <f t="array" ref="CR58">_xll.ASAssetInfo($A58,"Currency")</f>
        <v>USD</v>
      </c>
      <c r="CS58" s="14" t="str" cm="1">
        <f t="array" ref="CS58">_xll.ASAssetInfo($A58,"Sub-Strategy")</f>
        <v>Semicon</v>
      </c>
      <c r="CT58" s="31" cm="1">
        <f t="array" ref="CT58">_xll.ASAssetInfo($A58,"Fund AUM (m)")</f>
        <v>2811.28</v>
      </c>
      <c r="CU58" s="31" t="str" cm="1">
        <f t="array" ref="CU58">_xll.ASAssetInfo($A58,"Status")</f>
        <v>Unknown</v>
      </c>
      <c r="CV58" s="31" t="str" cm="1">
        <f t="array" ref="CV58">_xll.ASAssetInfo($A58,"Redemption 1 Frequency")</f>
        <v>Daily</v>
      </c>
      <c r="CW58" s="31" t="str" cm="1">
        <f t="array" ref="CW58">_xll.ASAssetInfo($A58,"Redemption 2 Frequency")</f>
        <v>Unknown</v>
      </c>
      <c r="CX58" s="31" t="str" cm="1">
        <f t="array" ref="CX58">_xll.ASAssetInfo($A58,"Redemption 3 Frequency")</f>
        <v>Unknown</v>
      </c>
      <c r="CY58" s="31" t="str" cm="1">
        <f t="array" ref="CY58">_xll.ASAssetInfo($A58,"Notice Period")</f>
        <v/>
      </c>
      <c r="CZ58" s="15" t="str" cm="1">
        <f t="array" ref="CZ58">_xll.ASAssetInfo($A58,"Performance Fee")</f>
        <v/>
      </c>
      <c r="DA58" s="15" cm="1">
        <f t="array" ref="DA58">_xll.ASAssetInfo($A58,"Management Fee")</f>
        <v>3.4999999999999996E-3</v>
      </c>
      <c r="DB58" s="15" t="str" cm="1">
        <f t="array" ref="DB58">_xll.ASAssetInfo($A58,"ISIN")</f>
        <v>US92189F6768</v>
      </c>
      <c r="DC58" s="16" cm="1">
        <f t="array" ref="DC58">_xll.ASAssetStatistic($A58,"Return during " &amp;YEAR(EOMONTH('PBA Summary'!$G$2,-60)),,,,"M",DATE(YEAR(EOMONTH('PBA Summary'!$G$2,-60)),1,31),DATE(YEAR(EOMONTH('PBA Summary'!$G$2,-60)),12,31))</f>
        <v>-3.7375125572043366E-3</v>
      </c>
      <c r="DD58" s="16" cm="1">
        <f t="array" ref="DD58">_xll.ASAssetStatistic($A58,"Return during " &amp;YEAR(EOMONTH('PBA Summary'!$G$2,-48)),,,,"M",DATE(YEAR(EOMONTH('PBA Summary'!$G$2,-48)),1,31),DATE(YEAR(EOMONTH('PBA Summary'!$G$2,-48)),12,31))</f>
        <v>0.35529459957670584</v>
      </c>
      <c r="DE58" s="16" cm="1">
        <f t="array" ref="DE58">_xll.ASAssetStatistic($A58,"Return during " &amp;YEAR(EOMONTH('PBA Summary'!$G$2,-36)),,,,"M",DATE(YEAR(EOMONTH('PBA Summary'!$G$2,-36)),1,31),DATE(YEAR(EOMONTH('PBA Summary'!$G$2,-36)),12,31))</f>
        <v>0.38443842524241423</v>
      </c>
      <c r="DF58" s="16" cm="1">
        <f t="array" ref="DF58">_xll.ASAssetStatistic($A58,"Return during " &amp;YEAR(EOMONTH('PBA Summary'!$G$2,-24)),,,,"M",DATE(YEAR(EOMONTH('PBA Summary'!$G$2,-24)),1,31),DATE(YEAR(EOMONTH('PBA Summary'!$G$2,-24)),12,31))</f>
        <v>-9.038483248539575E-2</v>
      </c>
      <c r="DG58" s="16" cm="1">
        <f t="array" ref="DG58">_xll.ASAssetStatistic($A58,"Return during " &amp;YEAR(EOMONTH('PBA Summary'!$G$2,-12)),,,,"M",DATE(YEAR(EOMONTH('PBA Summary'!$G$2,-12)),1,31),DATE(YEAR(EOMONTH('PBA Summary'!$G$2,-12)),12,31))</f>
        <v>0.64438873736974633</v>
      </c>
      <c r="DH58" s="11" t="str" cm="1">
        <f t="array" ref="DH58">_xll.ASAssetInfo($A58,"Prime Broker")</f>
        <v/>
      </c>
      <c r="DI58" s="16" cm="1">
        <f t="array" ref="DI58">_xll.ASAssetStatistic($A58,"Return",,,,"m",'PBA Summary'!$F$2,'PBA Summary'!$G$2)</f>
        <v>0.52287118378282793</v>
      </c>
      <c r="DJ58" s="33" cm="1">
        <f t="array" ref="DJ58">IF('PBA Summary'!$D$2="","",_xll.ASAssetStatistic($A58,"Ann. Information Ratio vs Benchmark 1",'PBA Summary'!$D$2,,,"m",'PBA Summary'!$F$2,'PBA Summary'!$G$2))</f>
        <v>1.7168823192232052</v>
      </c>
      <c r="DK58" s="33" cm="1">
        <f t="array" ref="DK58">IF('PBA Summary'!$D$3="","",_xll.ASAssetStatistic($A58,"Ann. Information Ratio vs Benchmark 1",'PBA Summary'!$D$3,,,"m",'PBA Summary'!$F$2,'PBA Summary'!$G$2))</f>
        <v>1.7168823192232052</v>
      </c>
      <c r="DL58" s="33" cm="1">
        <f t="array" ref="DL58">IF('PBA Summary'!$D$2="","",_xll.ASAssetStatistic($A58,"Ann. Tracking Error vs Benchmark 1",'PBA Summary'!$D$2,,,"m",'PBA Summary'!$F$2,'PBA Summary'!$G$2))</f>
        <v>0.13262162497017757</v>
      </c>
      <c r="DM58" s="33" cm="1">
        <f t="array" ref="DM58">IF('PBA Summary'!$D$3="","",_xll.ASAssetStatistic($A58,"Ann. Tracking Error vs Benchmark 1",'PBA Summary'!$D$3,,,"m",'PBA Summary'!$F$2,'PBA Summary'!$G$2))</f>
        <v>0.13262162497017757</v>
      </c>
      <c r="DN58" s="33" cm="1">
        <f t="array" ref="DN58">IF('PBA Summary'!$D$2="","",_xll.ASAssetStatistic($A58,"R² vs Benchmark 1",'PBA Summary'!$D$2,,,"m",'PBA Summary'!$F$2,'PBA Summary'!$G$2))</f>
        <v>0.83992231718065824</v>
      </c>
      <c r="DO58" s="33" cm="1">
        <f t="array" ref="DO58">IF('PBA Summary'!$D$3="","",_xll.ASAssetStatistic($A58,"R² vs Benchmark 1",'PBA Summary'!$D$3,,,"m",'PBA Summary'!$F$2,'PBA Summary'!$G$2))</f>
        <v>0.83992231718065824</v>
      </c>
      <c r="DP58" s="11" t="str" cm="1">
        <f t="array" ref="DP58">_xll.ASAssetInfo($A58,"On-/Offshore")</f>
        <v>Unknown</v>
      </c>
      <c r="DQ58" s="16" cm="1">
        <f t="array" ref="DQ58">_xll.ASAssetStatistic($A58,"Quarter-to-date",,,,"m",'PBA Summary'!$F$2,'PBA Summary'!$G$2)</f>
        <v>-2.7155369758392833E-2</v>
      </c>
      <c r="DR58" s="16" cm="1">
        <f t="array" ref="DR58">_xll.ASAssetStatistic($A58,"Annualized Return Since inception",,,,"m",'PBA Summary'!$F$2,'PBA Summary'!$G$2)</f>
        <v>0.23742266604769702</v>
      </c>
      <c r="DS58" s="16" cm="1">
        <f t="array" ref="DS58">IF('PBA Summary'!$D$2="","",_xll.ASAssetStatistic($A58,"Ann. Bear Market Return vs Benchmark 1",'PBA Summary'!$D$2,,,"m",'PBA Summary'!$F$2,'PBA Summary'!$G$2))</f>
        <v>-0.59691118782382802</v>
      </c>
      <c r="DT58" s="16" cm="1">
        <f t="array" ref="DT58">IF('PBA Summary'!$D$2="","",_xll.ASAssetStatistic($A58,"Ann. Bull Market Return vs Benchmark 1",'PBA Summary'!$D$2,,,"m",'PBA Summary'!$F$2,'PBA Summary'!$G$2))</f>
        <v>1.2017071355889604</v>
      </c>
      <c r="DU58" s="16" cm="1">
        <f t="array" ref="DU58">IF('PBA Summary'!$D$3="","",_xll.ASAssetStatistic($A58,"Ann. Bear Market Return vs Benchmark 1",'PBA Summary'!$D$3,,,"m",'PBA Summary'!$F$2,'PBA Summary'!$G$2))</f>
        <v>-0.59691118782382802</v>
      </c>
      <c r="DV58" s="16" cm="1">
        <f t="array" ref="DV58">IF('PBA Summary'!$D$3="","",_xll.ASAssetStatistic($A58,"Ann. Bull Market Return vs Benchmark 1",'PBA Summary'!$D$3,,,"m",'PBA Summary'!$F$2,'PBA Summary'!$G$2))</f>
        <v>1.2017071355889604</v>
      </c>
      <c r="DW58" s="17" cm="1">
        <f t="array" ref="DW58">_xll.ASAssetStatistic($A58,"Average Positive Return",,,,"m",'PBA Summary'!$F$2,'PBA Summary'!$G$2)</f>
        <v>6.8367647823242186E-2</v>
      </c>
      <c r="DX58" s="17" cm="1">
        <f t="array" ref="DX58">_xll.ASAssetStatistic($A58,"Average Negative Return",,,,"m",'PBA Summary'!$F$2,'PBA Summary'!$G$2)</f>
        <v>-7.134696952908634E-2</v>
      </c>
      <c r="DY58" s="16" cm="1">
        <f t="array" ref="DY58">IF('PBA Summary'!$D$2="","",_xll.ASAssetStatistic($A58,"Outperformance vs Benchmark 1",'PBA Summary'!$D$2,,,"m",'PBA Summary'!$F$2,'PBA Summary'!$G$2))</f>
        <v>0.30302753897410928</v>
      </c>
      <c r="DZ58" s="16" cm="1">
        <f t="array" ref="DZ58">IF('PBA Summary'!$D$3="","",_xll.ASAssetStatistic($A58,"Outperformance vs Benchmark 1",'PBA Summary'!$D$3,,,"m",'PBA Summary'!$F$2,'PBA Summary'!$G$2))</f>
        <v>0.30302753897410928</v>
      </c>
      <c r="EA58" s="16" cm="1">
        <f t="array" ref="EA58">IF('PBA Summary'!$D$2="","",_xll.ASAssetStatistic($A58,"Annual Outperformance vs Benchmark 1",'PBA Summary'!$D$2,,,"m",'PBA Summary'!$F$2,'PBA Summary'!$G$2))</f>
        <v>0.22769572305794861</v>
      </c>
      <c r="EB58" s="16" cm="1">
        <f t="array" ref="EB58">IF('PBA Summary'!$D$3="","",_xll.ASAssetStatistic($A58,"Annual Outperformance vs Benchmark 1",'PBA Summary'!$D$3,,,"m",'PBA Summary'!$F$2,'PBA Summary'!$G$2))</f>
        <v>0.22769572305794861</v>
      </c>
      <c r="EC58" s="32" cm="1">
        <f t="array" ref="EC58">_xll.ASAssetStatistic($A58,"Rachev Ratio 99%",,,,"m",'PBA Summary'!$F$2,'PBA Summary'!$G$2)</f>
        <v>-0.78480187713611438</v>
      </c>
      <c r="ED58" s="32" cm="1">
        <f t="array" ref="ED58">_xll.ASAssetStatistic($A58,"Rachev Ratio 97%",,,,"m",'PBA Summary'!$F$2,'PBA Summary'!$G$2)</f>
        <v>-0.78480187713611438</v>
      </c>
      <c r="EE58" s="32" cm="1">
        <f t="array" ref="EE58">_xll.ASAssetStatistic($A58,"Rachev Ratio 95%",,,,"m",'PBA Summary'!$F$2,'PBA Summary'!$G$2)</f>
        <v>-0.78480187713611438</v>
      </c>
      <c r="EF58" s="32" cm="1">
        <f t="array" ref="EF58">_xll.ASAssetStatistic($A58,"Rachev Ratio 90%",,,,"m",'PBA Summary'!$F$2,'PBA Summary'!$G$2)</f>
        <v>-0.96980538312640641</v>
      </c>
      <c r="EG58" s="34" cm="1">
        <f t="array" ref="EG58">IF('PBA Summary'!$D$2="","",_xll.ASAssetStatistic($A58,"Annual Up Capture vs Benchmark 1",'PBA Summary'!$D$2,,,"m",'PBA Summary'!$F$2,'PBA Summary'!$G$2))</f>
        <v>2.3739400646367019</v>
      </c>
      <c r="EH58" s="34" cm="1">
        <f t="array" ref="EH58">IF('PBA Summary'!$D$3="","",_xll.ASAssetStatistic($A58,"Annual Up Capture vs Benchmark 1",'PBA Summary'!$D$3,,,"m",'PBA Summary'!$F$2,'PBA Summary'!$G$2))</f>
        <v>2.3739400646367019</v>
      </c>
      <c r="EI58" s="34" cm="1">
        <f t="array" ref="EI58">IF('PBA Summary'!$D$2="","",_xll.ASAssetStatistic($A58,"Annual Down Capture vs Benchmark 1",'PBA Summary'!$D$2,,,"m",'PBA Summary'!$F$2,'PBA Summary'!$G$2))</f>
        <v>1.4504905246034323</v>
      </c>
      <c r="EJ58" s="34" cm="1">
        <f t="array" ref="EJ58">IF('PBA Summary'!$D$3="","",_xll.ASAssetStatistic($A58,"Annual Down Capture vs Benchmark 1",'PBA Summary'!$D$3,,,"m",'PBA Summary'!$F$2,'PBA Summary'!$G$2))</f>
        <v>1.4504905246034323</v>
      </c>
      <c r="EK58" s="16" cm="1">
        <f t="array" ref="EK58">IF('PBA Summary'!$D$2="","",_xll.ASAssetStatistic($A58,"Ann. Tracking Error vs Benchmark 1",'PBA Summary'!$D$2,,,"m",'PBA Summary'!$F$2,'PBA Summary'!$G$2))</f>
        <v>0.13262162497017757</v>
      </c>
      <c r="EL58" s="16" cm="1">
        <f t="array" ref="EL58">IF('PBA Summary'!$D$3="","",_xll.ASAssetStatistic($A58,"Ann. Tracking Error vs Benchmark 1",'PBA Summary'!$D$3,,,"m",'PBA Summary'!$F$2,'PBA Summary'!$G$2))</f>
        <v>0.13262162497017757</v>
      </c>
      <c r="EM58" s="16" cm="1">
        <f t="array" ref="EM58">IF('PBA Summary'!$D$2="","",_xll.ASAssetStatistic($A58,"Annual Jensen Alpha vs Benchmark 1 (Rf)",'PBA Summary'!$D$2,,,"m",'PBA Summary'!$F$2,'PBA Summary'!$G$2))</f>
        <v>0.13572828864354586</v>
      </c>
      <c r="EN58" s="16" cm="1">
        <f t="array" ref="EN58">IF('PBA Summary'!$D$3="","",_xll.ASAssetStatistic($A58,"Annual Jensen Alpha vs Benchmark 1 (Rf)",'PBA Summary'!$D$3,,,"m",'PBA Summary'!$F$2,'PBA Summary'!$G$2))</f>
        <v>0.13572828864354586</v>
      </c>
      <c r="EO58" s="33" cm="1">
        <f t="array" ref="EO58">IF('PBA Summary'!$D$2="","",_xll.ASAssetStatistic($A58,"Ann. Information Ratio vs Benchmark 1",'PBA Summary'!$D$2,,,"m",'PBA Summary'!$F$2,'PBA Summary'!$G$2))</f>
        <v>1.7168823192232052</v>
      </c>
      <c r="EP58" s="33" cm="1">
        <f t="array" ref="EP58">IF('PBA Summary'!$D$3="","",_xll.ASAssetStatistic($A58,"Ann. Information Ratio vs Benchmark 1",'PBA Summary'!$D$3,,,"m",'PBA Summary'!$F$2,'PBA Summary'!$G$2))</f>
        <v>1.7168823192232052</v>
      </c>
      <c r="EQ58" s="17" cm="1">
        <f t="array" ref="EQ58">IF('PBA Summary'!$D$2="","",_xll.ASAssetStatistic($A58,"Alpha Monthly vs Benchmark 1",'PBA Summary'!$D$2,,,"m",'PBA Summary'!$F$2,'PBA Summary'!$G$2))</f>
        <v>9.1159199488285887E-3</v>
      </c>
      <c r="ER58" s="17" cm="1">
        <f t="array" ref="ER58">IF('PBA Summary'!$D$3="","",_xll.ASAssetStatistic($A58,"Alpha Monthly vs Benchmark 1",'PBA Summary'!$D$3,,,"m",'PBA Summary'!$F$2,'PBA Summary'!$G$2))</f>
        <v>9.1159199488285887E-3</v>
      </c>
      <c r="ES58" s="11" t="str" cm="1">
        <f t="array" ref="ES58">_xll.ASAssetInfo($A58,"Company AUM (m)")</f>
        <v/>
      </c>
      <c r="ET58" s="16" cm="1">
        <f t="array" ref="ET58">_xll.ASAssetStatistic($A58,"Exponential Annualized Volatility",,,,"m",'PBA Summary'!$F$2,'PBA Summary'!$G$2)</f>
        <v>0.23850929307490207</v>
      </c>
      <c r="EU58" s="16" cm="1">
        <f t="array" ref="EU58">_xll.ASAssetStatistic($A58,"Exponential Annualized Volatility Last 1 year",,,,"m",'PBA Summary'!$F$2,'PBA Summary'!$G$2)</f>
        <v>0.23469724957999905</v>
      </c>
      <c r="EV58" s="16" t="str" cm="1">
        <f t="array" ref="EV58">_xll.ASAssetStatistic($A58,"Exponential Annualized Volatility Last 3 years",,,,"m",'PBA Summary'!$F$2,'PBA Summary'!$G$2)</f>
        <v/>
      </c>
      <c r="EW58" s="34" cm="1">
        <f t="array" ref="EW58">IF('PBA Summary'!$D$2="","",_xll.ASAssetStatistic($A58,"Exponential Correlation to Benchmark 1",'PBA Summary'!$D$2,,,"m",'PBA Summary'!$F$2,'PBA Summary'!$G$2))</f>
        <v>0.83587741999152609</v>
      </c>
      <c r="EX58" s="34" cm="1">
        <f t="array" ref="EX58">IF('PBA Summary'!$D$3="","",_xll.ASAssetStatistic($A58,"Exponential Correlation to Benchmark 1",'PBA Summary'!$D$3,,,"m",'PBA Summary'!$F$2,'PBA Summary'!$G$2))</f>
        <v>0.83587741999152609</v>
      </c>
      <c r="EY58" s="34" cm="1">
        <f t="array" ref="EY58">_xll.ASAssetStatistic($A58,"Exponential Annual Sharpe Ratio (Rf)",,,,"m",'PBA Summary'!$F$2,'PBA Summary'!$G$2)</f>
        <v>1.9191481018824532</v>
      </c>
      <c r="EZ58" s="34" cm="1">
        <f t="array" ref="EZ58">_xll.ASAssetStatistic($A58,"Exponential Normal Monthly VaR 99%",,,,"m",'PBA Summary'!$F$2,'PBA Summary'!$G$2)</f>
        <v>-0.1281202796544918</v>
      </c>
      <c r="FA58" s="34" cm="1">
        <f t="array" ref="FA58">_xll.ASAssetStatistic($A58,"Exponential Normal Monthly VaR 97%",,,,"m",'PBA Summary'!$F$2,'PBA Summary'!$G$2)</f>
        <v>-9.744310998965007E-2</v>
      </c>
      <c r="FB58" s="34" cm="1">
        <f t="array" ref="FB58">_xll.ASAssetStatistic($A58,"Exponential Normal Monthly VaR 95%",,,,"m",'PBA Summary'!$F$2,'PBA Summary'!$G$2)</f>
        <v>-8.1198240648013564E-2</v>
      </c>
      <c r="FC58" s="34" cm="1">
        <f t="array" ref="FC58">_xll.ASAssetStatistic($A58,"Exponential Normal Monthly VaR 90%",,,,"m",'PBA Summary'!$F$2,'PBA Summary'!$G$2)</f>
        <v>-5.6184275278131704E-2</v>
      </c>
      <c r="FD58" s="34" t="str" cm="1">
        <f t="array" ref="FD58">_xll.ASAssetStatistic($A58,"Exponential Normal weekly VaR 99%",,,,"m",'PBA Summary'!$F$2,'PBA Summary'!$G$2)</f>
        <v/>
      </c>
      <c r="FE58" s="34" t="str" cm="1">
        <f t="array" ref="FE58">_xll.ASAssetStatistic($A58,"Exponential Normal weekly VaR 97%",,,,"m",'PBA Summary'!$F$2,'PBA Summary'!$G$2)</f>
        <v/>
      </c>
      <c r="FF58" s="34" t="str" cm="1">
        <f t="array" ref="FF58">_xll.ASAssetStatistic($A58,"Exponential Normal weekly VaR 95%",,,,"m",'PBA Summary'!$F$2,'PBA Summary'!$G$2)</f>
        <v/>
      </c>
      <c r="FG58" s="34" t="str" cm="1">
        <f t="array" ref="FG58">_xll.ASAssetStatistic($A58,"Exponential Normal weekly VaR 90%",,,,"m",'PBA Summary'!$F$2,'PBA Summary'!$G$2)</f>
        <v/>
      </c>
      <c r="FH58" s="34" t="str" cm="1">
        <f t="array" ref="FH58">_xll.ASAssetStatistic($A58,"Exponential Normal daily VaR 99%",,,,"m",'PBA Summary'!$F$2,'PBA Summary'!$G$2)</f>
        <v/>
      </c>
      <c r="FI58" s="34" t="str" cm="1">
        <f t="array" ref="FI58">_xll.ASAssetStatistic($A58,"Exponential Normal daily VaR 97%",,,,"m",'PBA Summary'!$F$2,'PBA Summary'!$G$2)</f>
        <v/>
      </c>
      <c r="FJ58" s="34" t="str" cm="1">
        <f t="array" ref="FJ58">_xll.ASAssetStatistic($A58,"Exponential Normal daily VaR 95%",,,,"m",'PBA Summary'!$F$2,'PBA Summary'!$G$2)</f>
        <v/>
      </c>
      <c r="FK58" s="34" t="str" cm="1">
        <f t="array" ref="FK58">_xll.ASAssetStatistic($A58,"Exponential Normal daily VaR 90%",,,,"m",'PBA Summary'!$F$2,'PBA Summary'!$G$2)</f>
        <v/>
      </c>
      <c r="FL58" s="34" cm="1">
        <f t="array" ref="FL58">_xll.ASAssetStatistic($A58,"Bias Ratio",,,,"m",'PBA Summary'!$F$2,'PBA Summary'!$G$2)</f>
        <v>2.3333333333333335</v>
      </c>
      <c r="FM58" s="11" t="str" cm="1">
        <f t="array" ref="FM58">_xll.ASAssetInfo($A58,"Manager's Biography")</f>
        <v/>
      </c>
      <c r="FN58" s="11" cm="1">
        <f t="array" ref="FN58">_xll.ASAssetInfo($A58,"Investment Min")</f>
        <v>0</v>
      </c>
      <c r="FO58" s="11" t="str" cm="1">
        <f t="array" ref="FO58">_xll.ASAssetInfo($A58,"Auditor")</f>
        <v>Ernst &amp; Young LLP</v>
      </c>
      <c r="FP58" s="11" t="str" cm="1">
        <f t="array" ref="FP58">_xll.ASAssetInfo($A58,"Custodian")</f>
        <v>Bank of New York Mellon/The</v>
      </c>
      <c r="FQ58" s="11" t="str" cm="1">
        <f t="array" ref="FQ58">_xll.ASAssetInfo($A58,"Administrator")</f>
        <v>Van Eck Associates Corp</v>
      </c>
      <c r="FR58" s="14" t="str" cm="1">
        <f t="array" ref="FR58">_xll.ASAssetInfo($A58,"Proxy 1 Start Date")</f>
        <v/>
      </c>
      <c r="FS58" s="14" t="str" cm="1">
        <f t="array" ref="FS58">_xll.ASAssetInfo($A58,"Proxy 1 End Date")</f>
        <v/>
      </c>
      <c r="FT58" s="14" t="str" cm="1">
        <f t="array" ref="FT58">_xll.ASAssetInfo($A58,"Proxy 2 Start Date")</f>
        <v/>
      </c>
      <c r="FU58" s="14" t="str" cm="1">
        <f t="array" ref="FU58">_xll.ASAssetInfo($A58,"Proxy 2 End Date")</f>
        <v/>
      </c>
      <c r="FV58" s="14" t="str" cm="1">
        <f t="array" ref="FV58">_xll.ASAssetInfo($A58,"Proxy 3 Start Date")</f>
        <v/>
      </c>
      <c r="FW58" s="14" t="str" cm="1">
        <f t="array" ref="FW58">_xll.ASAssetInfo($A58,"Proxy 3 End Date")</f>
        <v/>
      </c>
      <c r="FX58" s="14" t="str" cm="1">
        <f t="array" ref="FX58">_xll.ASAssetInfo($A58,"Fund Domicile")</f>
        <v>US</v>
      </c>
      <c r="FY58" s="14" t="str" cm="1">
        <f t="array" ref="FY58">_xll.ASAssetInfo($A58,"Fund Contact")</f>
        <v/>
      </c>
      <c r="FZ58" s="14" t="str" cm="1">
        <f t="array" ref="FZ58">_xll.ASAssetInfo($A58,"Fund Contact Email")</f>
        <v/>
      </c>
      <c r="GA58" s="14" t="str" cm="1">
        <f t="array" ref="GA58">_xll.ASAssetInfo($A58,"Fund Contact Number")</f>
        <v/>
      </c>
      <c r="GB58" s="14" t="str" cm="1">
        <f t="array" ref="GB58">_xll.ASAssetInfo($A58,"City")</f>
        <v>New York</v>
      </c>
      <c r="GC58" s="14" t="str" cm="1">
        <f t="array" ref="GC58">_xll.ASAssetInfo($A58,"Leverage")</f>
        <v>N</v>
      </c>
      <c r="GD58" s="14" t="str" cm="1">
        <f t="array" ref="GD58">_xll.ASAssetInfo($A58,"Lockup 1 Duration")</f>
        <v>0 Months</v>
      </c>
      <c r="GE58" s="14" t="str" cm="1">
        <f t="array" ref="GE58">_xll.ASAssetInfo($A58,"Lockup 2 Duration")</f>
        <v>0 Months</v>
      </c>
      <c r="GF58" s="14" t="str" cm="1">
        <f t="array" ref="GF58">_xll.ASAssetInfo($A58,"Lockup 3 Duration")</f>
        <v>0 Months</v>
      </c>
      <c r="GG58" s="31" t="str" cm="1">
        <f t="array" ref="GG58">_xll.ASAssetInfo($A58,"Fund Level Gate")</f>
        <v/>
      </c>
      <c r="GH58" s="31" t="str" cm="1">
        <f t="array" ref="GH58">_xll.ASAssetInfo($A58,"Fund Level Gate Frequency")</f>
        <v>Unknown</v>
      </c>
      <c r="GI58" s="35" cm="1">
        <f t="array" ref="GI58">_xll.ASAssetInfo($A58,"Payment 2 (%)")</f>
        <v>0</v>
      </c>
      <c r="GJ58" s="35" t="str" cm="1">
        <f t="array" ref="GJ58">_xll.ASAssetInfo($A58,"Payment 2 (days)")</f>
        <v/>
      </c>
      <c r="GK58" s="35" t="str" cm="1">
        <f t="array" ref="GK58">_xll.ASAssetInfo($A58,"Payment 2 (Paid After)")</f>
        <v>NAV Date</v>
      </c>
      <c r="GL58" s="35" cm="1">
        <f t="array" ref="GL58">_xll.ASAssetInfo($A58,"Payment 3 (%)")</f>
        <v>0</v>
      </c>
      <c r="GM58" s="36" t="str" cm="1">
        <f t="array" ref="GM58">_xll.ASAssetInfo($A58,"Payment 3 (Days)")</f>
        <v/>
      </c>
      <c r="GN58" s="35" t="str" cm="1">
        <f t="array" ref="GN58">_xll.ASAssetInfo($A58,"Payment 3 (Paid After)")</f>
        <v>NAV Date</v>
      </c>
      <c r="GO58" s="35" cm="1">
        <f t="array" ref="GO58">_xll.ASAssetInfo($A58,"Payment 4 (%)")</f>
        <v>0</v>
      </c>
      <c r="GP58" s="36" t="str" cm="1">
        <f t="array" ref="GP58">_xll.ASAssetInfo($A58,"Payment 4 (days)")</f>
        <v/>
      </c>
      <c r="GQ58" s="35" t="str" cm="1">
        <f t="array" ref="GQ58">_xll.ASAssetInfo($A58,"Payment 4 (Paid After)")</f>
        <v>NAV Date</v>
      </c>
      <c r="GR58" s="11" cm="1">
        <f t="array" ref="GR58">_xll.ASAssetInfo($A58,"Payment 1 (%)")</f>
        <v>1</v>
      </c>
      <c r="GS58" s="35" cm="1">
        <f t="array" ref="GS58">_xll.ASAssetInfo($A58,"Lockup 1 Fee")</f>
        <v>0</v>
      </c>
      <c r="GT58" s="35" cm="1">
        <f t="array" ref="GT58">_xll.ASAssetInfo($A58,"Lockup 2 Fee")</f>
        <v>0</v>
      </c>
      <c r="GU58" s="35" cm="1">
        <f t="array" ref="GU58">_xll.ASAssetInfo($A58,"Lockup 3 Fee")</f>
        <v>0</v>
      </c>
      <c r="GV58" s="35" t="str" cm="1">
        <f t="array" ref="GV58">_xll.ASAssetInfo($A58,"Lockup 1 type")</f>
        <v>None</v>
      </c>
      <c r="GW58" s="35" t="str" cm="1">
        <f t="array" ref="GW58">_xll.ASAssetInfo($A58,"Lockup 2 type")</f>
        <v>None</v>
      </c>
      <c r="GX58" s="35" t="str" cm="1">
        <f t="array" ref="GX58">_xll.ASAssetInfo($A58,"Lockup 3 type")</f>
        <v>None</v>
      </c>
      <c r="GY58" s="35" t="str" cm="1">
        <f t="array" ref="GY58">_xll.ASAssetInfo($A58,"Redemption 1 type")</f>
        <v>Calendar</v>
      </c>
      <c r="GZ58" s="35" t="str" cm="1">
        <f t="array" ref="GZ58">_xll.ASAssetInfo($A58,"Redemption 2 type")</f>
        <v>Calendar</v>
      </c>
      <c r="HA58" s="35" t="str" cm="1">
        <f t="array" ref="HA58">_xll.ASAssetInfo($A58,"Redemption 3 type")</f>
        <v>Calendar</v>
      </c>
      <c r="HB58" s="35" t="str" cm="1">
        <f t="array" ref="HB58">_xll.ASAssetInfo($A58,"Redemption 1 Fee")</f>
        <v/>
      </c>
      <c r="HC58" s="35" t="str" cm="1">
        <f t="array" ref="HC58">_xll.ASAssetInfo($A58,"Redemption 2 Fee")</f>
        <v/>
      </c>
      <c r="HD58" s="35" t="str" cm="1">
        <f t="array" ref="HD58">_xll.ASAssetInfo($A58,"Redemption 3 Fee")</f>
        <v/>
      </c>
      <c r="HE58" s="35" t="str" cm="1">
        <f t="array" ref="HE58">_xll.ASAssetInfo($A58,"Redemption 1 Frequency")</f>
        <v>Daily</v>
      </c>
      <c r="HF58" s="35" t="str" cm="1">
        <f t="array" ref="HF58">_xll.ASAssetInfo($A58,"Redemption 2 Frequency")</f>
        <v>Unknown</v>
      </c>
      <c r="HG58" s="35" t="str" cm="1">
        <f t="array" ref="HG58">_xll.ASAssetInfo($A58,"Redemption 3 Frequency")</f>
        <v>Unknown</v>
      </c>
      <c r="HH58" s="35" t="str" cm="1">
        <f t="array" ref="HH58">_xll.ASAssetInfo($A58,"Asset Calendar")</f>
        <v>[Default]</v>
      </c>
      <c r="HI58" s="16" cm="1">
        <f t="array" ref="HI58">_xll.ASAssetStatistic($A58,"Max Second Drawdown",,,,"m",'PBA Summary'!$F$2,'PBA Summary'!$G$2)</f>
        <v>-8.0418713055354307E-2</v>
      </c>
      <c r="HJ58" s="37" cm="1">
        <f t="array" ref="HJ58">_xll.ASAssetStatistic($A58,"Date Max Second Drawdown",,,,"m",'PBA Summary'!$F$2,'PBA Summary'!$G$2)</f>
        <v>43465</v>
      </c>
      <c r="HK58" s="37"/>
      <c r="HL58" s="37" t="str" cm="1">
        <f t="array" ref="HL58">_xll.ASAssetInfo($A58,HL$1)</f>
        <v/>
      </c>
      <c r="HM58" s="34" t="str" cm="1">
        <f t="array" ref="HM58">_xll.ASAssetInfo($A58,HM$1)</f>
        <v/>
      </c>
      <c r="HN58" s="37" t="str" cm="1">
        <f t="array" ref="HN58">_xll.ASAssetInfo($A58,HN$1)</f>
        <v/>
      </c>
      <c r="HO58" s="15" cm="1">
        <f t="array" ref="HO58">_xll.ASAssetInfo($A58,HO$1)</f>
        <v>0</v>
      </c>
      <c r="HP58" s="15" t="str" cm="1">
        <f t="array" ref="HP58">_xll.ASAssetInfo($A58,HP$1)</f>
        <v/>
      </c>
      <c r="HQ58" s="34" t="str" cm="1">
        <f t="array" ref="HQ58">_xll.ASAssetInfo($A58,HQ$1)</f>
        <v/>
      </c>
      <c r="HR58" s="37" t="str" cm="1">
        <f t="array" ref="HR58">_xll.ASAssetInfo($A58,HR$1)</f>
        <v/>
      </c>
      <c r="HS58" s="37" t="str" cm="1">
        <f t="array" ref="HS58">_xll.ASAssetInfo($A58,HS$1)</f>
        <v/>
      </c>
      <c r="HT58" s="37" t="str" cm="1">
        <f t="array" ref="HT58">_xll.ASAssetInfo($A58,HT$1)</f>
        <v/>
      </c>
      <c r="HU58" s="37" t="str" cm="1">
        <f t="array" ref="HU58">_xll.ASAssetInfo($A58,HU$1)</f>
        <v>Americas</v>
      </c>
      <c r="HV58" s="37" t="str" cm="1">
        <f t="array" ref="HV58">_xll.ASAssetInfo($A58,HV$1)</f>
        <v>Technology</v>
      </c>
      <c r="HW58" s="37" t="str" cm="1">
        <f t="array" ref="HW58">_xll.ASAssetInfo($A58,HW$1)</f>
        <v/>
      </c>
    </row>
    <row r="59" spans="1:231" s="11" customFormat="1" x14ac:dyDescent="0.25">
      <c r="A59"/>
      <c r="B59" t="str" cm="1">
        <f t="array" ref="B59">_xll.ASPortfolioWeights('PBA Summary'!$C$2,"OR",$A59)</f>
        <v/>
      </c>
      <c r="C59" t="str" cm="1">
        <f t="array" ref="C59">_xll.ASAssetStatistic($A59,"Annualized Return since inception",,,,"m",_xll.ASAssetInfo($A59,"Start Date"),_xll.ASAssetInfo($A59,"Last Return Date"))</f>
        <v/>
      </c>
      <c r="D59" t="str" cm="1">
        <f t="array" ref="D59">_xll.ASAssetStatistic($A59,"Annualized Return",,,,"m",'PBA Summary'!$F$2,'PBA Summary'!$G$2)</f>
        <v/>
      </c>
      <c r="E59" s="19" t="str" cm="1">
        <f t="array" ref="E59">_xll.ASAssetStatistic($A59,"Equilibrium Annual Return",,,,"m",'PBA Summary'!$F$2,'PBA Summary'!$G$2)</f>
        <v/>
      </c>
      <c r="F59" t="str" cm="1">
        <f t="array" ref="F59">_xll.ASAssetStatistic($A59,"Annualized Volatility (Inception)",,,,"m",_xll.ASAssetInfo($A59,"Start Date"),_xll.ASAssetInfo($A59,"Last Return Date"))</f>
        <v/>
      </c>
      <c r="G59" t="str" cm="1">
        <f t="array" ref="G59">_xll.ASAssetStatistic($A59,"Annualized Volatility",,,,"m",'PBA Summary'!$F$2,'PBA Summary'!$G$2)</f>
        <v/>
      </c>
      <c r="H59" s="20" t="str" cm="1">
        <f t="array" ref="H59">_xll.ASAssetStatistic($A59,"Skewness",,,,"m",'PBA Summary'!$F$2,'PBA Summary'!$G$2)</f>
        <v/>
      </c>
      <c r="I59" s="20" t="str" cm="1">
        <f t="array" ref="I59">_xll.ASAssetStatistic($A59,"Excess kurtosis",,,,"m",'PBA Summary'!$F$2,'PBA Summary'!$G$2)</f>
        <v/>
      </c>
      <c r="J59" s="19" t="str" cm="1">
        <f t="array" ref="J59">_xll.ASAssetStatistic($A59,"Return Last 1 month",,,,"m",'PBA Summary'!$F$2,'PBA Summary'!$G$2)</f>
        <v/>
      </c>
      <c r="K59" s="19" t="str" cm="1">
        <f t="array" ref="K59">_xll.ASAssetStatistic($A59,"Return Last 3 months",,,,"m",'PBA Summary'!$F$2,'PBA Summary'!$G$2)</f>
        <v/>
      </c>
      <c r="L59" s="19" t="str" cm="1">
        <f t="array" ref="L59">_xll.ASAssetStatistic($A59,"Return Last 1 year",,,,"m",'PBA Summary'!$F$2,'PBA Summary'!$G$2)</f>
        <v/>
      </c>
      <c r="M59" s="19" t="str" cm="1">
        <f t="array" ref="M59">_xll.ASAssetStatistic($A59,"Year-to-date Return",,,,"m",'PBA Summary'!$F$2,'PBA Summary'!$G$2)</f>
        <v/>
      </c>
      <c r="N59" s="19" t="str" cm="1">
        <f t="array" ref="N59">_xll.ASAssetStatistic($A59,"Annualized Return",,,,"m",EOMONTH('PBA Summary'!$G$2,-2),'PBA Summary'!$G$2)</f>
        <v/>
      </c>
      <c r="O59" s="19" t="str" cm="1">
        <f t="array" ref="O59">_xll.ASAssetStatistic($A59,"Annualized Return Last 3 years",,,,"m",'PBA Summary'!$F$2,'PBA Summary'!$G$2)</f>
        <v/>
      </c>
      <c r="P59" s="19" t="str" cm="1">
        <f t="array" ref="P59">_xll.ASAssetStatistic($A59,"Annualized Return Last 5 years",,,,"m",'PBA Summary'!$F$2,'PBA Summary'!$G$2)</f>
        <v/>
      </c>
      <c r="Q59" s="19" t="str" cm="1">
        <f t="array" ref="Q59">_xll.ASAssetStatistic($A59,"Annualized Volatility Last 1 year",,,,"m",'PBA Summary'!$F$2,'PBA Summary'!$G$2)</f>
        <v/>
      </c>
      <c r="R59" s="19" t="str" cm="1">
        <f t="array" ref="R59">_xll.ASAssetStatistic($A59,"Annualized Volatility Last 3 years",,,,"m",'PBA Summary'!$F$2,'PBA Summary'!$G$2)</f>
        <v/>
      </c>
      <c r="S59" s="19" t="str" cm="1">
        <f t="array" ref="S59">_xll.ASAssetStatistic($A59,"Annualized Volatility Last 5 years",,,,"m",'PBA Summary'!$F$2,'PBA Summary'!$G$2)</f>
        <v/>
      </c>
      <c r="T59" s="19" t="str" cm="1">
        <f t="array" ref="T59">_xll.ASAssetStatistic($A59,"Normal monthly VaR 99%",,,,"m",'PBA Summary'!$F$2,'PBA Summary'!$G$2)</f>
        <v/>
      </c>
      <c r="U59" s="19" t="str" cm="1">
        <f t="array" ref="U59">_xll.ASAssetStatistic($A59,"Modified monthly VaR 99%",,,,"m",'PBA Summary'!$F$2,'PBA Summary'!$G$2)</f>
        <v/>
      </c>
      <c r="V59" s="19" t="str" cm="1">
        <f t="array" ref="V59">_xll.ASAssetStatistic($A59,"Conditional monthly VaR 99%",,,,"m",'PBA Summary'!$F$2,'PBA Summary'!$G$2)</f>
        <v/>
      </c>
      <c r="W59" s="19" t="str" cm="1">
        <f t="array" ref="W59">_xll.ASAssetStatistic($A59,"Normal monthly VaR 97%",,,,"m",'PBA Summary'!$F$2,'PBA Summary'!$G$2)</f>
        <v/>
      </c>
      <c r="X59" s="19" t="str" cm="1">
        <f t="array" ref="X59">_xll.ASAssetStatistic($A59,"Modified monthly VaR 97%",,,,"m",'PBA Summary'!$F$2,'PBA Summary'!$G$2)</f>
        <v/>
      </c>
      <c r="Y59" s="19" t="str" cm="1">
        <f t="array" ref="Y59">_xll.ASAssetStatistic($A59,"Conditional monthly VaR 97%",,,,"m",'PBA Summary'!$F$2,'PBA Summary'!$G$2)</f>
        <v/>
      </c>
      <c r="Z59" s="19" t="str" cm="1">
        <f t="array" ref="Z59">_xll.ASAssetStatistic($A59,"Normal monthly VaR 95%",,,,"m",'PBA Summary'!$F$2,'PBA Summary'!$G$2)</f>
        <v/>
      </c>
      <c r="AA59" s="19" t="str" cm="1">
        <f t="array" ref="AA59">_xll.ASAssetStatistic($A59,"Modified monthly VaR 95%",,,,"m",'PBA Summary'!$F$2,'PBA Summary'!$G$2)</f>
        <v/>
      </c>
      <c r="AB59" s="19" t="str" cm="1">
        <f t="array" ref="AB59">_xll.ASAssetStatistic($A59,"Conditional monthly VaR 95%",,,,"m",'PBA Summary'!$F$2,'PBA Summary'!$G$2)</f>
        <v/>
      </c>
      <c r="AC59" s="66" t="str" cm="1">
        <f t="array" ref="AC59">_xll.ASAssetStatistic($A59,"Correlation to Benchmark 1","MSCI ACWI Index",,,"m",'PBA Summary'!$F$2,'PBA Summary'!$G$2)</f>
        <v/>
      </c>
      <c r="AD59" s="38" t="str" cm="1">
        <f t="array" ref="AD59">IF('PBA Summary'!$D$3="","",_xll.ASAssetStatistic($A59,"Correlation to Benchmark 1",'PBA Summary'!$D$3,,,"m",'PBA Summary'!$F$2,'PBA Summary'!$G$2))</f>
        <v/>
      </c>
      <c r="AE59" s="21" t="str" cm="1">
        <f t="array" ref="AE59">IF('PBA Summary'!$D$2="","",_xll.ASAssetStatistic($A59,"Bull correlation to Benchmark 1",'PBA Summary'!$D$2,,,"m",'PBA Summary'!$F$2,'PBA Summary'!$G$2))</f>
        <v/>
      </c>
      <c r="AF59" s="21" t="str" cm="1">
        <f t="array" ref="AF59">IF('PBA Summary'!$D$2="","",_xll.ASAssetStatistic($A59,"Bear correlation to Benchmark 1",'PBA Summary'!$D$2,,,"m",'PBA Summary'!$F$2,'PBA Summary'!$G$2))</f>
        <v/>
      </c>
      <c r="AG59" s="21" t="str" cm="1">
        <f t="array" ref="AG59">IF('PBA Summary'!$D$3="","",_xll.ASAssetStatistic($A59,"Bull correlation to Benchmark 1",'PBA Summary'!$D$3,,,"m",'PBA Summary'!$F$2,'PBA Summary'!$G$2))</f>
        <v/>
      </c>
      <c r="AH59" s="21" t="str" cm="1">
        <f t="array" ref="AH59">IF('PBA Summary'!$D$3="","",_xll.ASAssetStatistic($A59,"Bear correlation to Benchmark 1",'PBA Summary'!$D$3,,,"m",'PBA Summary'!$F$2,'PBA Summary'!$G$2))</f>
        <v/>
      </c>
      <c r="AI59" s="24" t="str" cm="1">
        <f t="array" ref="AI59">IF('PBA Summary'!$D$2="","",_xll.ASAssetStatistic($A59,"Beta to Benchmark 1",'PBA Summary'!$D$2,,,"m",'PBA Summary'!$F$2,'PBA Summary'!$G$2))</f>
        <v/>
      </c>
      <c r="AJ59" s="24" t="str" cm="1">
        <f t="array" ref="AJ59">IF('PBA Summary'!$D$2="","",_xll.ASAssetStatistic($A59,"Beta to Benchmark 1 Last 3 years",'PBA Summary'!$D$2,,,"m",'PBA Summary'!$F$2,'PBA Summary'!$G$2))</f>
        <v/>
      </c>
      <c r="AK59" s="24" t="str" cm="1">
        <f t="array" ref="AK59">IF('PBA Summary'!$D$2="","",_xll.ASAssetStatistic($A59,"Beta to Benchmark 1 Last 5 years",'PBA Summary'!$D$2,,,"m",'PBA Summary'!$F$2,'PBA Summary'!$G$2))</f>
        <v/>
      </c>
      <c r="AL59" s="25" t="str" cm="1">
        <f t="array" ref="AL59">IF('PBA Summary'!$D$3="","",_xll.ASAssetStatistic($A59,"Beta to Benchmark 1",'PBA Summary'!$D$3,,,"m",'PBA Summary'!$F$2,'PBA Summary'!$G$2))</f>
        <v/>
      </c>
      <c r="AM59" s="25" t="str" cm="1">
        <f t="array" ref="AM59">IF('PBA Summary'!$D$3="","",_xll.ASAssetStatistic($A59,"Beta to Benchmark 1 Last 3 years",'PBA Summary'!$D$3,,,"m",'PBA Summary'!$F$2,'PBA Summary'!$G$2))</f>
        <v/>
      </c>
      <c r="AN59" s="25" t="str" cm="1">
        <f t="array" ref="AN59">IF('PBA Summary'!$D$3="","",_xll.ASAssetStatistic($A59,"Beta to Benchmark 1 Last 5 years",'PBA Summary'!$D$3,,,"m",'PBA Summary'!$F$2,'PBA Summary'!$G$2))</f>
        <v/>
      </c>
      <c r="AO59" s="25" t="str" cm="1">
        <f t="array" ref="AO59">IF('PBA Summary'!$D$2="","",_xll.ASAssetStatistic($A59,"Bull Beta to Benchmark 1",'PBA Summary'!$D$2,,,"m",'PBA Summary'!$F$2,'PBA Summary'!$G$2))</f>
        <v/>
      </c>
      <c r="AP59" s="25" t="str" cm="1">
        <f t="array" ref="AP59">IF('PBA Summary'!$D$2="","",_xll.ASAssetStatistic($A59,"Bear Beta to Benchmark 1",'PBA Summary'!$D$2,,,"m",'PBA Summary'!$F$2,'PBA Summary'!$G$2))</f>
        <v/>
      </c>
      <c r="AQ59" s="25" t="str" cm="1">
        <f t="array" ref="AQ59">IF('PBA Summary'!$D$3="","",_xll.ASAssetStatistic($A59,"Bull Beta to Benchmark 1",'PBA Summary'!$D$3,,,"m",'PBA Summary'!$F$2,'PBA Summary'!$G$2))</f>
        <v/>
      </c>
      <c r="AR59" s="25" t="str" cm="1">
        <f t="array" ref="AR59">IF('PBA Summary'!$D$3="","",_xll.ASAssetStatistic($A59,"Bear Beta to Benchmark 1",'PBA Summary'!$D$3,,,"m",'PBA Summary'!$F$2,'PBA Summary'!$G$2))</f>
        <v/>
      </c>
      <c r="AS59" s="25" t="str" cm="1">
        <f t="array" ref="AS59">_xll.ASAssetStatistic($A59,"Annual Sharpe Ratio (Rf)",,,'PBA Summary'!$H$2,"m",'PBA Summary'!$F$2,'PBA Summary'!$G$2)</f>
        <v/>
      </c>
      <c r="AT59" s="25" t="str" cm="1">
        <f t="array" ref="AT59">_xll.ASAssetStatistic($A59,"Annual Sharpe Ratio (Rf) Last 3 years",,,'PBA Summary'!$H$2,"m",'PBA Summary'!$F$2,'PBA Summary'!$G$2)</f>
        <v/>
      </c>
      <c r="AU59" s="25" t="str" cm="1">
        <f t="array" ref="AU59">_xll.ASAssetStatistic($A59,"Annual Sharpe Ratio (Rf) Last 5 years",,,'PBA Summary'!$H$2,"m",'PBA Summary'!$F$2,'PBA Summary'!$G$2)</f>
        <v/>
      </c>
      <c r="AV59" s="18" t="str" cm="1">
        <f t="array" ref="AV59">_xll.ASAssetStatistic($A59,"Ann. Downside Deviation (vs 0%)",,,'PBA Summary'!$H$2,"m",'PBA Summary'!$F$2,'PBA Summary'!$G$2)</f>
        <v/>
      </c>
      <c r="AW59" s="18" t="str" cm="1">
        <f t="array" ref="AW59">_xll.ASAssetStatistic($A59,"Ann. Downside Deviation (vs Rf)",,,'PBA Summary'!$H$2,"m",'PBA Summary'!$F$2,'PBA Summary'!$G$2)</f>
        <v/>
      </c>
      <c r="AX59" s="39" t="str" cm="1">
        <f t="array" ref="AX59">_xll.ASAssetStatistic($A59,"Annual Treynor ratio",,,'PBA Summary'!$H$2,"m",'PBA Summary'!$F$2,'PBA Summary'!$G$2)</f>
        <v/>
      </c>
      <c r="AY59" s="26" t="str" cm="1">
        <f t="array" ref="AY59">_xll.ASAssetStatistic($A59,"Annual Sortino Ratio (vs 0%)",,,'PBA Summary'!$H$2,"m",'PBA Summary'!$F$2,'PBA Summary'!$G$2)</f>
        <v/>
      </c>
      <c r="AZ59" s="26" t="str" cm="1">
        <f t="array" ref="AZ59">_xll.ASAssetStatistic($A59,"Annual Sortino Ratio (vs Rf)",,,'PBA Summary'!$H$2,"m",'PBA Summary'!$F$2,'PBA Summary'!$G$2)</f>
        <v/>
      </c>
      <c r="BA59" s="26" t="str" cm="1">
        <f t="array" ref="BA59">_xll.ASAssetStatistic($A59,"Sterling ratio",,,'PBA Summary'!$H$2,"m",'PBA Summary'!$F$2,'PBA Summary'!$G$2)</f>
        <v/>
      </c>
      <c r="BB59" s="26" t="str" cm="1">
        <f t="array" ref="BB59">_xll.ASAssetStatistic($A59,"Calmar ratio",,,'PBA Summary'!$H$2,"m",'PBA Summary'!$F$2,'PBA Summary'!$G$2)</f>
        <v/>
      </c>
      <c r="BC59" s="26" t="str" cm="1">
        <f t="array" ref="BC59">_xll.ASAssetStatistic($A59,"Hurst index",,,'PBA Summary'!$H$2,"m",'PBA Summary'!$F$2,'PBA Summary'!$G$2)</f>
        <v/>
      </c>
      <c r="BD59" s="26" t="str" cm="1">
        <f t="array" ref="BD59">_xll.ASAssetStatistic($A59,"Omega (Threshold 1)",,,'PBA Summary'!$H$2,"m",'PBA Summary'!$F$2,'PBA Summary'!$G$2)</f>
        <v/>
      </c>
      <c r="BE59" s="26" t="str" cm="1">
        <f t="array" ref="BE59">_xll.ASAssetStatistic($A59,"Omega (Threshold 2)",,,'PBA Summary'!$H$2,"m",'PBA Summary'!$F$2,'PBA Summary'!$G$2)</f>
        <v/>
      </c>
      <c r="BF59" s="26" t="str" cm="1">
        <f t="array" ref="BF59">_xll.ASAssetStatistic($A59,"Omega (Threshold 3)",,,'PBA Summary'!$H$2,"m",'PBA Summary'!$F$2,'PBA Summary'!$G$2)</f>
        <v/>
      </c>
      <c r="BG59" s="26" t="str" cm="1">
        <f t="array" ref="BG59">_xll.ASAssetStatistic($A59,"Omega (Threshold 4)",,,'PBA Summary'!$H$2,"m",'PBA Summary'!$F$2,'PBA Summary'!$G$2)</f>
        <v/>
      </c>
      <c r="BH59" s="26" t="str" cm="1">
        <f t="array" ref="BH59">_xll.ASAssetStatistic($A59,"Omega (Threshold 5)",,,'PBA Summary'!$H$2,"m",'PBA Summary'!$F$2,'PBA Summary'!$G$2)</f>
        <v/>
      </c>
      <c r="BI59" s="26" t="str" cm="1">
        <f t="array" ref="BI59">_xll.ASAssetStatistic($A59,"Autocorrelated (illiquid)",,,'PBA Summary'!$H$2,"m",'PBA Summary'!$F$2,'PBA Summary'!$G$2)</f>
        <v/>
      </c>
      <c r="BJ59" s="27" t="str" cm="1">
        <f t="array" ref="BJ59">_xll.ASAssetStatistic($A59,"% months in Run Up",,,'PBA Summary'!$H$2,"m",'PBA Summary'!$F$2,'PBA Summary'!$G$2)</f>
        <v/>
      </c>
      <c r="BK59" s="27" t="str" cm="1">
        <f t="array" ref="BK59">_xll.ASAssetStatistic($A59,"% months in Drawdown",,,'PBA Summary'!$H$2,"m",'PBA Summary'!$F$2,'PBA Summary'!$G$2)</f>
        <v/>
      </c>
      <c r="BL59" s="18" t="str" cm="1">
        <f t="array" ref="BL59">IF('PBA Summary'!$D$2="","",_xll.ASAssetStatistic($A59,"Bull Beta to Benchmark 1",'PBA Summary'!$D$2,,,"m",'PBA Summary'!$F$2,'PBA Summary'!$G$2))</f>
        <v/>
      </c>
      <c r="BM59" s="18" t="str" cm="1">
        <f t="array" ref="BM59">IF('PBA Summary'!$D$2="","",_xll.ASAssetStatistic($A59,"Average return during bear Benchmark 1",'PBA Summary'!$D$2,,,"m",'PBA Summary'!$F$2,'PBA Summary'!$G$2))</f>
        <v/>
      </c>
      <c r="BN59" s="18" t="str" cm="1">
        <f t="array" ref="BN59">IF('PBA Summary'!$D$3="","",_xll.ASAssetStatistic($A59,"Average return during bull Benchmark 1",'PBA Summary'!$D$3,,,"m",'PBA Summary'!$F$2,'PBA Summary'!$G$2))</f>
        <v/>
      </c>
      <c r="BO59" s="18" t="str" cm="1">
        <f t="array" ref="BO59">IF('PBA Summary'!$D$3="","",_xll.ASAssetStatistic($A59,"Average return during bear Benchmark 1",'PBA Summary'!$D$3,,,"m",'PBA Summary'!$F$2,'PBA Summary'!$G$2))</f>
        <v/>
      </c>
      <c r="BP59" s="27" t="str" cm="1">
        <f t="array" ref="BP59">_xll.ASAssetStatistic($A59,"Maximum consecutive gain",,,'PBA Summary'!$H$2,"m",'PBA Summary'!$F$2,'PBA Summary'!$G$2)</f>
        <v/>
      </c>
      <c r="BQ59" s="27" t="str" cm="1">
        <f t="array" ref="BQ59">_xll.ASAssetStatistic($A59,"Maximum consecutive loss",,,'PBA Summary'!$H$2,"m",'PBA Summary'!$F$2,'PBA Summary'!$G$2)</f>
        <v/>
      </c>
      <c r="BR59" s="27" t="str" cm="1">
        <f t="array" ref="BR59">_xll.ASAssetStatistic($A59,"Max monthly gain",,,'PBA Summary'!$H$2,"m",'PBA Summary'!$F$2,'PBA Summary'!$G$2)</f>
        <v/>
      </c>
      <c r="BS59" s="27" t="str" cm="1">
        <f t="array" ref="BS59">_xll.ASAssetStatistic($A59,"Max monthly loss",,,'PBA Summary'!$H$2,"m",'PBA Summary'!$F$2,'PBA Summary'!$G$2)</f>
        <v/>
      </c>
      <c r="BT59" s="27" t="str" cm="1">
        <f t="array" ref="BT59">_xll.ASAssetStatistic($A59,"Max drawdown",,,'PBA Summary'!$H$2,"m",'PBA Summary'!$F$2,'PBA Summary'!$G$2)</f>
        <v/>
      </c>
      <c r="BU59" s="28" t="str" cm="1">
        <f t="array" ref="BU59">_xll.ASAssetStatistic($A59,"Date Max drawdown",,,'PBA Summary'!$H$2,"m",'PBA Summary'!$F$2,'PBA Summary'!$G$2)</f>
        <v/>
      </c>
      <c r="BV59" s="28" t="str" cm="1">
        <f t="array" ref="BV59">_xll.ASAssetStatistic($A59,"Start Date Max Drawdown",,,'PBA Summary'!$H$2,"m",'PBA Summary'!$F$2,'PBA Summary'!$G$2)</f>
        <v/>
      </c>
      <c r="BW59" s="28" t="str" cm="1">
        <f t="array" ref="BW59">_xll.ASAssetStatistic($A59,"End Date Max Drawdown",,,'PBA Summary'!$H$2,"m",'PBA Summary'!$F$2,'PBA Summary'!$G$2)</f>
        <v/>
      </c>
      <c r="BX59" s="29" t="str" cm="1">
        <f t="array" ref="BX59">_xll.ASAssetStatistic($A59,"Max Time-under-water (months)",,,'PBA Summary'!$H$2,"m",'PBA Summary'!$F$2,'PBA Summary'!$G$2)</f>
        <v/>
      </c>
      <c r="BY59" s="27" t="str" cm="1">
        <f t="array" ref="BY59">_xll.ASAssetStatistic($A59,"Max possible drawdown 99%",,,'PBA Summary'!$H$2,"m",'PBA Summary'!$F$2,'PBA Summary'!$G$2)</f>
        <v/>
      </c>
      <c r="BZ59" s="27" t="str" cm="1">
        <f t="array" ref="BZ59">_xll.ASAssetStatistic($A59,"Max possible drawdown 99.9%",,,'PBA Summary'!$H$2,"m",'PBA Summary'!$F$2,'PBA Summary'!$G$2)</f>
        <v/>
      </c>
      <c r="CA59" s="30" t="str" cm="1">
        <f t="array" ref="CA59">_xll.ASAssetStatistic($A59,"Max Possible Time-under-water 99% (months)",,,'PBA Summary'!$H$2,"m",'PBA Summary'!$F$2,'PBA Summary'!$G$2)</f>
        <v/>
      </c>
      <c r="CB59" s="30" t="str" cm="1">
        <f t="array" ref="CB59">_xll.ASAssetStatistic($A59,"Max Possible Time-under-water 99.9% (months)",,,'PBA Summary'!$H$2,"m",'PBA Summary'!$F$2,'PBA Summary'!$G$2)</f>
        <v/>
      </c>
      <c r="CC59" s="17" t="str" cm="1">
        <f t="array" ref="CC59">_xll.ASPortfolioReturnAttribution('PBA Summary'!$C$2,"OR",A59,"Last 1m",'PBA Summary'!$F$2,'PBA Summary'!$G$2)</f>
        <v/>
      </c>
      <c r="CD59" s="11" t="str" cm="1">
        <f t="array" ref="CD59">_xll.ASAssetInfo($A59,"Strategy")</f>
        <v/>
      </c>
      <c r="CE59" s="14" t="str" cm="1">
        <f t="array" ref="CE59">_xll.ASAssetInfo($A59,"Start Date")</f>
        <v/>
      </c>
      <c r="CF59" s="14" t="str" cm="1">
        <f t="array" ref="CF59">_xll.ASAssetRatings($A59,"Quantitative",0,0,0,0,0,'PBA Summary'!$F$2,'PBA Summary'!$G$2)</f>
        <v/>
      </c>
      <c r="CG59" s="14" t="str" cm="1">
        <f t="array" ref="CG59">_xll.ASAssetRatings($A59,"Qualitative",0,0,0,0,0,'PBA Summary'!$F$2,'PBA Summary'!$G$2)</f>
        <v/>
      </c>
      <c r="CH59" s="14" t="str" cm="1">
        <f t="array" ref="CH59">_xll.ASAssetRatings($A59,"Final",0,0,0,0,0,'PBA Summary'!$F$2,'PBA Summary'!$G$2)</f>
        <v/>
      </c>
      <c r="CI59" s="14" t="str" cm="1">
        <f t="array" ref="CI59">_xll.ASAssetInfo($A59,"Last Return Date")</f>
        <v/>
      </c>
      <c r="CJ59" s="14" t="str" cm="1">
        <f t="array" ref="CJ59">_xll.ASAssetInfo($A59,"Company Name")</f>
        <v/>
      </c>
      <c r="CK59" s="14" t="str" cm="1">
        <f t="array" ref="CK59">_xll.ASAssetInfo($A59,"Manager Name")</f>
        <v/>
      </c>
      <c r="CL59" s="14" t="str" cm="1">
        <f t="array" ref="CL59">_xll.ASAssetInfo($A59,"Address")</f>
        <v/>
      </c>
      <c r="CM59" s="14" t="str" cm="1">
        <f t="array" ref="CM59">_xll.ASAssetInfo($A59,"Phone Number")</f>
        <v/>
      </c>
      <c r="CN59" s="14" t="str" cm="1">
        <f t="array" ref="CN59">_xll.ASAssetInfo($A59,"Email")</f>
        <v/>
      </c>
      <c r="CO59" s="14" t="str" cm="1">
        <f t="array" ref="CO59">_xll.ASAssetInfo($A59,"Asset Type")</f>
        <v/>
      </c>
      <c r="CP59" s="14" t="str" cm="1">
        <f t="array" ref="CP59">_xll.ASAssetInfo($A59,"Proprietary ID")</f>
        <v/>
      </c>
      <c r="CQ59" s="14" t="str" cm="1">
        <f t="array" ref="CQ59">_xll.ASAssetInfo($A59,"Country")</f>
        <v/>
      </c>
      <c r="CR59" s="14" t="str" cm="1">
        <f t="array" ref="CR59">_xll.ASAssetInfo($A59,"Currency")</f>
        <v/>
      </c>
      <c r="CS59" s="14" t="str" cm="1">
        <f t="array" ref="CS59">_xll.ASAssetInfo($A59,"Sub-Strategy")</f>
        <v/>
      </c>
      <c r="CT59" s="31" t="str" cm="1">
        <f t="array" ref="CT59">_xll.ASAssetInfo($A59,"Fund AUM (m)")</f>
        <v/>
      </c>
      <c r="CU59" s="31" t="str" cm="1">
        <f t="array" ref="CU59">_xll.ASAssetInfo($A59,"Status")</f>
        <v/>
      </c>
      <c r="CV59" s="31" t="str" cm="1">
        <f t="array" ref="CV59">_xll.ASAssetInfo($A59,"Redemption 1 Frequency")</f>
        <v/>
      </c>
      <c r="CW59" s="31" t="str" cm="1">
        <f t="array" ref="CW59">_xll.ASAssetInfo($A59,"Redemption 2 Frequency")</f>
        <v/>
      </c>
      <c r="CX59" s="31" t="str" cm="1">
        <f t="array" ref="CX59">_xll.ASAssetInfo($A59,"Redemption 3 Frequency")</f>
        <v/>
      </c>
      <c r="CY59" s="31" t="str" cm="1">
        <f t="array" ref="CY59">_xll.ASAssetInfo($A59,"Notice Period")</f>
        <v/>
      </c>
      <c r="CZ59" s="15" t="str" cm="1">
        <f t="array" ref="CZ59">_xll.ASAssetInfo($A59,"Performance Fee")</f>
        <v/>
      </c>
      <c r="DA59" s="15" t="str" cm="1">
        <f t="array" ref="DA59">_xll.ASAssetInfo($A59,"Management Fee")</f>
        <v/>
      </c>
      <c r="DB59" s="15" t="str" cm="1">
        <f t="array" ref="DB59">_xll.ASAssetInfo($A59,"ISIN")</f>
        <v/>
      </c>
      <c r="DC59" s="16" t="str" cm="1">
        <f t="array" ref="DC59">_xll.ASAssetStatistic($A59,"Return during " &amp;YEAR(EOMONTH('PBA Summary'!$G$2,-60)),,,,"M",DATE(YEAR(EOMONTH('PBA Summary'!$G$2,-60)),1,31),DATE(YEAR(EOMONTH('PBA Summary'!$G$2,-60)),12,31))</f>
        <v/>
      </c>
      <c r="DD59" s="16" t="str" cm="1">
        <f t="array" ref="DD59">_xll.ASAssetStatistic($A59,"Return during " &amp;YEAR(EOMONTH('PBA Summary'!$G$2,-48)),,,,"M",DATE(YEAR(EOMONTH('PBA Summary'!$G$2,-48)),1,31),DATE(YEAR(EOMONTH('PBA Summary'!$G$2,-48)),12,31))</f>
        <v/>
      </c>
      <c r="DE59" s="16" t="str" cm="1">
        <f t="array" ref="DE59">_xll.ASAssetStatistic($A59,"Return during " &amp;YEAR(EOMONTH('PBA Summary'!$G$2,-36)),,,,"M",DATE(YEAR(EOMONTH('PBA Summary'!$G$2,-36)),1,31),DATE(YEAR(EOMONTH('PBA Summary'!$G$2,-36)),12,31))</f>
        <v/>
      </c>
      <c r="DF59" s="16" t="str" cm="1">
        <f t="array" ref="DF59">_xll.ASAssetStatistic($A59,"Return during " &amp;YEAR(EOMONTH('PBA Summary'!$G$2,-24)),,,,"M",DATE(YEAR(EOMONTH('PBA Summary'!$G$2,-24)),1,31),DATE(YEAR(EOMONTH('PBA Summary'!$G$2,-24)),12,31))</f>
        <v/>
      </c>
      <c r="DG59" s="16" t="str" cm="1">
        <f t="array" ref="DG59">_xll.ASAssetStatistic($A59,"Return during " &amp;YEAR(EOMONTH('PBA Summary'!$G$2,-12)),,,,"M",DATE(YEAR(EOMONTH('PBA Summary'!$G$2,-12)),1,31),DATE(YEAR(EOMONTH('PBA Summary'!$G$2,-12)),12,31))</f>
        <v/>
      </c>
      <c r="DH59" s="11" t="str" cm="1">
        <f t="array" ref="DH59">_xll.ASAssetInfo($A59,"Prime Broker")</f>
        <v/>
      </c>
      <c r="DI59" s="16" t="str" cm="1">
        <f t="array" ref="DI59">_xll.ASAssetStatistic($A59,"Return",,,,"m",'PBA Summary'!$F$2,'PBA Summary'!$G$2)</f>
        <v/>
      </c>
      <c r="DJ59" s="33" t="str" cm="1">
        <f t="array" ref="DJ59">IF('PBA Summary'!$D$2="","",_xll.ASAssetStatistic($A59,"Ann. Information Ratio vs Benchmark 1",'PBA Summary'!$D$2,,,"m",'PBA Summary'!$F$2,'PBA Summary'!$G$2))</f>
        <v/>
      </c>
      <c r="DK59" s="33" t="str" cm="1">
        <f t="array" ref="DK59">IF('PBA Summary'!$D$3="","",_xll.ASAssetStatistic($A59,"Ann. Information Ratio vs Benchmark 1",'PBA Summary'!$D$3,,,"m",'PBA Summary'!$F$2,'PBA Summary'!$G$2))</f>
        <v/>
      </c>
      <c r="DL59" s="33" t="str" cm="1">
        <f t="array" ref="DL59">IF('PBA Summary'!$D$2="","",_xll.ASAssetStatistic($A59,"Ann. Tracking Error vs Benchmark 1",'PBA Summary'!$D$2,,,"m",'PBA Summary'!$F$2,'PBA Summary'!$G$2))</f>
        <v/>
      </c>
      <c r="DM59" s="33" t="str" cm="1">
        <f t="array" ref="DM59">IF('PBA Summary'!$D$3="","",_xll.ASAssetStatistic($A59,"Ann. Tracking Error vs Benchmark 1",'PBA Summary'!$D$3,,,"m",'PBA Summary'!$F$2,'PBA Summary'!$G$2))</f>
        <v/>
      </c>
      <c r="DN59" s="33" t="str" cm="1">
        <f t="array" ref="DN59">IF('PBA Summary'!$D$2="","",_xll.ASAssetStatistic($A59,"R² vs Benchmark 1",'PBA Summary'!$D$2,,,"m",'PBA Summary'!$F$2,'PBA Summary'!$G$2))</f>
        <v/>
      </c>
      <c r="DO59" s="33" t="str" cm="1">
        <f t="array" ref="DO59">IF('PBA Summary'!$D$3="","",_xll.ASAssetStatistic($A59,"R² vs Benchmark 1",'PBA Summary'!$D$3,,,"m",'PBA Summary'!$F$2,'PBA Summary'!$G$2))</f>
        <v/>
      </c>
      <c r="DP59" s="11" t="str" cm="1">
        <f t="array" ref="DP59">_xll.ASAssetInfo($A59,"On-/Offshore")</f>
        <v/>
      </c>
      <c r="DQ59" s="16" t="str" cm="1">
        <f t="array" ref="DQ59">_xll.ASAssetStatistic($A59,"Quarter-to-date",,,,"m",'PBA Summary'!$F$2,'PBA Summary'!$G$2)</f>
        <v/>
      </c>
      <c r="DR59" s="16" t="str" cm="1">
        <f t="array" ref="DR59">_xll.ASAssetStatistic($A59,"Annualized Return Since inception",,,,"m",'PBA Summary'!$F$2,'PBA Summary'!$G$2)</f>
        <v/>
      </c>
      <c r="DS59" s="16" t="str" cm="1">
        <f t="array" ref="DS59">IF('PBA Summary'!$D$2="","",_xll.ASAssetStatistic($A59,"Ann. Bear Market Return vs Benchmark 1",'PBA Summary'!$D$2,,,"m",'PBA Summary'!$F$2,'PBA Summary'!$G$2))</f>
        <v/>
      </c>
      <c r="DT59" s="16" t="str" cm="1">
        <f t="array" ref="DT59">IF('PBA Summary'!$D$2="","",_xll.ASAssetStatistic($A59,"Ann. Bull Market Return vs Benchmark 1",'PBA Summary'!$D$2,,,"m",'PBA Summary'!$F$2,'PBA Summary'!$G$2))</f>
        <v/>
      </c>
      <c r="DU59" s="16" t="str" cm="1">
        <f t="array" ref="DU59">IF('PBA Summary'!$D$3="","",_xll.ASAssetStatistic($A59,"Ann. Bear Market Return vs Benchmark 1",'PBA Summary'!$D$3,,,"m",'PBA Summary'!$F$2,'PBA Summary'!$G$2))</f>
        <v/>
      </c>
      <c r="DV59" s="16" t="str" cm="1">
        <f t="array" ref="DV59">IF('PBA Summary'!$D$3="","",_xll.ASAssetStatistic($A59,"Ann. Bull Market Return vs Benchmark 1",'PBA Summary'!$D$3,,,"m",'PBA Summary'!$F$2,'PBA Summary'!$G$2))</f>
        <v/>
      </c>
      <c r="DW59" s="17" t="str" cm="1">
        <f t="array" ref="DW59">_xll.ASAssetStatistic($A59,"Average Positive Return",,,,"m",'PBA Summary'!$F$2,'PBA Summary'!$G$2)</f>
        <v/>
      </c>
      <c r="DX59" s="17" t="str" cm="1">
        <f t="array" ref="DX59">_xll.ASAssetStatistic($A59,"Average Negative Return",,,,"m",'PBA Summary'!$F$2,'PBA Summary'!$G$2)</f>
        <v/>
      </c>
      <c r="DY59" s="16" t="str" cm="1">
        <f t="array" ref="DY59">IF('PBA Summary'!$D$2="","",_xll.ASAssetStatistic($A59,"Outperformance vs Benchmark 1",'PBA Summary'!$D$2,,,"m",'PBA Summary'!$F$2,'PBA Summary'!$G$2))</f>
        <v/>
      </c>
      <c r="DZ59" s="16" t="str" cm="1">
        <f t="array" ref="DZ59">IF('PBA Summary'!$D$3="","",_xll.ASAssetStatistic($A59,"Outperformance vs Benchmark 1",'PBA Summary'!$D$3,,,"m",'PBA Summary'!$F$2,'PBA Summary'!$G$2))</f>
        <v/>
      </c>
      <c r="EA59" s="16" t="str" cm="1">
        <f t="array" ref="EA59">IF('PBA Summary'!$D$2="","",_xll.ASAssetStatistic($A59,"Annual Outperformance vs Benchmark 1",'PBA Summary'!$D$2,,,"m",'PBA Summary'!$F$2,'PBA Summary'!$G$2))</f>
        <v/>
      </c>
      <c r="EB59" s="16" t="str" cm="1">
        <f t="array" ref="EB59">IF('PBA Summary'!$D$3="","",_xll.ASAssetStatistic($A59,"Annual Outperformance vs Benchmark 1",'PBA Summary'!$D$3,,,"m",'PBA Summary'!$F$2,'PBA Summary'!$G$2))</f>
        <v/>
      </c>
      <c r="EC59" s="32" t="str" cm="1">
        <f t="array" ref="EC59">_xll.ASAssetStatistic($A59,"Rachev Ratio 99%",,,,"m",'PBA Summary'!$F$2,'PBA Summary'!$G$2)</f>
        <v/>
      </c>
      <c r="ED59" s="32" t="str" cm="1">
        <f t="array" ref="ED59">_xll.ASAssetStatistic($A59,"Rachev Ratio 97%",,,,"m",'PBA Summary'!$F$2,'PBA Summary'!$G$2)</f>
        <v/>
      </c>
      <c r="EE59" s="32" t="str" cm="1">
        <f t="array" ref="EE59">_xll.ASAssetStatistic($A59,"Rachev Ratio 95%",,,,"m",'PBA Summary'!$F$2,'PBA Summary'!$G$2)</f>
        <v/>
      </c>
      <c r="EF59" s="32" t="str" cm="1">
        <f t="array" ref="EF59">_xll.ASAssetStatistic($A59,"Rachev Ratio 90%",,,,"m",'PBA Summary'!$F$2,'PBA Summary'!$G$2)</f>
        <v/>
      </c>
      <c r="EG59" s="34" t="str" cm="1">
        <f t="array" ref="EG59">IF('PBA Summary'!$D$2="","",_xll.ASAssetStatistic($A59,"Annual Up Capture vs Benchmark 1",'PBA Summary'!$D$2,,,"m",'PBA Summary'!$F$2,'PBA Summary'!$G$2))</f>
        <v/>
      </c>
      <c r="EH59" s="34" t="str" cm="1">
        <f t="array" ref="EH59">IF('PBA Summary'!$D$3="","",_xll.ASAssetStatistic($A59,"Annual Up Capture vs Benchmark 1",'PBA Summary'!$D$3,,,"m",'PBA Summary'!$F$2,'PBA Summary'!$G$2))</f>
        <v/>
      </c>
      <c r="EI59" s="34" t="str" cm="1">
        <f t="array" ref="EI59">IF('PBA Summary'!$D$2="","",_xll.ASAssetStatistic($A59,"Annual Down Capture vs Benchmark 1",'PBA Summary'!$D$2,,,"m",'PBA Summary'!$F$2,'PBA Summary'!$G$2))</f>
        <v/>
      </c>
      <c r="EJ59" s="34" t="str" cm="1">
        <f t="array" ref="EJ59">IF('PBA Summary'!$D$3="","",_xll.ASAssetStatistic($A59,"Annual Down Capture vs Benchmark 1",'PBA Summary'!$D$3,,,"m",'PBA Summary'!$F$2,'PBA Summary'!$G$2))</f>
        <v/>
      </c>
      <c r="EK59" s="16" t="str" cm="1">
        <f t="array" ref="EK59">IF('PBA Summary'!$D$2="","",_xll.ASAssetStatistic($A59,"Ann. Tracking Error vs Benchmark 1",'PBA Summary'!$D$2,,,"m",'PBA Summary'!$F$2,'PBA Summary'!$G$2))</f>
        <v/>
      </c>
      <c r="EL59" s="16" t="str" cm="1">
        <f t="array" ref="EL59">IF('PBA Summary'!$D$3="","",_xll.ASAssetStatistic($A59,"Ann. Tracking Error vs Benchmark 1",'PBA Summary'!$D$3,,,"m",'PBA Summary'!$F$2,'PBA Summary'!$G$2))</f>
        <v/>
      </c>
      <c r="EM59" s="16" t="str" cm="1">
        <f t="array" ref="EM59">IF('PBA Summary'!$D$2="","",_xll.ASAssetStatistic($A59,"Annual Jensen Alpha vs Benchmark 1 (Rf)",'PBA Summary'!$D$2,,,"m",'PBA Summary'!$F$2,'PBA Summary'!$G$2))</f>
        <v/>
      </c>
      <c r="EN59" s="16" t="str" cm="1">
        <f t="array" ref="EN59">IF('PBA Summary'!$D$3="","",_xll.ASAssetStatistic($A59,"Annual Jensen Alpha vs Benchmark 1 (Rf)",'PBA Summary'!$D$3,,,"m",'PBA Summary'!$F$2,'PBA Summary'!$G$2))</f>
        <v/>
      </c>
      <c r="EO59" s="33" t="str" cm="1">
        <f t="array" ref="EO59">IF('PBA Summary'!$D$2="","",_xll.ASAssetStatistic($A59,"Ann. Information Ratio vs Benchmark 1",'PBA Summary'!$D$2,,,"m",'PBA Summary'!$F$2,'PBA Summary'!$G$2))</f>
        <v/>
      </c>
      <c r="EP59" s="33" t="str" cm="1">
        <f t="array" ref="EP59">IF('PBA Summary'!$D$3="","",_xll.ASAssetStatistic($A59,"Ann. Information Ratio vs Benchmark 1",'PBA Summary'!$D$3,,,"m",'PBA Summary'!$F$2,'PBA Summary'!$G$2))</f>
        <v/>
      </c>
      <c r="EQ59" s="17" t="str" cm="1">
        <f t="array" ref="EQ59">IF('PBA Summary'!$D$2="","",_xll.ASAssetStatistic($A59,"Alpha Monthly vs Benchmark 1",'PBA Summary'!$D$2,,,"m",'PBA Summary'!$F$2,'PBA Summary'!$G$2))</f>
        <v/>
      </c>
      <c r="ER59" s="17" t="str" cm="1">
        <f t="array" ref="ER59">IF('PBA Summary'!$D$3="","",_xll.ASAssetStatistic($A59,"Alpha Monthly vs Benchmark 1",'PBA Summary'!$D$3,,,"m",'PBA Summary'!$F$2,'PBA Summary'!$G$2))</f>
        <v/>
      </c>
      <c r="ES59" s="11" t="str" cm="1">
        <f t="array" ref="ES59">_xll.ASAssetInfo($A59,"Company AUM (m)")</f>
        <v/>
      </c>
      <c r="ET59" s="16" t="str" cm="1">
        <f t="array" ref="ET59">_xll.ASAssetStatistic($A59,"Exponential Annualized Volatility",,,,"m",'PBA Summary'!$F$2,'PBA Summary'!$G$2)</f>
        <v/>
      </c>
      <c r="EU59" s="16" t="str" cm="1">
        <f t="array" ref="EU59">_xll.ASAssetStatistic($A59,"Exponential Annualized Volatility Last 1 year",,,,"m",'PBA Summary'!$F$2,'PBA Summary'!$G$2)</f>
        <v/>
      </c>
      <c r="EV59" s="16" t="str" cm="1">
        <f t="array" ref="EV59">_xll.ASAssetStatistic($A59,"Exponential Annualized Volatility Last 3 years",,,,"m",'PBA Summary'!$F$2,'PBA Summary'!$G$2)</f>
        <v/>
      </c>
      <c r="EW59" s="34" t="str" cm="1">
        <f t="array" ref="EW59">IF('PBA Summary'!$D$2="","",_xll.ASAssetStatistic($A59,"Exponential Correlation to Benchmark 1",'PBA Summary'!$D$2,,,"m",'PBA Summary'!$F$2,'PBA Summary'!$G$2))</f>
        <v/>
      </c>
      <c r="EX59" s="34" t="str" cm="1">
        <f t="array" ref="EX59">IF('PBA Summary'!$D$3="","",_xll.ASAssetStatistic($A59,"Exponential Correlation to Benchmark 1",'PBA Summary'!$D$3,,,"m",'PBA Summary'!$F$2,'PBA Summary'!$G$2))</f>
        <v/>
      </c>
      <c r="EY59" s="34" t="str" cm="1">
        <f t="array" ref="EY59">_xll.ASAssetStatistic($A59,"Exponential Annual Sharpe Ratio (Rf)",,,,"m",'PBA Summary'!$F$2,'PBA Summary'!$G$2)</f>
        <v/>
      </c>
      <c r="EZ59" s="34" t="str" cm="1">
        <f t="array" ref="EZ59">_xll.ASAssetStatistic($A59,"Exponential Normal Monthly VaR 99%",,,,"m",'PBA Summary'!$F$2,'PBA Summary'!$G$2)</f>
        <v/>
      </c>
      <c r="FA59" s="34" t="str" cm="1">
        <f t="array" ref="FA59">_xll.ASAssetStatistic($A59,"Exponential Normal Monthly VaR 97%",,,,"m",'PBA Summary'!$F$2,'PBA Summary'!$G$2)</f>
        <v/>
      </c>
      <c r="FB59" s="34" t="str" cm="1">
        <f t="array" ref="FB59">_xll.ASAssetStatistic($A59,"Exponential Normal Monthly VaR 95%",,,,"m",'PBA Summary'!$F$2,'PBA Summary'!$G$2)</f>
        <v/>
      </c>
      <c r="FC59" s="34" t="str" cm="1">
        <f t="array" ref="FC59">_xll.ASAssetStatistic($A59,"Exponential Normal Monthly VaR 90%",,,,"m",'PBA Summary'!$F$2,'PBA Summary'!$G$2)</f>
        <v/>
      </c>
      <c r="FD59" s="34" t="str" cm="1">
        <f t="array" ref="FD59">_xll.ASAssetStatistic($A59,"Exponential Normal weekly VaR 99%",,,,"m",'PBA Summary'!$F$2,'PBA Summary'!$G$2)</f>
        <v/>
      </c>
      <c r="FE59" s="34" t="str" cm="1">
        <f t="array" ref="FE59">_xll.ASAssetStatistic($A59,"Exponential Normal weekly VaR 97%",,,,"m",'PBA Summary'!$F$2,'PBA Summary'!$G$2)</f>
        <v/>
      </c>
      <c r="FF59" s="34" t="str" cm="1">
        <f t="array" ref="FF59">_xll.ASAssetStatistic($A59,"Exponential Normal weekly VaR 95%",,,,"m",'PBA Summary'!$F$2,'PBA Summary'!$G$2)</f>
        <v/>
      </c>
      <c r="FG59" s="34" t="str" cm="1">
        <f t="array" ref="FG59">_xll.ASAssetStatistic($A59,"Exponential Normal weekly VaR 90%",,,,"m",'PBA Summary'!$F$2,'PBA Summary'!$G$2)</f>
        <v/>
      </c>
      <c r="FH59" s="34" t="str" cm="1">
        <f t="array" ref="FH59">_xll.ASAssetStatistic($A59,"Exponential Normal daily VaR 99%",,,,"m",'PBA Summary'!$F$2,'PBA Summary'!$G$2)</f>
        <v/>
      </c>
      <c r="FI59" s="34" t="str" cm="1">
        <f t="array" ref="FI59">_xll.ASAssetStatistic($A59,"Exponential Normal daily VaR 97%",,,,"m",'PBA Summary'!$F$2,'PBA Summary'!$G$2)</f>
        <v/>
      </c>
      <c r="FJ59" s="34" t="str" cm="1">
        <f t="array" ref="FJ59">_xll.ASAssetStatistic($A59,"Exponential Normal daily VaR 95%",,,,"m",'PBA Summary'!$F$2,'PBA Summary'!$G$2)</f>
        <v/>
      </c>
      <c r="FK59" s="34" t="str" cm="1">
        <f t="array" ref="FK59">_xll.ASAssetStatistic($A59,"Exponential Normal daily VaR 90%",,,,"m",'PBA Summary'!$F$2,'PBA Summary'!$G$2)</f>
        <v/>
      </c>
      <c r="FL59" s="34" t="str" cm="1">
        <f t="array" ref="FL59">_xll.ASAssetStatistic($A59,"Bias Ratio",,,,"m",'PBA Summary'!$F$2,'PBA Summary'!$G$2)</f>
        <v/>
      </c>
      <c r="FM59" s="11" t="str" cm="1">
        <f t="array" ref="FM59">_xll.ASAssetInfo($A59,"Manager's Biography")</f>
        <v/>
      </c>
      <c r="FN59" s="11" t="str" cm="1">
        <f t="array" ref="FN59">_xll.ASAssetInfo($A59,"Investment Min")</f>
        <v/>
      </c>
      <c r="FO59" s="11" t="str" cm="1">
        <f t="array" ref="FO59">_xll.ASAssetInfo($A59,"Auditor")</f>
        <v/>
      </c>
      <c r="FP59" s="11" t="str" cm="1">
        <f t="array" ref="FP59">_xll.ASAssetInfo($A59,"Custodian")</f>
        <v/>
      </c>
      <c r="FQ59" s="11" t="str" cm="1">
        <f t="array" ref="FQ59">_xll.ASAssetInfo($A59,"Administrator")</f>
        <v/>
      </c>
      <c r="FR59" s="14" t="str" cm="1">
        <f t="array" ref="FR59">_xll.ASAssetInfo($A59,"Proxy 1 Start Date")</f>
        <v/>
      </c>
      <c r="FS59" s="14" t="str" cm="1">
        <f t="array" ref="FS59">_xll.ASAssetInfo($A59,"Proxy 1 End Date")</f>
        <v/>
      </c>
      <c r="FT59" s="14" t="str" cm="1">
        <f t="array" ref="FT59">_xll.ASAssetInfo($A59,"Proxy 2 Start Date")</f>
        <v/>
      </c>
      <c r="FU59" s="14" t="str" cm="1">
        <f t="array" ref="FU59">_xll.ASAssetInfo($A59,"Proxy 2 End Date")</f>
        <v/>
      </c>
      <c r="FV59" s="14" t="str" cm="1">
        <f t="array" ref="FV59">_xll.ASAssetInfo($A59,"Proxy 3 Start Date")</f>
        <v/>
      </c>
      <c r="FW59" s="14" t="str" cm="1">
        <f t="array" ref="FW59">_xll.ASAssetInfo($A59,"Proxy 3 End Date")</f>
        <v/>
      </c>
      <c r="FX59" s="14" t="str" cm="1">
        <f t="array" ref="FX59">_xll.ASAssetInfo($A59,"Fund Domicile")</f>
        <v/>
      </c>
      <c r="FY59" s="14" t="str" cm="1">
        <f t="array" ref="FY59">_xll.ASAssetInfo($A59,"Fund Contact")</f>
        <v/>
      </c>
      <c r="FZ59" s="14" t="str" cm="1">
        <f t="array" ref="FZ59">_xll.ASAssetInfo($A59,"Fund Contact Email")</f>
        <v/>
      </c>
      <c r="GA59" s="14" t="str" cm="1">
        <f t="array" ref="GA59">_xll.ASAssetInfo($A59,"Fund Contact Number")</f>
        <v/>
      </c>
      <c r="GB59" s="14" t="str" cm="1">
        <f t="array" ref="GB59">_xll.ASAssetInfo($A59,"City")</f>
        <v/>
      </c>
      <c r="GC59" s="14" t="str" cm="1">
        <f t="array" ref="GC59">_xll.ASAssetInfo($A59,"Leverage")</f>
        <v/>
      </c>
      <c r="GD59" s="14" t="str" cm="1">
        <f t="array" ref="GD59">_xll.ASAssetInfo($A59,"Lockup 1 Duration")</f>
        <v/>
      </c>
      <c r="GE59" s="14" t="str" cm="1">
        <f t="array" ref="GE59">_xll.ASAssetInfo($A59,"Lockup 2 Duration")</f>
        <v/>
      </c>
      <c r="GF59" s="14" t="str" cm="1">
        <f t="array" ref="GF59">_xll.ASAssetInfo($A59,"Lockup 3 Duration")</f>
        <v/>
      </c>
      <c r="GG59" s="31" t="str" cm="1">
        <f t="array" ref="GG59">_xll.ASAssetInfo($A59,"Fund Level Gate")</f>
        <v/>
      </c>
      <c r="GH59" s="31" t="str" cm="1">
        <f t="array" ref="GH59">_xll.ASAssetInfo($A59,"Fund Level Gate Frequency")</f>
        <v/>
      </c>
      <c r="GI59" s="35" t="str" cm="1">
        <f t="array" ref="GI59">_xll.ASAssetInfo($A59,"Payment 2 (%)")</f>
        <v/>
      </c>
      <c r="GJ59" s="35" t="str" cm="1">
        <f t="array" ref="GJ59">_xll.ASAssetInfo($A59,"Payment 2 (days)")</f>
        <v/>
      </c>
      <c r="GK59" s="35" t="str" cm="1">
        <f t="array" ref="GK59">_xll.ASAssetInfo($A59,"Payment 2 (Paid After)")</f>
        <v/>
      </c>
      <c r="GL59" s="35" t="str" cm="1">
        <f t="array" ref="GL59">_xll.ASAssetInfo($A59,"Payment 3 (%)")</f>
        <v/>
      </c>
      <c r="GM59" s="36" t="str" cm="1">
        <f t="array" ref="GM59">_xll.ASAssetInfo($A59,"Payment 3 (Days)")</f>
        <v/>
      </c>
      <c r="GN59" s="35" t="str" cm="1">
        <f t="array" ref="GN59">_xll.ASAssetInfo($A59,"Payment 3 (Paid After)")</f>
        <v/>
      </c>
      <c r="GO59" s="35" t="str" cm="1">
        <f t="array" ref="GO59">_xll.ASAssetInfo($A59,"Payment 4 (%)")</f>
        <v/>
      </c>
      <c r="GP59" s="36" t="str" cm="1">
        <f t="array" ref="GP59">_xll.ASAssetInfo($A59,"Payment 4 (days)")</f>
        <v/>
      </c>
      <c r="GQ59" s="35" t="str" cm="1">
        <f t="array" ref="GQ59">_xll.ASAssetInfo($A59,"Payment 4 (Paid After)")</f>
        <v/>
      </c>
      <c r="GR59" s="11" t="str" cm="1">
        <f t="array" ref="GR59">_xll.ASAssetInfo($A59,"Payment 1 (%)")</f>
        <v/>
      </c>
      <c r="GS59" s="35" t="str" cm="1">
        <f t="array" ref="GS59">_xll.ASAssetInfo($A59,"Lockup 1 Fee")</f>
        <v/>
      </c>
      <c r="GT59" s="35" t="str" cm="1">
        <f t="array" ref="GT59">_xll.ASAssetInfo($A59,"Lockup 2 Fee")</f>
        <v/>
      </c>
      <c r="GU59" s="35" t="str" cm="1">
        <f t="array" ref="GU59">_xll.ASAssetInfo($A59,"Lockup 3 Fee")</f>
        <v/>
      </c>
      <c r="GV59" s="35" t="str" cm="1">
        <f t="array" ref="GV59">_xll.ASAssetInfo($A59,"Lockup 1 type")</f>
        <v/>
      </c>
      <c r="GW59" s="35" t="str" cm="1">
        <f t="array" ref="GW59">_xll.ASAssetInfo($A59,"Lockup 2 type")</f>
        <v/>
      </c>
      <c r="GX59" s="35" t="str" cm="1">
        <f t="array" ref="GX59">_xll.ASAssetInfo($A59,"Lockup 3 type")</f>
        <v/>
      </c>
      <c r="GY59" s="35" t="str" cm="1">
        <f t="array" ref="GY59">_xll.ASAssetInfo($A59,"Redemption 1 type")</f>
        <v/>
      </c>
      <c r="GZ59" s="35" t="str" cm="1">
        <f t="array" ref="GZ59">_xll.ASAssetInfo($A59,"Redemption 2 type")</f>
        <v/>
      </c>
      <c r="HA59" s="35" t="str" cm="1">
        <f t="array" ref="HA59">_xll.ASAssetInfo($A59,"Redemption 3 type")</f>
        <v/>
      </c>
      <c r="HB59" s="35" t="str" cm="1">
        <f t="array" ref="HB59">_xll.ASAssetInfo($A59,"Redemption 1 Fee")</f>
        <v/>
      </c>
      <c r="HC59" s="35" t="str" cm="1">
        <f t="array" ref="HC59">_xll.ASAssetInfo($A59,"Redemption 2 Fee")</f>
        <v/>
      </c>
      <c r="HD59" s="35" t="str" cm="1">
        <f t="array" ref="HD59">_xll.ASAssetInfo($A59,"Redemption 3 Fee")</f>
        <v/>
      </c>
      <c r="HE59" s="35" t="str" cm="1">
        <f t="array" ref="HE59">_xll.ASAssetInfo($A59,"Redemption 1 Frequency")</f>
        <v/>
      </c>
      <c r="HF59" s="35" t="str" cm="1">
        <f t="array" ref="HF59">_xll.ASAssetInfo($A59,"Redemption 2 Frequency")</f>
        <v/>
      </c>
      <c r="HG59" s="35" t="str" cm="1">
        <f t="array" ref="HG59">_xll.ASAssetInfo($A59,"Redemption 3 Frequency")</f>
        <v/>
      </c>
      <c r="HH59" s="35" t="str" cm="1">
        <f t="array" ref="HH59">_xll.ASAssetInfo($A59,"Asset Calendar")</f>
        <v/>
      </c>
      <c r="HI59" s="16" t="str" cm="1">
        <f t="array" ref="HI59">_xll.ASAssetStatistic($A59,"Max Second Drawdown",,,,"m",'PBA Summary'!$F$2,'PBA Summary'!$G$2)</f>
        <v/>
      </c>
      <c r="HJ59" s="37" t="str" cm="1">
        <f t="array" ref="HJ59">_xll.ASAssetStatistic($A59,"Date Max Second Drawdown",,,,"m",'PBA Summary'!$F$2,'PBA Summary'!$G$2)</f>
        <v/>
      </c>
      <c r="HK59" s="37"/>
      <c r="HL59" s="37" t="str" cm="1">
        <f t="array" ref="HL59">_xll.ASAssetInfo($A59,HL$1)</f>
        <v/>
      </c>
      <c r="HM59" s="34" t="str" cm="1">
        <f t="array" ref="HM59">_xll.ASAssetInfo($A59,HM$1)</f>
        <v/>
      </c>
      <c r="HN59" s="37" t="str" cm="1">
        <f t="array" ref="HN59">_xll.ASAssetInfo($A59,HN$1)</f>
        <v/>
      </c>
      <c r="HO59" s="15" t="str" cm="1">
        <f t="array" ref="HO59">_xll.ASAssetInfo($A59,HO$1)</f>
        <v/>
      </c>
      <c r="HP59" s="15" t="str" cm="1">
        <f t="array" ref="HP59">_xll.ASAssetInfo($A59,HP$1)</f>
        <v/>
      </c>
      <c r="HQ59" s="34" t="str" cm="1">
        <f t="array" ref="HQ59">_xll.ASAssetInfo($A59,HQ$1)</f>
        <v/>
      </c>
      <c r="HR59" s="37" t="str" cm="1">
        <f t="array" ref="HR59">_xll.ASAssetInfo($A59,HR$1)</f>
        <v/>
      </c>
      <c r="HS59" s="37" t="str" cm="1">
        <f t="array" ref="HS59">_xll.ASAssetInfo($A59,HS$1)</f>
        <v/>
      </c>
      <c r="HT59" s="37" t="str" cm="1">
        <f t="array" ref="HT59">_xll.ASAssetInfo($A59,HT$1)</f>
        <v/>
      </c>
      <c r="HU59" s="37" t="str" cm="1">
        <f t="array" ref="HU59">_xll.ASAssetInfo($A59,HU$1)</f>
        <v/>
      </c>
      <c r="HV59" s="37" t="str" cm="1">
        <f t="array" ref="HV59">_xll.ASAssetInfo($A59,HV$1)</f>
        <v/>
      </c>
      <c r="HW59" s="37" t="str" cm="1">
        <f t="array" ref="HW59">_xll.ASAssetInfo($A59,HW$1)</f>
        <v/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0AC8-EA62-428A-BC28-C3D31E1C7E42}">
  <dimension ref="A1:E21"/>
  <sheetViews>
    <sheetView workbookViewId="0"/>
  </sheetViews>
  <sheetFormatPr defaultColWidth="8.7109375" defaultRowHeight="15" x14ac:dyDescent="0.25"/>
  <cols>
    <col min="1" max="4" width="13.28515625" style="60" customWidth="1"/>
    <col min="5" max="16384" width="8.7109375" style="60"/>
  </cols>
  <sheetData>
    <row r="1" spans="1:5" s="56" customFormat="1" ht="18.600000000000001" customHeight="1" x14ac:dyDescent="0.25">
      <c r="A1" s="55" t="s">
        <v>257</v>
      </c>
      <c r="B1" s="55" t="s">
        <v>250</v>
      </c>
      <c r="C1" s="55" t="s">
        <v>256</v>
      </c>
      <c r="D1" s="55" t="s">
        <v>249</v>
      </c>
      <c r="E1" s="56" t="s">
        <v>13</v>
      </c>
    </row>
    <row r="2" spans="1:5" x14ac:dyDescent="0.25">
      <c r="A2" s="57">
        <v>1</v>
      </c>
      <c r="B2" s="41">
        <f>SMALL(Returns_PB!$C$2:$C$166,A2)</f>
        <v>-0.19793225184116159</v>
      </c>
      <c r="C2" s="41">
        <f>INDEX(Returns_PB!$B$2:$C$166,MATCH(B2,Returns_PB!$C$2:$C$166,0),1)</f>
        <v>-5.7068453046013046E-3</v>
      </c>
      <c r="D2" s="58">
        <f>INDEX(Returns_PB!$A$2:$C$166,MATCH(B2,Returns_PB!$C$2:$C$166,0),1)</f>
        <v>39752</v>
      </c>
      <c r="E2" s="59" t="s">
        <v>258</v>
      </c>
    </row>
    <row r="3" spans="1:5" x14ac:dyDescent="0.25">
      <c r="A3" s="57">
        <f>A2+1</f>
        <v>2</v>
      </c>
      <c r="B3" s="41">
        <f>SMALL(Returns_PB!$C$2:$C$166,A3)</f>
        <v>-0.13452880135605239</v>
      </c>
      <c r="C3" s="41">
        <f>INDEX(Returns_PB!$B$2:$C$166,MATCH(B3,Returns_PB!$C$2:$C$166,0),1)</f>
        <v>6.1318269051506835E-3</v>
      </c>
      <c r="D3" s="58">
        <f>INDEX(Returns_PB!$A$2:$C$166,MATCH(B3,Returns_PB!$C$2:$C$166,0),1)</f>
        <v>43921</v>
      </c>
      <c r="E3" s="59" t="s">
        <v>258</v>
      </c>
    </row>
    <row r="4" spans="1:5" x14ac:dyDescent="0.25">
      <c r="A4" s="57">
        <f t="shared" ref="A4:A11" si="0">A3+1</f>
        <v>3</v>
      </c>
      <c r="B4" s="41">
        <f>SMALL(Returns_PB!$C$2:$C$166,A4)</f>
        <v>-0.12460739254622144</v>
      </c>
      <c r="C4" s="41">
        <f>INDEX(Returns_PB!$B$2:$C$166,MATCH(B4,Returns_PB!$C$2:$C$166,0),1)</f>
        <v>-1.6002218615250863E-3</v>
      </c>
      <c r="D4" s="58">
        <f>INDEX(Returns_PB!$A$2:$C$166,MATCH(B4,Returns_PB!$C$2:$C$166,0),1)</f>
        <v>39721</v>
      </c>
      <c r="E4" s="59" t="s">
        <v>258</v>
      </c>
    </row>
    <row r="5" spans="1:5" x14ac:dyDescent="0.25">
      <c r="A5" s="57">
        <f t="shared" si="0"/>
        <v>4</v>
      </c>
      <c r="B5" s="41">
        <f>SMALL(Returns_PB!$C$2:$C$166,A5)</f>
        <v>-9.7347708664865418E-2</v>
      </c>
      <c r="C5" s="41">
        <f>INDEX(Returns_PB!$B$2:$C$166,MATCH(B5,Returns_PB!$C$2:$C$166,0),1)</f>
        <v>-4.0216024382093707E-3</v>
      </c>
      <c r="D5" s="58">
        <f>INDEX(Returns_PB!$A$2:$C$166,MATCH(B5,Returns_PB!$C$2:$C$166,0),1)</f>
        <v>39872</v>
      </c>
      <c r="E5" s="59" t="s">
        <v>258</v>
      </c>
    </row>
    <row r="6" spans="1:5" x14ac:dyDescent="0.25">
      <c r="A6" s="57">
        <f t="shared" si="0"/>
        <v>5</v>
      </c>
      <c r="B6" s="41">
        <f>SMALL(Returns_PB!$C$2:$C$166,A6)</f>
        <v>-9.4060166004507062E-2</v>
      </c>
      <c r="C6" s="41">
        <f>INDEX(Returns_PB!$B$2:$C$166,MATCH(B6,Returns_PB!$C$2:$C$166,0),1)</f>
        <v>-3.5080699830890572E-3</v>
      </c>
      <c r="D6" s="58">
        <f>INDEX(Returns_PB!$A$2:$C$166,MATCH(B6,Returns_PB!$C$2:$C$166,0),1)</f>
        <v>40329</v>
      </c>
      <c r="E6" s="59" t="s">
        <v>258</v>
      </c>
    </row>
    <row r="7" spans="1:5" x14ac:dyDescent="0.25">
      <c r="A7" s="57">
        <f t="shared" si="0"/>
        <v>6</v>
      </c>
      <c r="B7" s="41">
        <f>SMALL(Returns_PB!$C$2:$C$166,A7)</f>
        <v>-9.4011423387646009E-2</v>
      </c>
      <c r="C7" s="41">
        <f>INDEX(Returns_PB!$B$2:$C$166,MATCH(B7,Returns_PB!$C$2:$C$166,0),1)</f>
        <v>-1.0427805518029243E-2</v>
      </c>
      <c r="D7" s="58">
        <f>INDEX(Returns_PB!$A$2:$C$166,MATCH(B7,Returns_PB!$C$2:$C$166,0),1)</f>
        <v>40816</v>
      </c>
      <c r="E7" s="59" t="s">
        <v>258</v>
      </c>
    </row>
    <row r="8" spans="1:5" x14ac:dyDescent="0.25">
      <c r="A8" s="57">
        <f t="shared" si="0"/>
        <v>7</v>
      </c>
      <c r="B8" s="41">
        <f>SMALL(Returns_PB!$C$2:$C$166,A8)</f>
        <v>-9.0331686534528943E-2</v>
      </c>
      <c r="C8" s="41">
        <f>INDEX(Returns_PB!$B$2:$C$166,MATCH(B8,Returns_PB!$C$2:$C$166,0),1)</f>
        <v>-5.9671604749701457E-3</v>
      </c>
      <c r="D8" s="58">
        <f>INDEX(Returns_PB!$A$2:$C$166,MATCH(B8,Returns_PB!$C$2:$C$166,0),1)</f>
        <v>43465</v>
      </c>
      <c r="E8" s="59" t="s">
        <v>258</v>
      </c>
    </row>
    <row r="9" spans="1:5" x14ac:dyDescent="0.25">
      <c r="A9" s="57">
        <f t="shared" si="0"/>
        <v>8</v>
      </c>
      <c r="B9" s="41">
        <f>SMALL(Returns_PB!$C$2:$C$166,A9)</f>
        <v>-8.8915262442449516E-2</v>
      </c>
      <c r="C9" s="41">
        <f>INDEX(Returns_PB!$B$2:$C$166,MATCH(B9,Returns_PB!$C$2:$C$166,0),1)</f>
        <v>7.0453743099248012E-3</v>
      </c>
      <c r="D9" s="58">
        <f>INDEX(Returns_PB!$A$2:$C$166,MATCH(B9,Returns_PB!$C$2:$C$166,0),1)</f>
        <v>41060</v>
      </c>
      <c r="E9" s="59" t="s">
        <v>258</v>
      </c>
    </row>
    <row r="10" spans="1:5" x14ac:dyDescent="0.25">
      <c r="A10" s="57">
        <f t="shared" si="0"/>
        <v>9</v>
      </c>
      <c r="B10" s="41">
        <f>SMALL(Returns_PB!$C$2:$C$166,A10)</f>
        <v>-8.5284186357109992E-2</v>
      </c>
      <c r="C10" s="41">
        <f>INDEX(Returns_PB!$B$2:$C$166,MATCH(B10,Returns_PB!$C$2:$C$166,0),1)</f>
        <v>3.7750889011589628E-3</v>
      </c>
      <c r="D10" s="58">
        <f>INDEX(Returns_PB!$A$2:$C$166,MATCH(B10,Returns_PB!$C$2:$C$166,0),1)</f>
        <v>39844</v>
      </c>
      <c r="E10" s="59" t="s">
        <v>258</v>
      </c>
    </row>
    <row r="11" spans="1:5" x14ac:dyDescent="0.25">
      <c r="A11" s="57">
        <f t="shared" si="0"/>
        <v>10</v>
      </c>
      <c r="B11" s="41">
        <f>SMALL(Returns_PB!$C$2:$C$166,A11)</f>
        <v>-8.1769690426994335E-2</v>
      </c>
      <c r="C11" s="41">
        <f>INDEX(Returns_PB!$B$2:$C$166,MATCH(B11,Returns_PB!$C$2:$C$166,0),1)</f>
        <v>2.4360712802895534E-4</v>
      </c>
      <c r="D11" s="58">
        <f>INDEX(Returns_PB!$A$2:$C$166,MATCH(B11,Returns_PB!$C$2:$C$166,0),1)</f>
        <v>39629</v>
      </c>
      <c r="E11" s="59" t="s">
        <v>258</v>
      </c>
    </row>
    <row r="12" spans="1:5" x14ac:dyDescent="0.25">
      <c r="A12" s="57">
        <v>1</v>
      </c>
      <c r="B12" s="41">
        <f>SMALL(Returns_PB!$D$2:$D$166,A12)</f>
        <v>-0.10224791659367582</v>
      </c>
      <c r="C12" s="41">
        <f>INDEX(Returns_PB!$B$2:$D$166,MATCH(B12,Returns_PB!$D$2:$D$166,0),1)</f>
        <v>-5.7068453046013046E-3</v>
      </c>
      <c r="D12" s="58">
        <f>INDEX(Returns_PB!$A$2:$D$166,MATCH(B12,Returns_PB!$D$2:$D$166,0),1)</f>
        <v>39752</v>
      </c>
      <c r="E12" s="59" t="s">
        <v>259</v>
      </c>
    </row>
    <row r="13" spans="1:5" x14ac:dyDescent="0.25">
      <c r="A13" s="57">
        <f>A12+1</f>
        <v>2</v>
      </c>
      <c r="B13" s="41">
        <f>SMALL(Returns_PB!$D$2:$D$166,A13)</f>
        <v>-9.0331686534528943E-2</v>
      </c>
      <c r="C13" s="41">
        <f>INDEX(Returns_PB!$B$2:$D$166,MATCH(B13,Returns_PB!$D$2:$D$166,0),1)</f>
        <v>-5.9671604749701457E-3</v>
      </c>
      <c r="D13" s="58">
        <f>INDEX(Returns_PB!$A$2:$D$166,MATCH(B13,Returns_PB!$D$2:$D$166,0),1)</f>
        <v>43465</v>
      </c>
      <c r="E13" s="59" t="s">
        <v>259</v>
      </c>
    </row>
    <row r="14" spans="1:5" x14ac:dyDescent="0.25">
      <c r="A14" s="57">
        <f t="shared" ref="A14:A21" si="1">A13+1</f>
        <v>3</v>
      </c>
      <c r="B14" s="41">
        <f>SMALL(Returns_PB!$D$2:$D$166,A14)</f>
        <v>-7.5046062693198579E-2</v>
      </c>
      <c r="C14" s="41">
        <f>INDEX(Returns_PB!$B$2:$D$166,MATCH(B14,Returns_PB!$D$2:$D$166,0),1)</f>
        <v>6.1318269051506835E-3</v>
      </c>
      <c r="D14" s="58">
        <f>INDEX(Returns_PB!$A$2:$D$166,MATCH(B14,Returns_PB!$D$2:$D$166,0),1)</f>
        <v>43921</v>
      </c>
      <c r="E14" s="59" t="s">
        <v>259</v>
      </c>
    </row>
    <row r="15" spans="1:5" x14ac:dyDescent="0.25">
      <c r="A15" s="57">
        <f t="shared" si="1"/>
        <v>4</v>
      </c>
      <c r="B15" s="41">
        <f>SMALL(Returns_PB!$D$2:$D$166,A15)</f>
        <v>-6.6831233807468138E-2</v>
      </c>
      <c r="C15" s="41">
        <f>INDEX(Returns_PB!$B$2:$D$166,MATCH(B15,Returns_PB!$D$2:$D$166,0),1)</f>
        <v>-1.6002218615250863E-3</v>
      </c>
      <c r="D15" s="58">
        <f>INDEX(Returns_PB!$A$2:$D$166,MATCH(B15,Returns_PB!$D$2:$D$166,0),1)</f>
        <v>39721</v>
      </c>
      <c r="E15" s="59" t="s">
        <v>259</v>
      </c>
    </row>
    <row r="16" spans="1:5" x14ac:dyDescent="0.25">
      <c r="A16" s="57">
        <f t="shared" si="1"/>
        <v>5</v>
      </c>
      <c r="B16" s="41">
        <f>SMALL(Returns_PB!$D$2:$D$166,A16)</f>
        <v>-6.3548887398839127E-2</v>
      </c>
      <c r="C16" s="41">
        <f>INDEX(Returns_PB!$B$2:$D$166,MATCH(B16,Returns_PB!$D$2:$D$166,0),1)</f>
        <v>-3.6801373324479858E-3</v>
      </c>
      <c r="D16" s="58">
        <f>INDEX(Returns_PB!$A$2:$D$166,MATCH(B16,Returns_PB!$D$2:$D$166,0),1)</f>
        <v>43616</v>
      </c>
      <c r="E16" s="59" t="s">
        <v>259</v>
      </c>
    </row>
    <row r="17" spans="1:5" x14ac:dyDescent="0.25">
      <c r="A17" s="57">
        <f t="shared" si="1"/>
        <v>6</v>
      </c>
      <c r="B17" s="41">
        <f>SMALL(Returns_PB!$D$2:$D$166,A17)</f>
        <v>-4.8736242762519644E-2</v>
      </c>
      <c r="C17" s="41">
        <f>INDEX(Returns_PB!$B$2:$D$166,MATCH(B17,Returns_PB!$D$2:$D$166,0),1)</f>
        <v>-4.0216024382093707E-3</v>
      </c>
      <c r="D17" s="58">
        <f>INDEX(Returns_PB!$A$2:$D$166,MATCH(B17,Returns_PB!$D$2:$D$166,0),1)</f>
        <v>39872</v>
      </c>
      <c r="E17" s="59" t="s">
        <v>259</v>
      </c>
    </row>
    <row r="18" spans="1:5" x14ac:dyDescent="0.25">
      <c r="A18" s="57">
        <f t="shared" si="1"/>
        <v>7</v>
      </c>
      <c r="B18" s="41">
        <f>SMALL(Returns_PB!$D$2:$D$166,A18)</f>
        <v>-4.6939781761279331E-2</v>
      </c>
      <c r="C18" s="41">
        <f>INDEX(Returns_PB!$B$2:$D$166,MATCH(B18,Returns_PB!$D$2:$D$166,0),1)</f>
        <v>3.7750889011589628E-3</v>
      </c>
      <c r="D18" s="58">
        <f>INDEX(Returns_PB!$A$2:$D$166,MATCH(B18,Returns_PB!$D$2:$D$166,0),1)</f>
        <v>39844</v>
      </c>
      <c r="E18" s="59" t="s">
        <v>259</v>
      </c>
    </row>
    <row r="19" spans="1:5" x14ac:dyDescent="0.25">
      <c r="A19" s="57">
        <f t="shared" si="1"/>
        <v>8</v>
      </c>
      <c r="B19" s="41">
        <f>SMALL(Returns_PB!$D$2:$D$166,A19)</f>
        <v>-4.4020042035710749E-2</v>
      </c>
      <c r="C19" s="41">
        <f>INDEX(Returns_PB!$B$2:$D$166,MATCH(B19,Returns_PB!$D$2:$D$166,0),1)</f>
        <v>-1.0427805518029243E-2</v>
      </c>
      <c r="D19" s="58">
        <f>INDEX(Returns_PB!$A$2:$D$166,MATCH(B19,Returns_PB!$D$2:$D$166,0),1)</f>
        <v>40816</v>
      </c>
      <c r="E19" s="59" t="s">
        <v>259</v>
      </c>
    </row>
    <row r="20" spans="1:5" x14ac:dyDescent="0.25">
      <c r="A20" s="57">
        <f t="shared" si="1"/>
        <v>9</v>
      </c>
      <c r="B20" s="41">
        <f>SMALL(Returns_PB!$D$2:$D$166,A20)</f>
        <v>-4.3159247340556095E-2</v>
      </c>
      <c r="C20" s="41">
        <f>INDEX(Returns_PB!$B$2:$D$166,MATCH(B20,Returns_PB!$D$2:$D$166,0),1)</f>
        <v>-3.5080699830890572E-3</v>
      </c>
      <c r="D20" s="58">
        <f>INDEX(Returns_PB!$A$2:$D$166,MATCH(B20,Returns_PB!$D$2:$D$166,0),1)</f>
        <v>40329</v>
      </c>
      <c r="E20" s="59" t="s">
        <v>259</v>
      </c>
    </row>
    <row r="21" spans="1:5" x14ac:dyDescent="0.25">
      <c r="A21" s="57">
        <f t="shared" si="1"/>
        <v>10</v>
      </c>
      <c r="B21" s="41">
        <f>SMALL(Returns_PB!$D$2:$D$166,A21)</f>
        <v>-4.2472065962028682E-2</v>
      </c>
      <c r="C21" s="41">
        <f>INDEX(Returns_PB!$B$2:$D$166,MATCH(B21,Returns_PB!$D$2:$D$166,0),1)</f>
        <v>2.4360712802895534E-4</v>
      </c>
      <c r="D21" s="58">
        <f>INDEX(Returns_PB!$A$2:$D$166,MATCH(B21,Returns_PB!$D$2:$D$166,0),1)</f>
        <v>39629</v>
      </c>
      <c r="E21" s="59" t="s">
        <v>259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BA22-0698-4C18-AA7E-2BD401C41E41}">
  <dimension ref="A1:E21"/>
  <sheetViews>
    <sheetView workbookViewId="0"/>
  </sheetViews>
  <sheetFormatPr defaultColWidth="8.7109375" defaultRowHeight="15" x14ac:dyDescent="0.25"/>
  <cols>
    <col min="1" max="3" width="8.7109375" style="60"/>
    <col min="4" max="4" width="13.28515625" style="60" customWidth="1"/>
    <col min="5" max="5" width="8.7109375" style="61"/>
    <col min="6" max="16384" width="8.7109375" style="60"/>
  </cols>
  <sheetData>
    <row r="1" spans="1:5" s="56" customFormat="1" ht="20.45" customHeight="1" x14ac:dyDescent="0.25">
      <c r="A1" s="55" t="s">
        <v>257</v>
      </c>
      <c r="B1" s="55" t="s">
        <v>250</v>
      </c>
      <c r="C1" s="55" t="s">
        <v>256</v>
      </c>
      <c r="D1" s="55" t="s">
        <v>249</v>
      </c>
      <c r="E1" s="56" t="s">
        <v>13</v>
      </c>
    </row>
    <row r="2" spans="1:5" x14ac:dyDescent="0.25">
      <c r="A2" s="57">
        <v>1</v>
      </c>
      <c r="B2" s="41">
        <f>LARGE(Returns_PB!$C$2:$C$166,A2)</f>
        <v>0.11887652518186775</v>
      </c>
      <c r="C2" s="41">
        <f>INDEX(Returns_PB!$B$2:$C$166,MATCH(B2,Returns_PB!$C$2:$C$166,0),1)</f>
        <v>8.7322596851648893E-3</v>
      </c>
      <c r="D2" s="58">
        <f>INDEX(Returns_PB!$A$2:$C$166,MATCH(B2,Returns_PB!$C$2:$C$166,0),1)</f>
        <v>39933</v>
      </c>
      <c r="E2" s="59" t="s">
        <v>258</v>
      </c>
    </row>
    <row r="3" spans="1:5" x14ac:dyDescent="0.25">
      <c r="A3" s="57">
        <f>A2+1</f>
        <v>2</v>
      </c>
      <c r="B3" s="41">
        <f>LARGE(Returns_PB!$C$2:$C$166,A3)</f>
        <v>0.10780904611501874</v>
      </c>
      <c r="C3" s="41">
        <f>INDEX(Returns_PB!$B$2:$C$166,MATCH(B3,Returns_PB!$C$2:$C$166,0),1)</f>
        <v>2.0753212222526907E-2</v>
      </c>
      <c r="D3" s="58">
        <f>INDEX(Returns_PB!$A$2:$C$166,MATCH(B3,Returns_PB!$C$2:$C$166,0),1)</f>
        <v>43951</v>
      </c>
      <c r="E3" s="59" t="s">
        <v>258</v>
      </c>
    </row>
    <row r="4" spans="1:5" x14ac:dyDescent="0.25">
      <c r="A4" s="57">
        <f t="shared" ref="A4:A11" si="0">A3+1</f>
        <v>3</v>
      </c>
      <c r="B4" s="41">
        <f>LARGE(Returns_PB!$C$2:$C$166,A4)</f>
        <v>0.10727120940480872</v>
      </c>
      <c r="C4" s="41">
        <f>INDEX(Returns_PB!$B$2:$C$166,MATCH(B4,Returns_PB!$C$2:$C$166,0),1)</f>
        <v>1.2389375384937118E-2</v>
      </c>
      <c r="D4" s="58">
        <f>INDEX(Returns_PB!$A$2:$C$166,MATCH(B4,Returns_PB!$C$2:$C$166,0),1)</f>
        <v>40847</v>
      </c>
      <c r="E4" s="59" t="s">
        <v>258</v>
      </c>
    </row>
    <row r="5" spans="1:5" x14ac:dyDescent="0.25">
      <c r="A5" s="57">
        <f t="shared" si="0"/>
        <v>4</v>
      </c>
      <c r="B5" s="41">
        <f>LARGE(Returns_PB!$C$2:$C$166,A5)</f>
        <v>0.10070485764004578</v>
      </c>
      <c r="C5" s="41">
        <f>INDEX(Returns_PB!$B$2:$C$166,MATCH(B5,Returns_PB!$C$2:$C$166,0),1)</f>
        <v>2.5275189557876887E-2</v>
      </c>
      <c r="D5" s="58">
        <f>INDEX(Returns_PB!$A$2:$C$166,MATCH(B5,Returns_PB!$C$2:$C$166,0),1)</f>
        <v>39964</v>
      </c>
      <c r="E5" s="59" t="s">
        <v>258</v>
      </c>
    </row>
    <row r="6" spans="1:5" x14ac:dyDescent="0.25">
      <c r="A6" s="57">
        <f t="shared" si="0"/>
        <v>5</v>
      </c>
      <c r="B6" s="41">
        <f>LARGE(Returns_PB!$C$2:$C$166,A6)</f>
        <v>9.6028605514636878E-2</v>
      </c>
      <c r="C6" s="41">
        <f>INDEX(Returns_PB!$B$2:$C$166,MATCH(B6,Returns_PB!$C$2:$C$166,0),1)</f>
        <v>2.7504331813270388E-2</v>
      </c>
      <c r="D6" s="58">
        <f>INDEX(Returns_PB!$A$2:$C$166,MATCH(B6,Returns_PB!$C$2:$C$166,0),1)</f>
        <v>40451</v>
      </c>
      <c r="E6" s="59" t="s">
        <v>258</v>
      </c>
    </row>
    <row r="7" spans="1:5" x14ac:dyDescent="0.25">
      <c r="A7" s="57">
        <f t="shared" si="0"/>
        <v>6</v>
      </c>
      <c r="B7" s="41">
        <f>LARGE(Returns_PB!$C$2:$C$166,A7)</f>
        <v>8.829803613748588E-2</v>
      </c>
      <c r="C7" s="41">
        <f>INDEX(Returns_PB!$B$2:$C$166,MATCH(B7,Returns_PB!$C$2:$C$166,0),1)</f>
        <v>2.6951833412211856E-2</v>
      </c>
      <c r="D7" s="58">
        <f>INDEX(Returns_PB!$A$2:$C$166,MATCH(B7,Returns_PB!$C$2:$C$166,0),1)</f>
        <v>40025</v>
      </c>
      <c r="E7" s="59" t="s">
        <v>258</v>
      </c>
    </row>
    <row r="8" spans="1:5" x14ac:dyDescent="0.25">
      <c r="A8" s="57">
        <f t="shared" si="0"/>
        <v>7</v>
      </c>
      <c r="B8" s="41">
        <f>LARGE(Returns_PB!$C$2:$C$166,A8)</f>
        <v>8.3026451830252812E-2</v>
      </c>
      <c r="C8" s="41">
        <f>INDEX(Returns_PB!$B$2:$C$166,MATCH(B8,Returns_PB!$C$2:$C$166,0),1)</f>
        <v>5.9432687206044665E-3</v>
      </c>
      <c r="D8" s="58">
        <f>INDEX(Returns_PB!$A$2:$C$166,MATCH(B8,Returns_PB!$C$2:$C$166,0),1)</f>
        <v>39903</v>
      </c>
      <c r="E8" s="59" t="s">
        <v>258</v>
      </c>
    </row>
    <row r="9" spans="1:5" x14ac:dyDescent="0.25">
      <c r="A9" s="57">
        <f t="shared" si="0"/>
        <v>8</v>
      </c>
      <c r="B9" s="41">
        <f>LARGE(Returns_PB!$C$2:$C$166,A9)</f>
        <v>8.1601661007278281E-2</v>
      </c>
      <c r="C9" s="41">
        <f>INDEX(Returns_PB!$B$2:$C$166,MATCH(B9,Returns_PB!$C$2:$C$166,0),1)</f>
        <v>1.3948803693286438E-2</v>
      </c>
      <c r="D9" s="58">
        <f>INDEX(Returns_PB!$A$2:$C$166,MATCH(B9,Returns_PB!$C$2:$C$166,0),1)</f>
        <v>40390</v>
      </c>
      <c r="E9" s="59" t="s">
        <v>258</v>
      </c>
    </row>
    <row r="10" spans="1:5" x14ac:dyDescent="0.25">
      <c r="A10" s="57">
        <f t="shared" si="0"/>
        <v>9</v>
      </c>
      <c r="B10" s="41">
        <f>LARGE(Returns_PB!$C$2:$C$166,A10)</f>
        <v>8.0134362974829454E-2</v>
      </c>
      <c r="C10" s="41">
        <f>INDEX(Returns_PB!$B$2:$C$166,MATCH(B10,Returns_PB!$C$2:$C$166,0),1)</f>
        <v>4.0819613713054537E-3</v>
      </c>
      <c r="D10" s="58">
        <f>INDEX(Returns_PB!$A$2:$C$166,MATCH(B10,Returns_PB!$C$2:$C$166,0),1)</f>
        <v>43496</v>
      </c>
      <c r="E10" s="59" t="s">
        <v>258</v>
      </c>
    </row>
    <row r="11" spans="1:5" x14ac:dyDescent="0.25">
      <c r="A11" s="57">
        <f t="shared" si="0"/>
        <v>10</v>
      </c>
      <c r="B11" s="41">
        <f>LARGE(Returns_PB!$C$2:$C$166,A11)</f>
        <v>7.9270137013668807E-2</v>
      </c>
      <c r="C11" s="41">
        <f>INDEX(Returns_PB!$B$2:$C$166,MATCH(B11,Returns_PB!$C$2:$C$166,0),1)</f>
        <v>2.2097460421056425E-2</v>
      </c>
      <c r="D11" s="58">
        <f>INDEX(Returns_PB!$A$2:$C$166,MATCH(B11,Returns_PB!$C$2:$C$166,0),1)</f>
        <v>43496</v>
      </c>
      <c r="E11" s="59" t="s">
        <v>258</v>
      </c>
    </row>
    <row r="12" spans="1:5" x14ac:dyDescent="0.25">
      <c r="A12" s="57">
        <v>1</v>
      </c>
      <c r="B12" s="41">
        <f>LARGE(Returns_PB!$D$2:$D$166,A12)</f>
        <v>8.0134362974829454E-2</v>
      </c>
      <c r="C12" s="41">
        <f>INDEX(Returns_PB!$B$2:$D$166,MATCH(B12,Returns_PB!$D$2:$D$166,0),1)</f>
        <v>4.0819613713054537E-3</v>
      </c>
      <c r="D12" s="58">
        <f>INDEX(Returns_PB!$A$2:$D$166,MATCH(B12,Returns_PB!$D$2:$D$166,0),1)</f>
        <v>43496</v>
      </c>
      <c r="E12" s="59" t="s">
        <v>259</v>
      </c>
    </row>
    <row r="13" spans="1:5" x14ac:dyDescent="0.25">
      <c r="A13" s="57">
        <f>A12+1</f>
        <v>2</v>
      </c>
      <c r="B13" s="41">
        <f>LARGE(Returns_PB!$D$2:$D$166,A13)</f>
        <v>7.0477169180054311E-2</v>
      </c>
      <c r="C13" s="41">
        <f>INDEX(Returns_PB!$B$2:$D$166,MATCH(B13,Returns_PB!$D$2:$D$166,0),1)</f>
        <v>1.2421115861439347E-2</v>
      </c>
      <c r="D13" s="58">
        <f>INDEX(Returns_PB!$A$2:$D$166,MATCH(B13,Returns_PB!$D$2:$D$166,0),1)</f>
        <v>43646</v>
      </c>
      <c r="E13" s="59" t="s">
        <v>259</v>
      </c>
    </row>
    <row r="14" spans="1:5" x14ac:dyDescent="0.25">
      <c r="A14" s="57">
        <f t="shared" ref="A14:A21" si="1">A13+1</f>
        <v>3</v>
      </c>
      <c r="B14" s="41">
        <f>LARGE(Returns_PB!$D$2:$D$166,A14)</f>
        <v>6.1998922781940191E-2</v>
      </c>
      <c r="C14" s="41">
        <f>INDEX(Returns_PB!$B$2:$D$166,MATCH(B14,Returns_PB!$D$2:$D$166,0),1)</f>
        <v>2.0753212222526907E-2</v>
      </c>
      <c r="D14" s="58">
        <f>INDEX(Returns_PB!$A$2:$D$166,MATCH(B14,Returns_PB!$D$2:$D$166,0),1)</f>
        <v>43951</v>
      </c>
      <c r="E14" s="59" t="s">
        <v>259</v>
      </c>
    </row>
    <row r="15" spans="1:5" x14ac:dyDescent="0.25">
      <c r="A15" s="57">
        <f t="shared" si="1"/>
        <v>4</v>
      </c>
      <c r="B15" s="41">
        <f>LARGE(Returns_PB!$D$2:$D$166,A15)</f>
        <v>6.1532624709257577E-2</v>
      </c>
      <c r="C15" s="41">
        <f>INDEX(Returns_PB!$B$2:$D$166,MATCH(B15,Returns_PB!$D$2:$D$166,0),1)</f>
        <v>8.7322596851648893E-3</v>
      </c>
      <c r="D15" s="58">
        <f>INDEX(Returns_PB!$A$2:$D$166,MATCH(B15,Returns_PB!$D$2:$D$166,0),1)</f>
        <v>39933</v>
      </c>
      <c r="E15" s="59" t="s">
        <v>259</v>
      </c>
    </row>
    <row r="16" spans="1:5" x14ac:dyDescent="0.25">
      <c r="A16" s="57">
        <f t="shared" si="1"/>
        <v>5</v>
      </c>
      <c r="B16" s="41">
        <f>LARGE(Returns_PB!$D$2:$D$166,A16)</f>
        <v>5.3144620809711718E-2</v>
      </c>
      <c r="C16" s="41">
        <f>INDEX(Returns_PB!$B$2:$D$166,MATCH(B16,Returns_PB!$D$2:$D$166,0),1)</f>
        <v>1.2389375384937118E-2</v>
      </c>
      <c r="D16" s="58">
        <f>INDEX(Returns_PB!$A$2:$D$166,MATCH(B16,Returns_PB!$D$2:$D$166,0),1)</f>
        <v>40847</v>
      </c>
      <c r="E16" s="59" t="s">
        <v>259</v>
      </c>
    </row>
    <row r="17" spans="1:5" x14ac:dyDescent="0.25">
      <c r="A17" s="57">
        <f t="shared" si="1"/>
        <v>6</v>
      </c>
      <c r="B17" s="41">
        <f>LARGE(Returns_PB!$D$2:$D$166,A17)</f>
        <v>5.1158843315419977E-2</v>
      </c>
      <c r="C17" s="41">
        <f>INDEX(Returns_PB!$B$2:$D$166,MATCH(B17,Returns_PB!$D$2:$D$166,0),1)</f>
        <v>2.5275189557876887E-2</v>
      </c>
      <c r="D17" s="58">
        <f>INDEX(Returns_PB!$A$2:$D$166,MATCH(B17,Returns_PB!$D$2:$D$166,0),1)</f>
        <v>39964</v>
      </c>
      <c r="E17" s="59" t="s">
        <v>259</v>
      </c>
    </row>
    <row r="18" spans="1:5" x14ac:dyDescent="0.25">
      <c r="A18" s="57">
        <f t="shared" si="1"/>
        <v>7</v>
      </c>
      <c r="B18" s="41">
        <f>LARGE(Returns_PB!$D$2:$D$166,A18)</f>
        <v>5.0806536112642853E-2</v>
      </c>
      <c r="C18" s="41">
        <f>INDEX(Returns_PB!$B$2:$D$166,MATCH(B18,Returns_PB!$D$2:$D$166,0),1)</f>
        <v>2.6951833412211856E-2</v>
      </c>
      <c r="D18" s="58">
        <f>INDEX(Returns_PB!$A$2:$D$166,MATCH(B18,Returns_PB!$D$2:$D$166,0),1)</f>
        <v>40025</v>
      </c>
      <c r="E18" s="59" t="s">
        <v>259</v>
      </c>
    </row>
    <row r="19" spans="1:5" x14ac:dyDescent="0.25">
      <c r="A19" s="57">
        <f t="shared" si="1"/>
        <v>8</v>
      </c>
      <c r="B19" s="41">
        <f>LARGE(Returns_PB!$D$2:$D$166,A19)</f>
        <v>4.6897619692702452E-2</v>
      </c>
      <c r="C19" s="41">
        <f>INDEX(Returns_PB!$B$2:$D$166,MATCH(B19,Returns_PB!$D$2:$D$166,0),1)</f>
        <v>2.7504331813270388E-2</v>
      </c>
      <c r="D19" s="58">
        <f>INDEX(Returns_PB!$A$2:$D$166,MATCH(B19,Returns_PB!$D$2:$D$166,0),1)</f>
        <v>40451</v>
      </c>
      <c r="E19" s="59" t="s">
        <v>259</v>
      </c>
    </row>
    <row r="20" spans="1:5" x14ac:dyDescent="0.25">
      <c r="A20" s="57">
        <f t="shared" si="1"/>
        <v>9</v>
      </c>
      <c r="B20" s="41">
        <f>LARGE(Returns_PB!$D$2:$D$166,A20)</f>
        <v>4.5885707034338363E-2</v>
      </c>
      <c r="C20" s="41">
        <f>INDEX(Returns_PB!$B$2:$D$166,MATCH(B20,Returns_PB!$D$2:$D$166,0),1)</f>
        <v>5.9432687206044665E-3</v>
      </c>
      <c r="D20" s="58">
        <f>INDEX(Returns_PB!$A$2:$D$166,MATCH(B20,Returns_PB!$D$2:$D$166,0),1)</f>
        <v>39903</v>
      </c>
      <c r="E20" s="59" t="s">
        <v>259</v>
      </c>
    </row>
    <row r="21" spans="1:5" x14ac:dyDescent="0.25">
      <c r="A21" s="57">
        <f t="shared" si="1"/>
        <v>10</v>
      </c>
      <c r="B21" s="41">
        <f>LARGE(Returns_PB!$D$2:$D$166,A21)</f>
        <v>4.4930967732532245E-2</v>
      </c>
      <c r="C21" s="41">
        <f>INDEX(Returns_PB!$B$2:$D$166,MATCH(B21,Returns_PB!$D$2:$D$166,0),1)</f>
        <v>2.2097460421056425E-2</v>
      </c>
      <c r="D21" s="58">
        <f>INDEX(Returns_PB!$A$2:$D$166,MATCH(B21,Returns_PB!$D$2:$D$166,0),1)</f>
        <v>43496</v>
      </c>
      <c r="E21" s="59" t="s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C6C7-CBF3-4B69-8FD4-C9E3BEA997B5}">
  <dimension ref="A1:E166"/>
  <sheetViews>
    <sheetView workbookViewId="0"/>
  </sheetViews>
  <sheetFormatPr defaultRowHeight="15" x14ac:dyDescent="0.25"/>
  <cols>
    <col min="1" max="1" width="8.85546875" customWidth="1"/>
    <col min="2" max="5" width="17" customWidth="1"/>
  </cols>
  <sheetData>
    <row r="1" spans="1:5" s="47" customFormat="1" ht="18.600000000000001" customHeight="1" x14ac:dyDescent="0.25">
      <c r="A1" s="47" t="s">
        <v>18</v>
      </c>
      <c r="B1" s="47" t="s">
        <v>200</v>
      </c>
      <c r="C1" s="47" t="s">
        <v>201</v>
      </c>
      <c r="D1" s="47" t="s">
        <v>202</v>
      </c>
      <c r="E1" s="47" t="s">
        <v>203</v>
      </c>
    </row>
    <row r="2" spans="1:5" x14ac:dyDescent="0.25">
      <c r="A2" s="5" cm="1">
        <f t="array" ref="A2">_xll.ASPortfolioCumulativeRORVector('PBA Summary'!$C$2,"or",1,"m",'PBA Summary'!$F$2,'PBA Summary'!$G$2,"FIT",1)</f>
        <v>43434</v>
      </c>
      <c r="B2">
        <v>1.3564867932183589E-2</v>
      </c>
      <c r="C2" cm="1">
        <f t="array" ref="C2">_xll.ASPortfolioUnderwaterVector('PBA Summary'!$C$2,"OR",0,"M",'PBA Summary'!$F$2,'PBA Summary'!$G$2,"FIT",1)</f>
        <v>0</v>
      </c>
      <c r="D2" cm="1">
        <f t="array" ref="D2">IF(A2="","",_xll.ASAssetUnderwaterVector('PBA Summary'!$D$2,0,"M",'PBA Summary'!$F$2,'PBA Summary'!$G$2,"FIT",1))</f>
        <v>0</v>
      </c>
      <c r="E2" cm="1">
        <f t="array" ref="E2">IF(B2="","",_xll.ASAssetUnderwaterVector('PBA Summary'!$D$3,0,"M",'PBA Summary'!$F$2,'PBA Summary'!$G$2,"FIT",1))</f>
        <v>0</v>
      </c>
    </row>
    <row r="3" spans="1:5" x14ac:dyDescent="0.25">
      <c r="A3" s="5">
        <v>43465</v>
      </c>
      <c r="B3">
        <v>7.5167637134403442E-3</v>
      </c>
      <c r="C3">
        <v>-5.9671604749701457E-3</v>
      </c>
      <c r="D3">
        <v>-9.0331686534528943E-2</v>
      </c>
      <c r="E3">
        <v>-9.0331686534528943E-2</v>
      </c>
    </row>
    <row r="4" spans="1:5" x14ac:dyDescent="0.25">
      <c r="A4" s="5">
        <v>43496</v>
      </c>
      <c r="B4">
        <v>1.1629408223861271E-2</v>
      </c>
      <c r="C4">
        <v>-1.9095568222199377E-3</v>
      </c>
      <c r="D4">
        <v>-1.743599571658605E-2</v>
      </c>
      <c r="E4">
        <v>-1.743599571658605E-2</v>
      </c>
    </row>
    <row r="5" spans="1:5" x14ac:dyDescent="0.25">
      <c r="A5" s="5">
        <v>43524</v>
      </c>
      <c r="B5">
        <v>2.3784627739504849E-2</v>
      </c>
      <c r="C5">
        <v>0</v>
      </c>
      <c r="D5">
        <v>0</v>
      </c>
      <c r="E5">
        <v>0</v>
      </c>
    </row>
    <row r="6" spans="1:5" x14ac:dyDescent="0.25">
      <c r="A6" s="5">
        <v>43555</v>
      </c>
      <c r="B6">
        <v>5.915829218801405E-2</v>
      </c>
      <c r="C6">
        <v>0</v>
      </c>
      <c r="D6">
        <v>0</v>
      </c>
      <c r="E6">
        <v>0</v>
      </c>
    </row>
    <row r="7" spans="1:5" x14ac:dyDescent="0.25">
      <c r="A7" s="5">
        <v>43585</v>
      </c>
      <c r="B7">
        <v>4.0411984097534992E-2</v>
      </c>
      <c r="C7">
        <v>-1.7699250649072296E-2</v>
      </c>
      <c r="D7">
        <v>0</v>
      </c>
      <c r="E7">
        <v>0</v>
      </c>
    </row>
    <row r="8" spans="1:5" x14ac:dyDescent="0.25">
      <c r="A8" s="5">
        <v>43616</v>
      </c>
      <c r="B8">
        <v>3.6583125113731407E-2</v>
      </c>
      <c r="C8">
        <v>-2.1314252308450299E-2</v>
      </c>
      <c r="D8">
        <v>-6.3548887398839127E-2</v>
      </c>
      <c r="E8">
        <v>-6.3548887398839127E-2</v>
      </c>
    </row>
    <row r="9" spans="1:5" x14ac:dyDescent="0.25">
      <c r="A9" s="5">
        <v>43646</v>
      </c>
      <c r="B9">
        <v>4.9458644210781832E-2</v>
      </c>
      <c r="C9">
        <v>-9.1578832444342284E-3</v>
      </c>
      <c r="D9">
        <v>0</v>
      </c>
      <c r="E9">
        <v>0</v>
      </c>
    </row>
    <row r="10" spans="1:5" x14ac:dyDescent="0.25">
      <c r="A10" s="5">
        <v>43677</v>
      </c>
      <c r="B10">
        <v>5.7829467712239513E-2</v>
      </c>
      <c r="C10">
        <v>-1.2546042320354944E-3</v>
      </c>
      <c r="D10">
        <v>0</v>
      </c>
      <c r="E10">
        <v>0</v>
      </c>
    </row>
    <row r="11" spans="1:5" x14ac:dyDescent="0.25">
      <c r="A11" s="5">
        <v>43708</v>
      </c>
      <c r="B11">
        <v>6.9972410745567259E-2</v>
      </c>
      <c r="C11">
        <v>0</v>
      </c>
      <c r="D11">
        <v>-1.5840064282094835E-2</v>
      </c>
      <c r="E11">
        <v>-1.5840064282094835E-2</v>
      </c>
    </row>
    <row r="12" spans="1:5" x14ac:dyDescent="0.25">
      <c r="A12" s="5">
        <v>43738</v>
      </c>
      <c r="B12">
        <v>4.4183407494471583E-2</v>
      </c>
      <c r="C12">
        <v>-2.4102493664416635E-2</v>
      </c>
      <c r="D12">
        <v>0</v>
      </c>
      <c r="E12">
        <v>0</v>
      </c>
    </row>
    <row r="13" spans="1:5" x14ac:dyDescent="0.25">
      <c r="A13" s="5">
        <v>43769</v>
      </c>
      <c r="B13">
        <v>5.2197463513498299E-2</v>
      </c>
      <c r="C13">
        <v>-1.6612528560136619E-2</v>
      </c>
      <c r="D13">
        <v>0</v>
      </c>
      <c r="E13">
        <v>0</v>
      </c>
    </row>
    <row r="14" spans="1:5" x14ac:dyDescent="0.25">
      <c r="A14" s="5">
        <v>43799</v>
      </c>
      <c r="B14">
        <v>6.282977672248391E-2</v>
      </c>
      <c r="C14">
        <v>-6.6755310243058474E-3</v>
      </c>
      <c r="D14">
        <v>0</v>
      </c>
      <c r="E14">
        <v>0</v>
      </c>
    </row>
    <row r="15" spans="1:5" x14ac:dyDescent="0.25">
      <c r="A15" s="5">
        <v>43830</v>
      </c>
      <c r="B15">
        <v>9.0589588166450685E-2</v>
      </c>
      <c r="C15">
        <v>0</v>
      </c>
      <c r="D15">
        <v>0</v>
      </c>
      <c r="E15">
        <v>0</v>
      </c>
    </row>
    <row r="16" spans="1:5" x14ac:dyDescent="0.25">
      <c r="A16" s="5">
        <v>43861</v>
      </c>
      <c r="B16">
        <v>0.11495498477598831</v>
      </c>
      <c r="C16">
        <v>0</v>
      </c>
      <c r="D16">
        <v>-4.3937345812949946E-4</v>
      </c>
      <c r="E16">
        <v>-4.3937345812949946E-4</v>
      </c>
    </row>
    <row r="17" spans="1:5" x14ac:dyDescent="0.25">
      <c r="A17" s="5">
        <v>39568</v>
      </c>
      <c r="B17">
        <v>0.17930862795562841</v>
      </c>
      <c r="C17">
        <v>0</v>
      </c>
      <c r="D17">
        <v>-9.1912104649665816E-2</v>
      </c>
      <c r="E17">
        <v>-3.2212887529211143E-2</v>
      </c>
    </row>
    <row r="18" spans="1:5" x14ac:dyDescent="0.25">
      <c r="A18" s="5">
        <v>39599</v>
      </c>
      <c r="B18">
        <v>0.1947257861700622</v>
      </c>
      <c r="C18">
        <v>0</v>
      </c>
      <c r="D18">
        <v>-7.6717495560603921E-2</v>
      </c>
      <c r="E18">
        <v>-2.8567593869464503E-2</v>
      </c>
    </row>
    <row r="19" spans="1:5" x14ac:dyDescent="0.25">
      <c r="A19" s="5">
        <v>39629</v>
      </c>
      <c r="B19">
        <v>0.19501682988761315</v>
      </c>
      <c r="C19">
        <v>0</v>
      </c>
      <c r="D19">
        <v>-0.1522140201252733</v>
      </c>
      <c r="E19">
        <v>-6.9826335100292902E-2</v>
      </c>
    </row>
    <row r="20" spans="1:5" x14ac:dyDescent="0.25">
      <c r="A20" s="5">
        <v>39660</v>
      </c>
      <c r="B20">
        <v>0.2068605952281144</v>
      </c>
      <c r="C20">
        <v>0</v>
      </c>
      <c r="D20">
        <v>-0.1739983778632227</v>
      </c>
      <c r="E20">
        <v>-7.8329278032654659E-2</v>
      </c>
    </row>
    <row r="21" spans="1:5" x14ac:dyDescent="0.25">
      <c r="A21" s="5">
        <v>39691</v>
      </c>
      <c r="B21">
        <v>0.21335634809268589</v>
      </c>
      <c r="C21">
        <v>0</v>
      </c>
      <c r="D21">
        <v>-0.19146237669248845</v>
      </c>
      <c r="E21">
        <v>-8.3488158097269838E-2</v>
      </c>
    </row>
    <row r="22" spans="1:5" x14ac:dyDescent="0.25">
      <c r="A22" s="5">
        <v>39721</v>
      </c>
      <c r="B22">
        <v>0.21141470873864776</v>
      </c>
      <c r="C22">
        <v>-1.6002218615250863E-3</v>
      </c>
      <c r="D22">
        <v>-0.29221214170835652</v>
      </c>
      <c r="E22">
        <v>-0.14473977529078441</v>
      </c>
    </row>
    <row r="23" spans="1:5" x14ac:dyDescent="0.25">
      <c r="A23" s="5">
        <v>39752</v>
      </c>
      <c r="B23">
        <v>0.20450135239615763</v>
      </c>
      <c r="C23">
        <v>-7.2979349475096322E-3</v>
      </c>
      <c r="D23">
        <v>-0.43230618632585449</v>
      </c>
      <c r="E23">
        <v>-0.23218835141274075</v>
      </c>
    </row>
    <row r="24" spans="1:5" x14ac:dyDescent="0.25">
      <c r="A24" s="5">
        <v>39782</v>
      </c>
      <c r="B24">
        <v>0.20427792136656242</v>
      </c>
      <c r="C24">
        <v>-7.4820779076106847E-3</v>
      </c>
      <c r="D24">
        <v>-0.46925475628996816</v>
      </c>
      <c r="E24">
        <v>-0.24676133894933028</v>
      </c>
    </row>
    <row r="25" spans="1:5" x14ac:dyDescent="0.25">
      <c r="A25" s="5">
        <v>39813</v>
      </c>
      <c r="B25">
        <v>0.22299971206763303</v>
      </c>
      <c r="C25">
        <v>0</v>
      </c>
      <c r="D25">
        <v>-0.44968554718357734</v>
      </c>
      <c r="E25">
        <v>-0.22329776039996041</v>
      </c>
    </row>
    <row r="26" spans="1:5" x14ac:dyDescent="0.25">
      <c r="A26" s="5">
        <v>39844</v>
      </c>
      <c r="B26">
        <v>0.22761664470678022</v>
      </c>
      <c r="C26">
        <v>0</v>
      </c>
      <c r="D26">
        <v>-0.4966186675325841</v>
      </c>
      <c r="E26">
        <v>-0.25975599402028315</v>
      </c>
    </row>
    <row r="27" spans="1:5" x14ac:dyDescent="0.25">
      <c r="A27" s="5">
        <v>39872</v>
      </c>
      <c r="B27">
        <v>0.22267965861524108</v>
      </c>
      <c r="C27">
        <v>-4.0216024382093707E-3</v>
      </c>
      <c r="D27">
        <v>-0.54562168683295387</v>
      </c>
      <c r="E27">
        <v>-0.29583270559921071</v>
      </c>
    </row>
    <row r="28" spans="1:5" x14ac:dyDescent="0.25">
      <c r="A28" s="5">
        <v>39903</v>
      </c>
      <c r="B28">
        <v>0.22994637238560833</v>
      </c>
      <c r="C28">
        <v>0</v>
      </c>
      <c r="D28">
        <v>-0.50789626770207863</v>
      </c>
      <c r="E28">
        <v>-0.26352149142517334</v>
      </c>
    </row>
    <row r="29" spans="1:5" x14ac:dyDescent="0.25">
      <c r="A29" s="5">
        <v>39933</v>
      </c>
      <c r="B29">
        <v>0.24068658350810601</v>
      </c>
      <c r="C29">
        <v>0</v>
      </c>
      <c r="D29">
        <v>-0.44939668597747351</v>
      </c>
      <c r="E29">
        <v>-0.21820403575060476</v>
      </c>
    </row>
    <row r="30" spans="1:5" x14ac:dyDescent="0.25">
      <c r="A30" s="5">
        <v>39964</v>
      </c>
      <c r="B30">
        <v>0.27204517208818801</v>
      </c>
      <c r="C30">
        <v>0</v>
      </c>
      <c r="D30">
        <v>-0.39394825762269758</v>
      </c>
      <c r="E30">
        <v>-0.17820825851094224</v>
      </c>
    </row>
    <row r="31" spans="1:5" x14ac:dyDescent="0.25">
      <c r="A31" s="5">
        <v>39994</v>
      </c>
      <c r="B31">
        <v>0.27415429389699453</v>
      </c>
      <c r="C31">
        <v>0</v>
      </c>
      <c r="D31">
        <v>-0.39709551604408477</v>
      </c>
      <c r="E31">
        <v>-0.17657439079253312</v>
      </c>
    </row>
    <row r="32" spans="1:5" x14ac:dyDescent="0.25">
      <c r="A32" s="5">
        <v>40025</v>
      </c>
      <c r="B32">
        <v>0.30849508816756077</v>
      </c>
      <c r="C32">
        <v>0</v>
      </c>
      <c r="D32">
        <v>-0.34386023413229305</v>
      </c>
      <c r="E32">
        <v>-0.13473898784225891</v>
      </c>
    </row>
    <row r="33" spans="1:5" x14ac:dyDescent="0.25">
      <c r="A33" s="5">
        <v>40056</v>
      </c>
      <c r="B33">
        <v>0.32883423172401183</v>
      </c>
      <c r="C33">
        <v>0</v>
      </c>
      <c r="D33">
        <v>-0.32012956708314788</v>
      </c>
      <c r="E33">
        <v>-0.11465361195345913</v>
      </c>
    </row>
    <row r="34" spans="1:5" x14ac:dyDescent="0.25">
      <c r="A34" s="5">
        <v>40086</v>
      </c>
      <c r="B34">
        <v>0.3564572600725775</v>
      </c>
      <c r="C34">
        <v>0</v>
      </c>
      <c r="D34">
        <v>-0.28874708135511262</v>
      </c>
      <c r="E34">
        <v>-9.0480141197633701E-2</v>
      </c>
    </row>
    <row r="35" spans="1:5" x14ac:dyDescent="0.25">
      <c r="A35" s="5">
        <v>40117</v>
      </c>
      <c r="B35">
        <v>0.35778051610705575</v>
      </c>
      <c r="C35">
        <v>0</v>
      </c>
      <c r="D35">
        <v>-0.29959967149546263</v>
      </c>
      <c r="E35">
        <v>-9.6460354957587757E-2</v>
      </c>
    </row>
    <row r="36" spans="1:5" x14ac:dyDescent="0.25">
      <c r="A36" s="5">
        <v>40147</v>
      </c>
      <c r="B36">
        <v>0.38506710916486964</v>
      </c>
      <c r="C36">
        <v>0</v>
      </c>
      <c r="D36">
        <v>-0.27050241099908012</v>
      </c>
      <c r="E36">
        <v>-7.3141038281908433E-2</v>
      </c>
    </row>
    <row r="37" spans="1:5" x14ac:dyDescent="0.25">
      <c r="A37" s="5">
        <v>40178</v>
      </c>
      <c r="B37">
        <v>0.38784186421477429</v>
      </c>
      <c r="C37">
        <v>0</v>
      </c>
      <c r="D37">
        <v>-0.2550444231039487</v>
      </c>
      <c r="E37">
        <v>-6.7573591337301786E-2</v>
      </c>
    </row>
    <row r="38" spans="1:5" x14ac:dyDescent="0.25">
      <c r="A38" s="5">
        <v>40209</v>
      </c>
      <c r="B38">
        <v>0.38950787230676198</v>
      </c>
      <c r="C38">
        <v>0</v>
      </c>
      <c r="D38">
        <v>-0.28716043791868839</v>
      </c>
      <c r="E38">
        <v>-8.2897081008555418E-2</v>
      </c>
    </row>
    <row r="39" spans="1:5" x14ac:dyDescent="0.25">
      <c r="A39" s="5">
        <v>40237</v>
      </c>
      <c r="B39">
        <v>0.39887104310651056</v>
      </c>
      <c r="C39">
        <v>0</v>
      </c>
      <c r="D39">
        <v>-0.27785917988900222</v>
      </c>
      <c r="E39">
        <v>-7.4748004929501288E-2</v>
      </c>
    </row>
    <row r="40" spans="1:5" x14ac:dyDescent="0.25">
      <c r="A40" s="5">
        <v>40268</v>
      </c>
      <c r="B40">
        <v>0.42202955305962386</v>
      </c>
      <c r="C40">
        <v>0</v>
      </c>
      <c r="D40">
        <v>-0.23104418866586973</v>
      </c>
      <c r="E40">
        <v>-4.3864568981789143E-2</v>
      </c>
    </row>
    <row r="41" spans="1:5" x14ac:dyDescent="0.25">
      <c r="A41" s="5">
        <v>40298</v>
      </c>
      <c r="B41">
        <v>0.44135611999398727</v>
      </c>
      <c r="C41">
        <v>0</v>
      </c>
      <c r="D41">
        <v>-0.22940858261794972</v>
      </c>
      <c r="E41">
        <v>-4.0183738779129397E-2</v>
      </c>
    </row>
    <row r="42" spans="1:5" x14ac:dyDescent="0.25">
      <c r="A42" s="5">
        <v>40329</v>
      </c>
      <c r="B42">
        <v>0.43629974185449472</v>
      </c>
      <c r="C42">
        <v>-3.5080699830890572E-3</v>
      </c>
      <c r="D42">
        <v>-0.3018905392585538</v>
      </c>
      <c r="E42">
        <v>-8.1608686198648694E-2</v>
      </c>
    </row>
    <row r="43" spans="1:5" x14ac:dyDescent="0.25">
      <c r="A43" s="5">
        <v>40359</v>
      </c>
      <c r="B43">
        <v>0.45110863999876782</v>
      </c>
      <c r="C43">
        <v>0</v>
      </c>
      <c r="D43">
        <v>-0.32304384356136628</v>
      </c>
      <c r="E43">
        <v>-9.1331738577931088E-2</v>
      </c>
    </row>
    <row r="44" spans="1:5" x14ac:dyDescent="0.25">
      <c r="A44" s="5">
        <v>40390</v>
      </c>
      <c r="B44">
        <v>0.47134986955574254</v>
      </c>
      <c r="C44">
        <v>0</v>
      </c>
      <c r="D44">
        <v>-0.26780309676687097</v>
      </c>
      <c r="E44">
        <v>-5.0561714944163949E-2</v>
      </c>
    </row>
    <row r="45" spans="1:5" x14ac:dyDescent="0.25">
      <c r="A45" s="5">
        <v>40421</v>
      </c>
      <c r="B45">
        <v>0.48671544124467192</v>
      </c>
      <c r="C45">
        <v>0</v>
      </c>
      <c r="D45">
        <v>-0.29314607166961926</v>
      </c>
      <c r="E45">
        <v>-5.9112999310019121E-2</v>
      </c>
    </row>
    <row r="46" spans="1:5" x14ac:dyDescent="0.25">
      <c r="A46" s="5">
        <v>40451</v>
      </c>
      <c r="B46">
        <v>0.527606556052578</v>
      </c>
      <c r="C46">
        <v>0</v>
      </c>
      <c r="D46">
        <v>-0.2252678746295097</v>
      </c>
      <c r="E46">
        <v>-1.4987638577853013E-2</v>
      </c>
    </row>
    <row r="47" spans="1:5" x14ac:dyDescent="0.25">
      <c r="A47" s="5">
        <v>40482</v>
      </c>
      <c r="B47">
        <v>0.56032987606926921</v>
      </c>
      <c r="C47">
        <v>0</v>
      </c>
      <c r="D47">
        <v>-0.19700425264853738</v>
      </c>
      <c r="E47">
        <v>0</v>
      </c>
    </row>
    <row r="48" spans="1:5" x14ac:dyDescent="0.25">
      <c r="A48" s="5">
        <v>40512</v>
      </c>
      <c r="B48">
        <v>0.5666223285543559</v>
      </c>
      <c r="C48">
        <v>0</v>
      </c>
      <c r="D48">
        <v>-0.21458674463796235</v>
      </c>
      <c r="E48">
        <v>-1.6326414050534477E-2</v>
      </c>
    </row>
    <row r="49" spans="1:5" x14ac:dyDescent="0.25">
      <c r="A49" s="5">
        <v>40543</v>
      </c>
      <c r="B49">
        <v>0.59967873045604403</v>
      </c>
      <c r="C49">
        <v>0</v>
      </c>
      <c r="D49">
        <v>-0.15667671643986747</v>
      </c>
      <c r="E49">
        <v>0</v>
      </c>
    </row>
    <row r="50" spans="1:5" x14ac:dyDescent="0.25">
      <c r="A50" s="5">
        <v>40574</v>
      </c>
      <c r="B50">
        <v>0.60737823078519293</v>
      </c>
      <c r="C50">
        <v>0</v>
      </c>
      <c r="D50">
        <v>-0.14335961418190835</v>
      </c>
      <c r="E50">
        <v>0</v>
      </c>
    </row>
    <row r="51" spans="1:5" x14ac:dyDescent="0.25">
      <c r="A51" s="5">
        <v>40602</v>
      </c>
      <c r="B51">
        <v>0.63450274348324553</v>
      </c>
      <c r="C51">
        <v>0</v>
      </c>
      <c r="D51">
        <v>-0.11814696355362164</v>
      </c>
      <c r="E51">
        <v>0</v>
      </c>
    </row>
    <row r="52" spans="1:5" x14ac:dyDescent="0.25">
      <c r="A52" s="5">
        <v>40633</v>
      </c>
      <c r="B52">
        <v>0.63648371859422825</v>
      </c>
      <c r="C52">
        <v>0</v>
      </c>
      <c r="D52">
        <v>-0.1186471466628678</v>
      </c>
      <c r="E52">
        <v>-6.6256170505574197E-4</v>
      </c>
    </row>
    <row r="53" spans="1:5" x14ac:dyDescent="0.25">
      <c r="A53" s="5">
        <v>40663</v>
      </c>
      <c r="B53">
        <v>0.66704105728808338</v>
      </c>
      <c r="C53">
        <v>0</v>
      </c>
      <c r="D53">
        <v>-8.2304875802429622E-2</v>
      </c>
      <c r="E53">
        <v>0</v>
      </c>
    </row>
    <row r="54" spans="1:5" x14ac:dyDescent="0.25">
      <c r="A54" s="5">
        <v>40694</v>
      </c>
      <c r="B54">
        <v>0.65162782546005293</v>
      </c>
      <c r="C54">
        <v>-9.2458621583708656E-3</v>
      </c>
      <c r="D54">
        <v>-0.10138791711959294</v>
      </c>
      <c r="E54">
        <v>-5.5425443183050316E-3</v>
      </c>
    </row>
    <row r="55" spans="1:5" x14ac:dyDescent="0.25">
      <c r="A55" s="5">
        <v>40724</v>
      </c>
      <c r="B55">
        <v>0.64505123964135214</v>
      </c>
      <c r="C55">
        <v>-1.3190927452323198E-2</v>
      </c>
      <c r="D55">
        <v>-0.11518481656677004</v>
      </c>
      <c r="E55">
        <v>-1.4164176215423208E-2</v>
      </c>
    </row>
    <row r="56" spans="1:5" x14ac:dyDescent="0.25">
      <c r="A56" s="5">
        <v>40755</v>
      </c>
      <c r="B56">
        <v>0.6598054405606939</v>
      </c>
      <c r="C56">
        <v>-4.3403950345172193E-3</v>
      </c>
      <c r="D56">
        <v>-0.12932754858584194</v>
      </c>
      <c r="E56">
        <v>-1.6502878056295467E-2</v>
      </c>
    </row>
    <row r="57" spans="1:5" x14ac:dyDescent="0.25">
      <c r="A57" s="5">
        <v>40786</v>
      </c>
      <c r="B57">
        <v>0.66442229268147357</v>
      </c>
      <c r="C57">
        <v>-1.5709058845077006E-3</v>
      </c>
      <c r="D57">
        <v>-0.19260617241974887</v>
      </c>
      <c r="E57">
        <v>-4.6240590682196325E-2</v>
      </c>
    </row>
    <row r="58" spans="1:5" x14ac:dyDescent="0.25">
      <c r="A58" s="5">
        <v>40816</v>
      </c>
      <c r="B58">
        <v>0.64706602071351882</v>
      </c>
      <c r="C58">
        <v>-1.198233030148621E-2</v>
      </c>
      <c r="D58">
        <v>-0.26851041538496789</v>
      </c>
      <c r="E58">
        <v>-8.8225119972320631E-2</v>
      </c>
    </row>
    <row r="59" spans="1:5" x14ac:dyDescent="0.25">
      <c r="A59" s="5">
        <v>40847</v>
      </c>
      <c r="B59">
        <v>0.66747213992791332</v>
      </c>
      <c r="C59">
        <v>0</v>
      </c>
      <c r="D59">
        <v>-0.19004264297629225</v>
      </c>
      <c r="E59">
        <v>-3.976918970942922E-2</v>
      </c>
    </row>
    <row r="60" spans="1:5" x14ac:dyDescent="0.25">
      <c r="A60" s="5">
        <v>40877</v>
      </c>
      <c r="B60">
        <v>0.66685434885781247</v>
      </c>
      <c r="C60">
        <v>-3.7049558748702971E-4</v>
      </c>
      <c r="D60">
        <v>-0.21389162116845439</v>
      </c>
      <c r="E60">
        <v>-5.6511583787898112E-2</v>
      </c>
    </row>
    <row r="61" spans="1:5" x14ac:dyDescent="0.25">
      <c r="A61" s="5">
        <v>40908</v>
      </c>
      <c r="B61">
        <v>0.66804461629032175</v>
      </c>
      <c r="C61">
        <v>0</v>
      </c>
      <c r="D61">
        <v>-0.2150741865471919</v>
      </c>
      <c r="E61">
        <v>-5.004614214646419E-2</v>
      </c>
    </row>
    <row r="62" spans="1:5" x14ac:dyDescent="0.25">
      <c r="A62" s="5">
        <v>40939</v>
      </c>
      <c r="B62">
        <v>0.7048686882963906</v>
      </c>
      <c r="C62">
        <v>0</v>
      </c>
      <c r="D62">
        <v>-0.16932017325120408</v>
      </c>
      <c r="E62">
        <v>-1.7665929440443096E-2</v>
      </c>
    </row>
    <row r="63" spans="1:5" x14ac:dyDescent="0.25">
      <c r="A63" s="5">
        <v>40968</v>
      </c>
      <c r="B63">
        <v>0.73564358610921765</v>
      </c>
      <c r="C63">
        <v>0</v>
      </c>
      <c r="D63">
        <v>-0.12717319368008062</v>
      </c>
      <c r="E63">
        <v>0</v>
      </c>
    </row>
    <row r="64" spans="1:5" x14ac:dyDescent="0.25">
      <c r="A64" s="5">
        <v>40999</v>
      </c>
      <c r="B64">
        <v>0.7378056243430029</v>
      </c>
      <c r="C64">
        <v>0</v>
      </c>
      <c r="D64">
        <v>-0.12093819644310055</v>
      </c>
      <c r="E64">
        <v>0</v>
      </c>
    </row>
    <row r="65" spans="1:5" x14ac:dyDescent="0.25">
      <c r="A65" s="5">
        <v>41029</v>
      </c>
      <c r="B65">
        <v>0.73880385902622558</v>
      </c>
      <c r="C65">
        <v>0</v>
      </c>
      <c r="D65">
        <v>-0.13071743149057391</v>
      </c>
      <c r="E65">
        <v>-2.4462192832266361E-3</v>
      </c>
    </row>
    <row r="66" spans="1:5" x14ac:dyDescent="0.25">
      <c r="A66" s="5">
        <v>41060</v>
      </c>
      <c r="B66">
        <v>0.75105438306460703</v>
      </c>
      <c r="C66">
        <v>0</v>
      </c>
      <c r="D66">
        <v>-0.20800991920623613</v>
      </c>
      <c r="E66">
        <v>-4.1603000658268496E-2</v>
      </c>
    </row>
    <row r="67" spans="1:5" x14ac:dyDescent="0.25">
      <c r="A67" s="5">
        <v>41090</v>
      </c>
      <c r="B67">
        <v>0.7458025959843908</v>
      </c>
      <c r="C67">
        <v>-2.9992141483491386E-3</v>
      </c>
      <c r="D67">
        <v>-0.16851929782155239</v>
      </c>
      <c r="E67">
        <v>-1.8494882487792297E-2</v>
      </c>
    </row>
    <row r="68" spans="1:5" x14ac:dyDescent="0.25">
      <c r="A68" s="5">
        <v>41121</v>
      </c>
      <c r="B68">
        <v>0.76033581303836528</v>
      </c>
      <c r="C68">
        <v>0</v>
      </c>
      <c r="D68">
        <v>-0.1569013255944558</v>
      </c>
      <c r="E68">
        <v>-4.9872678485671784E-3</v>
      </c>
    </row>
    <row r="69" spans="1:5" x14ac:dyDescent="0.25">
      <c r="A69" s="5">
        <v>41152</v>
      </c>
      <c r="B69">
        <v>0.78042606716121332</v>
      </c>
      <c r="C69">
        <v>0</v>
      </c>
      <c r="D69">
        <v>-0.13815865633489433</v>
      </c>
      <c r="E69">
        <v>0</v>
      </c>
    </row>
    <row r="70" spans="1:5" x14ac:dyDescent="0.25">
      <c r="A70" s="5">
        <v>41182</v>
      </c>
      <c r="B70">
        <v>0.79750006892264258</v>
      </c>
      <c r="C70">
        <v>0</v>
      </c>
      <c r="D70">
        <v>-0.11067789008640594</v>
      </c>
      <c r="E70">
        <v>0</v>
      </c>
    </row>
    <row r="71" spans="1:5" x14ac:dyDescent="0.25">
      <c r="A71" s="5">
        <v>41213</v>
      </c>
      <c r="B71">
        <v>0.78605049353537715</v>
      </c>
      <c r="C71">
        <v>-6.3697218070917216E-3</v>
      </c>
      <c r="D71">
        <v>-0.11639887091126389</v>
      </c>
      <c r="E71">
        <v>-1.8053373242108428E-3</v>
      </c>
    </row>
    <row r="72" spans="1:5" x14ac:dyDescent="0.25">
      <c r="A72" s="5">
        <v>41243</v>
      </c>
      <c r="B72">
        <v>0.80615466492586885</v>
      </c>
      <c r="C72">
        <v>0</v>
      </c>
      <c r="D72">
        <v>-0.10469826290119955</v>
      </c>
      <c r="E72">
        <v>0</v>
      </c>
    </row>
    <row r="73" spans="1:5" x14ac:dyDescent="0.25">
      <c r="A73" s="5">
        <v>41274</v>
      </c>
      <c r="B73">
        <v>0.82337788657010469</v>
      </c>
      <c r="C73">
        <v>0</v>
      </c>
      <c r="D73">
        <v>-8.3843648730218545E-2</v>
      </c>
      <c r="E73">
        <v>0</v>
      </c>
    </row>
    <row r="74" spans="1:5" x14ac:dyDescent="0.25">
      <c r="A74" s="5">
        <v>41305</v>
      </c>
      <c r="B74">
        <v>0.85678805094166477</v>
      </c>
      <c r="C74">
        <v>0</v>
      </c>
      <c r="D74">
        <v>-4.148316305023525E-2</v>
      </c>
      <c r="E74">
        <v>0</v>
      </c>
    </row>
    <row r="75" spans="1:5" x14ac:dyDescent="0.25">
      <c r="A75" s="5">
        <v>41333</v>
      </c>
      <c r="B75">
        <v>0.85600939397978326</v>
      </c>
      <c r="C75">
        <v>-4.1935694355998976E-4</v>
      </c>
      <c r="D75">
        <v>-4.1268382821374128E-2</v>
      </c>
      <c r="E75">
        <v>0</v>
      </c>
    </row>
    <row r="76" spans="1:5" x14ac:dyDescent="0.25">
      <c r="A76" s="5">
        <v>41364</v>
      </c>
      <c r="B76">
        <v>0.87233810874433027</v>
      </c>
      <c r="C76">
        <v>0</v>
      </c>
      <c r="D76">
        <v>-2.3208459865590059E-2</v>
      </c>
      <c r="E76">
        <v>0</v>
      </c>
    </row>
    <row r="77" spans="1:5" x14ac:dyDescent="0.25">
      <c r="A77" s="5">
        <v>41394</v>
      </c>
      <c r="B77">
        <v>0.88913012867952168</v>
      </c>
      <c r="C77">
        <v>0</v>
      </c>
      <c r="D77">
        <v>0</v>
      </c>
      <c r="E77">
        <v>0</v>
      </c>
    </row>
    <row r="78" spans="1:5" x14ac:dyDescent="0.25">
      <c r="A78" s="5">
        <v>41425</v>
      </c>
      <c r="B78">
        <v>0.89531617022112342</v>
      </c>
      <c r="C78">
        <v>0</v>
      </c>
      <c r="D78">
        <v>-2.0451371846583744E-3</v>
      </c>
      <c r="E78">
        <v>-8.1483640630346521E-3</v>
      </c>
    </row>
    <row r="79" spans="1:5" x14ac:dyDescent="0.25">
      <c r="A79" s="5">
        <v>41455</v>
      </c>
      <c r="B79">
        <v>0.87355828356426901</v>
      </c>
      <c r="C79">
        <v>-1.1479819039540984E-2</v>
      </c>
      <c r="D79">
        <v>-3.0830280056290738E-2</v>
      </c>
      <c r="E79">
        <v>-2.9355210555660149E-2</v>
      </c>
    </row>
    <row r="80" spans="1:5" x14ac:dyDescent="0.25">
      <c r="A80" s="5">
        <v>41486</v>
      </c>
      <c r="B80">
        <v>0.90281890754383176</v>
      </c>
      <c r="C80">
        <v>0</v>
      </c>
      <c r="D80">
        <v>0</v>
      </c>
      <c r="E80">
        <v>-4.0026755723521212E-3</v>
      </c>
    </row>
    <row r="81" spans="1:5" x14ac:dyDescent="0.25">
      <c r="A81" s="5">
        <v>41517</v>
      </c>
      <c r="B81">
        <v>0.89829111539822137</v>
      </c>
      <c r="C81">
        <v>-2.3795181599571835E-3</v>
      </c>
      <c r="D81">
        <v>-2.0431923951948816E-2</v>
      </c>
      <c r="E81">
        <v>-1.6068518972046864E-2</v>
      </c>
    </row>
    <row r="82" spans="1:5" x14ac:dyDescent="0.25">
      <c r="A82" s="5">
        <v>41547</v>
      </c>
      <c r="B82">
        <v>0.92527651094080232</v>
      </c>
      <c r="C82">
        <v>0</v>
      </c>
      <c r="D82">
        <v>0</v>
      </c>
      <c r="E82">
        <v>0</v>
      </c>
    </row>
    <row r="83" spans="1:5" x14ac:dyDescent="0.25">
      <c r="A83" s="5">
        <v>41578</v>
      </c>
      <c r="B83">
        <v>0.95397456621659948</v>
      </c>
      <c r="C83">
        <v>0</v>
      </c>
      <c r="D83">
        <v>0</v>
      </c>
      <c r="E83">
        <v>0</v>
      </c>
    </row>
    <row r="84" spans="1:5" x14ac:dyDescent="0.25">
      <c r="A84" s="5">
        <v>41608</v>
      </c>
      <c r="B84">
        <v>0.96732846097514247</v>
      </c>
      <c r="C84">
        <v>0</v>
      </c>
      <c r="D84">
        <v>0</v>
      </c>
      <c r="E84">
        <v>0</v>
      </c>
    </row>
    <row r="85" spans="1:5" x14ac:dyDescent="0.25">
      <c r="A85" s="5">
        <v>41639</v>
      </c>
      <c r="B85">
        <v>0.98464608894402939</v>
      </c>
      <c r="C85">
        <v>0</v>
      </c>
      <c r="D85">
        <v>0</v>
      </c>
      <c r="E85">
        <v>0</v>
      </c>
    </row>
    <row r="86" spans="1:5" x14ac:dyDescent="0.25">
      <c r="A86" s="5">
        <v>41670</v>
      </c>
      <c r="B86">
        <v>1.0081832730995344</v>
      </c>
      <c r="C86">
        <v>0</v>
      </c>
      <c r="D86">
        <v>-3.9803628904356514E-2</v>
      </c>
      <c r="E86">
        <v>-1.2719578752683036E-2</v>
      </c>
    </row>
    <row r="87" spans="1:5" x14ac:dyDescent="0.25">
      <c r="A87" s="5">
        <v>41698</v>
      </c>
      <c r="B87">
        <v>1.0527646746906147</v>
      </c>
      <c r="C87">
        <v>0</v>
      </c>
      <c r="D87">
        <v>0</v>
      </c>
      <c r="E87">
        <v>0</v>
      </c>
    </row>
    <row r="88" spans="1:5" x14ac:dyDescent="0.25">
      <c r="A88" s="5">
        <v>41729</v>
      </c>
      <c r="B88">
        <v>1.0207463883273591</v>
      </c>
      <c r="C88">
        <v>-1.5597640956132142E-2</v>
      </c>
      <c r="D88">
        <v>0</v>
      </c>
      <c r="E88">
        <v>0</v>
      </c>
    </row>
    <row r="89" spans="1:5" x14ac:dyDescent="0.25">
      <c r="A89" s="5">
        <v>41759</v>
      </c>
      <c r="B89">
        <v>1.0208834548995545</v>
      </c>
      <c r="C89">
        <v>-1.5530869263358338E-2</v>
      </c>
      <c r="D89">
        <v>0</v>
      </c>
      <c r="E89">
        <v>0</v>
      </c>
    </row>
    <row r="90" spans="1:5" x14ac:dyDescent="0.25">
      <c r="A90" s="5">
        <v>41790</v>
      </c>
      <c r="B90">
        <v>1.0386356102586149</v>
      </c>
      <c r="C90">
        <v>-6.8829440637803163E-3</v>
      </c>
      <c r="D90">
        <v>0</v>
      </c>
      <c r="E90">
        <v>0</v>
      </c>
    </row>
    <row r="91" spans="1:5" x14ac:dyDescent="0.25">
      <c r="A91" s="5">
        <v>41820</v>
      </c>
      <c r="B91">
        <v>1.0449969026887898</v>
      </c>
      <c r="C91">
        <v>-3.7840538165904158E-3</v>
      </c>
      <c r="D91">
        <v>0</v>
      </c>
      <c r="E91">
        <v>0</v>
      </c>
    </row>
    <row r="92" spans="1:5" x14ac:dyDescent="0.25">
      <c r="A92" s="5">
        <v>41851</v>
      </c>
      <c r="B92">
        <v>1.0396656419091537</v>
      </c>
      <c r="C92">
        <v>-6.38116630852259E-3</v>
      </c>
      <c r="D92">
        <v>-1.1818200930893141E-2</v>
      </c>
      <c r="E92">
        <v>-4.832775506597109E-3</v>
      </c>
    </row>
    <row r="93" spans="1:5" x14ac:dyDescent="0.25">
      <c r="A93" s="5">
        <v>41882</v>
      </c>
      <c r="B93">
        <v>1.0623545405249151</v>
      </c>
      <c r="C93">
        <v>0</v>
      </c>
      <c r="D93">
        <v>0</v>
      </c>
      <c r="E93">
        <v>0</v>
      </c>
    </row>
    <row r="94" spans="1:5" x14ac:dyDescent="0.25">
      <c r="A94" s="5">
        <v>41912</v>
      </c>
      <c r="B94">
        <v>1.0680952297314712</v>
      </c>
      <c r="C94">
        <v>0</v>
      </c>
      <c r="D94">
        <v>-3.2027664290405267E-2</v>
      </c>
      <c r="E94">
        <v>-1.7487284714664986E-2</v>
      </c>
    </row>
    <row r="95" spans="1:5" x14ac:dyDescent="0.25">
      <c r="A95" s="5">
        <v>41943</v>
      </c>
      <c r="B95">
        <v>1.093790229759191</v>
      </c>
      <c r="C95">
        <v>0</v>
      </c>
      <c r="D95">
        <v>-2.4958905786960472E-2</v>
      </c>
      <c r="E95">
        <v>-1.0319574882895921E-2</v>
      </c>
    </row>
    <row r="96" spans="1:5" x14ac:dyDescent="0.25">
      <c r="A96" s="5">
        <v>41973</v>
      </c>
      <c r="B96">
        <v>1.1214820602122546</v>
      </c>
      <c r="C96">
        <v>0</v>
      </c>
      <c r="D96">
        <v>-8.2224352173927429E-3</v>
      </c>
      <c r="E96">
        <v>0</v>
      </c>
    </row>
    <row r="97" spans="1:5" x14ac:dyDescent="0.25">
      <c r="A97" s="5">
        <v>42004</v>
      </c>
      <c r="B97">
        <v>1.1307134185676224</v>
      </c>
      <c r="C97">
        <v>0</v>
      </c>
      <c r="D97">
        <v>-2.6853408510682852E-2</v>
      </c>
      <c r="E97">
        <v>-6.8042086817113878E-3</v>
      </c>
    </row>
    <row r="98" spans="1:5" x14ac:dyDescent="0.25">
      <c r="A98" s="5">
        <v>42035</v>
      </c>
      <c r="B98">
        <v>1.1585607405919967</v>
      </c>
      <c r="C98">
        <v>0</v>
      </c>
      <c r="D98">
        <v>-4.1822614608358677E-2</v>
      </c>
      <c r="E98">
        <v>-5.1815505255157213E-3</v>
      </c>
    </row>
    <row r="99" spans="1:5" x14ac:dyDescent="0.25">
      <c r="A99" s="5">
        <v>42063</v>
      </c>
      <c r="B99">
        <v>1.1756027999383858</v>
      </c>
      <c r="C99">
        <v>0</v>
      </c>
      <c r="D99">
        <v>0</v>
      </c>
      <c r="E99">
        <v>0</v>
      </c>
    </row>
    <row r="100" spans="1:5" x14ac:dyDescent="0.25">
      <c r="A100" s="5">
        <v>42094</v>
      </c>
      <c r="B100">
        <v>1.1837699722579642</v>
      </c>
      <c r="C100">
        <v>0</v>
      </c>
      <c r="D100">
        <v>-1.4821560494695407E-2</v>
      </c>
      <c r="E100">
        <v>-4.5457547804546028E-3</v>
      </c>
    </row>
    <row r="101" spans="1:5" x14ac:dyDescent="0.25">
      <c r="A101" s="5">
        <v>42124</v>
      </c>
      <c r="B101">
        <v>1.2103504365805793</v>
      </c>
      <c r="C101">
        <v>0</v>
      </c>
      <c r="D101">
        <v>0</v>
      </c>
      <c r="E101">
        <v>0</v>
      </c>
    </row>
    <row r="102" spans="1:5" x14ac:dyDescent="0.25">
      <c r="A102" s="5">
        <v>42155</v>
      </c>
      <c r="B102">
        <v>1.2402786550363616</v>
      </c>
      <c r="C102">
        <v>0</v>
      </c>
      <c r="D102">
        <v>-7.3216694281619255E-4</v>
      </c>
      <c r="E102">
        <v>-2.4386808561810414E-3</v>
      </c>
    </row>
    <row r="103" spans="1:5" x14ac:dyDescent="0.25">
      <c r="A103" s="5">
        <v>42185</v>
      </c>
      <c r="B103">
        <v>1.2206553945188303</v>
      </c>
      <c r="C103">
        <v>-8.7592945071437445E-3</v>
      </c>
      <c r="D103">
        <v>-2.3813149945864587E-2</v>
      </c>
      <c r="E103">
        <v>-2.0124890235604487E-2</v>
      </c>
    </row>
    <row r="104" spans="1:5" x14ac:dyDescent="0.25">
      <c r="A104" s="5">
        <v>42216</v>
      </c>
      <c r="B104">
        <v>1.2368061619120918</v>
      </c>
      <c r="C104">
        <v>-1.5500273220312444E-3</v>
      </c>
      <c r="D104">
        <v>-1.5010954057728454E-2</v>
      </c>
      <c r="E104">
        <v>-1.0854671873226751E-2</v>
      </c>
    </row>
    <row r="105" spans="1:5" x14ac:dyDescent="0.25">
      <c r="A105" s="5">
        <v>42247</v>
      </c>
      <c r="B105">
        <v>1.2136838466562168</v>
      </c>
      <c r="C105">
        <v>-1.1871205539702445E-2</v>
      </c>
      <c r="D105">
        <v>-8.2145367304479633E-2</v>
      </c>
      <c r="E105">
        <v>-4.5900480340022809E-2</v>
      </c>
    </row>
    <row r="106" spans="1:5" x14ac:dyDescent="0.25">
      <c r="A106" s="5">
        <v>42277</v>
      </c>
      <c r="B106">
        <v>1.205517576422523</v>
      </c>
      <c r="C106">
        <v>-1.5516408432358353E-2</v>
      </c>
      <c r="D106">
        <v>-0.11494291606965767</v>
      </c>
      <c r="E106">
        <v>-6.0117467389888879E-2</v>
      </c>
    </row>
    <row r="107" spans="1:5" x14ac:dyDescent="0.25">
      <c r="A107" s="5">
        <v>42308</v>
      </c>
      <c r="B107">
        <v>1.2279093835489565</v>
      </c>
      <c r="C107">
        <v>-5.5213093512264111E-3</v>
      </c>
      <c r="D107">
        <v>-4.5230820041564979E-2</v>
      </c>
      <c r="E107">
        <v>-2.1578104714701341E-2</v>
      </c>
    </row>
    <row r="108" spans="1:5" x14ac:dyDescent="0.25">
      <c r="A108" s="5">
        <v>42338</v>
      </c>
      <c r="B108">
        <v>1.2349906831174029</v>
      </c>
      <c r="C108">
        <v>-2.3604081157809764E-3</v>
      </c>
      <c r="D108">
        <v>-5.2687135831192222E-2</v>
      </c>
      <c r="E108">
        <v>-2.5173360146027002E-2</v>
      </c>
    </row>
    <row r="109" spans="1:5" x14ac:dyDescent="0.25">
      <c r="A109" s="5">
        <v>42369</v>
      </c>
      <c r="B109">
        <v>1.233234404825994</v>
      </c>
      <c r="C109">
        <v>-3.1443634007454202E-3</v>
      </c>
      <c r="D109">
        <v>-6.9329455284718122E-2</v>
      </c>
      <c r="E109">
        <v>-3.5055162762004821E-2</v>
      </c>
    </row>
    <row r="110" spans="1:5" x14ac:dyDescent="0.25">
      <c r="A110" s="5">
        <v>42400</v>
      </c>
      <c r="B110">
        <v>1.2260075869899048</v>
      </c>
      <c r="C110">
        <v>-6.3702200681036159E-3</v>
      </c>
      <c r="D110">
        <v>-0.12522520078062938</v>
      </c>
      <c r="E110">
        <v>-5.6974405601706968E-2</v>
      </c>
    </row>
    <row r="111" spans="1:5" x14ac:dyDescent="0.25">
      <c r="A111" s="5">
        <v>42429</v>
      </c>
      <c r="B111">
        <v>1.2360226085292001</v>
      </c>
      <c r="C111">
        <v>-1.8997844297599098E-3</v>
      </c>
      <c r="D111">
        <v>-0.13080142739731226</v>
      </c>
      <c r="E111">
        <v>-5.5447976481030614E-2</v>
      </c>
    </row>
    <row r="112" spans="1:5" x14ac:dyDescent="0.25">
      <c r="A112" s="5">
        <v>42460</v>
      </c>
      <c r="B112">
        <v>1.2381976909689034</v>
      </c>
      <c r="C112">
        <v>-9.2888626277809472E-4</v>
      </c>
      <c r="D112">
        <v>-6.580910209403712E-2</v>
      </c>
      <c r="E112">
        <v>-1.6246591763124818E-2</v>
      </c>
    </row>
    <row r="113" spans="1:5" x14ac:dyDescent="0.25">
      <c r="A113" s="5">
        <v>42490</v>
      </c>
      <c r="B113">
        <v>1.2402439665955298</v>
      </c>
      <c r="C113">
        <v>-1.5483984884601121E-5</v>
      </c>
      <c r="D113">
        <v>-5.1593188848890414E-2</v>
      </c>
      <c r="E113">
        <v>-7.9263022192651578E-3</v>
      </c>
    </row>
    <row r="114" spans="1:5" x14ac:dyDescent="0.25">
      <c r="A114" s="5">
        <v>42521</v>
      </c>
      <c r="B114">
        <v>1.2553629308151577</v>
      </c>
      <c r="C114">
        <v>0</v>
      </c>
      <c r="D114">
        <v>-4.973571092841389E-2</v>
      </c>
      <c r="E114">
        <v>-4.8579813393715421E-3</v>
      </c>
    </row>
    <row r="115" spans="1:5" x14ac:dyDescent="0.25">
      <c r="A115" s="5">
        <v>42551</v>
      </c>
      <c r="B115">
        <v>1.2627833254724341</v>
      </c>
      <c r="C115">
        <v>0</v>
      </c>
      <c r="D115">
        <v>-5.501799126301421E-2</v>
      </c>
      <c r="E115">
        <v>0</v>
      </c>
    </row>
    <row r="116" spans="1:5" x14ac:dyDescent="0.25">
      <c r="A116" s="5">
        <v>42582</v>
      </c>
      <c r="B116">
        <v>1.285926002290088</v>
      </c>
      <c r="C116">
        <v>0</v>
      </c>
      <c r="D116">
        <v>-1.3857196665674532E-2</v>
      </c>
      <c r="E116">
        <v>0</v>
      </c>
    </row>
    <row r="117" spans="1:5" x14ac:dyDescent="0.25">
      <c r="A117" s="5">
        <v>42613</v>
      </c>
      <c r="B117">
        <v>1.2720984318709556</v>
      </c>
      <c r="C117">
        <v>-6.0490017635215221E-3</v>
      </c>
      <c r="D117">
        <v>-1.0083159810208797E-2</v>
      </c>
      <c r="E117">
        <v>0</v>
      </c>
    </row>
    <row r="118" spans="1:5" x14ac:dyDescent="0.25">
      <c r="A118" s="5">
        <v>42643</v>
      </c>
      <c r="B118">
        <v>1.2724037213863908</v>
      </c>
      <c r="C118">
        <v>-5.915449970887221E-3</v>
      </c>
      <c r="D118">
        <v>-3.605108917677069E-3</v>
      </c>
      <c r="E118">
        <v>0</v>
      </c>
    </row>
    <row r="119" spans="1:5" x14ac:dyDescent="0.25">
      <c r="A119" s="5">
        <v>42674</v>
      </c>
      <c r="B119">
        <v>1.2730172836646969</v>
      </c>
      <c r="C119">
        <v>-5.6470413357470051E-3</v>
      </c>
      <c r="D119">
        <v>-2.0255743476948807E-2</v>
      </c>
      <c r="E119">
        <v>-1.3203475174671242E-2</v>
      </c>
    </row>
    <row r="120" spans="1:5" x14ac:dyDescent="0.25">
      <c r="A120" s="5">
        <v>42704</v>
      </c>
      <c r="B120">
        <v>1.2693472788009612</v>
      </c>
      <c r="C120">
        <v>-7.2525197545842968E-3</v>
      </c>
      <c r="D120">
        <v>-1.22800982757999E-2</v>
      </c>
      <c r="E120">
        <v>-1.733592694499142E-2</v>
      </c>
    </row>
    <row r="121" spans="1:5" x14ac:dyDescent="0.25">
      <c r="A121" s="5">
        <v>42735</v>
      </c>
      <c r="B121">
        <v>1.3088476609247519</v>
      </c>
      <c r="C121">
        <v>0</v>
      </c>
      <c r="D121">
        <v>0</v>
      </c>
      <c r="E121">
        <v>-5.1711423376230581E-3</v>
      </c>
    </row>
    <row r="122" spans="1:5" x14ac:dyDescent="0.25">
      <c r="A122" s="5">
        <v>42766</v>
      </c>
      <c r="B122">
        <v>1.3181055299249151</v>
      </c>
      <c r="C122">
        <v>0</v>
      </c>
      <c r="D122">
        <v>0</v>
      </c>
      <c r="E122">
        <v>0</v>
      </c>
    </row>
    <row r="123" spans="1:5" x14ac:dyDescent="0.25">
      <c r="A123" s="5">
        <v>42794</v>
      </c>
      <c r="B123">
        <v>1.3223995681867398</v>
      </c>
      <c r="C123">
        <v>0</v>
      </c>
      <c r="D123">
        <v>0</v>
      </c>
      <c r="E123">
        <v>0</v>
      </c>
    </row>
    <row r="124" spans="1:5" x14ac:dyDescent="0.25">
      <c r="A124" s="5">
        <v>42825</v>
      </c>
      <c r="B124">
        <v>1.3391321301184105</v>
      </c>
      <c r="C124">
        <v>0</v>
      </c>
      <c r="D124">
        <v>0</v>
      </c>
      <c r="E124">
        <v>0</v>
      </c>
    </row>
    <row r="125" spans="1:5" x14ac:dyDescent="0.25">
      <c r="A125" s="5">
        <v>42855</v>
      </c>
      <c r="B125">
        <v>1.3699120465298371</v>
      </c>
      <c r="C125">
        <v>0</v>
      </c>
      <c r="D125">
        <v>0</v>
      </c>
      <c r="E125">
        <v>0</v>
      </c>
    </row>
    <row r="126" spans="1:5" x14ac:dyDescent="0.25">
      <c r="A126" s="5">
        <v>42886</v>
      </c>
      <c r="B126">
        <v>1.3766221651240027</v>
      </c>
      <c r="C126">
        <v>0</v>
      </c>
      <c r="D126">
        <v>0</v>
      </c>
      <c r="E126">
        <v>0</v>
      </c>
    </row>
    <row r="127" spans="1:5" x14ac:dyDescent="0.25">
      <c r="A127" s="5">
        <v>42916</v>
      </c>
      <c r="B127">
        <v>1.4013097941132728</v>
      </c>
      <c r="C127">
        <v>0</v>
      </c>
      <c r="D127">
        <v>0</v>
      </c>
      <c r="E127">
        <v>0</v>
      </c>
    </row>
    <row r="128" spans="1:5" x14ac:dyDescent="0.25">
      <c r="A128" s="5">
        <v>42947</v>
      </c>
      <c r="B128">
        <v>1.424258204539631</v>
      </c>
      <c r="C128">
        <v>0</v>
      </c>
      <c r="D128">
        <v>0</v>
      </c>
      <c r="E128">
        <v>0</v>
      </c>
    </row>
    <row r="129" spans="1:5" x14ac:dyDescent="0.25">
      <c r="A129" s="5">
        <v>42978</v>
      </c>
      <c r="B129">
        <v>1.4439318211472298</v>
      </c>
      <c r="C129">
        <v>0</v>
      </c>
      <c r="D129">
        <v>0</v>
      </c>
      <c r="E129">
        <v>0</v>
      </c>
    </row>
    <row r="130" spans="1:5" x14ac:dyDescent="0.25">
      <c r="A130" s="5">
        <v>43008</v>
      </c>
      <c r="B130">
        <v>1.4546693189708582</v>
      </c>
      <c r="C130">
        <v>0</v>
      </c>
      <c r="D130">
        <v>0</v>
      </c>
      <c r="E130">
        <v>0</v>
      </c>
    </row>
    <row r="131" spans="1:5" x14ac:dyDescent="0.25">
      <c r="A131" s="5">
        <v>43039</v>
      </c>
      <c r="B131">
        <v>1.4715268231353189</v>
      </c>
      <c r="C131">
        <v>0</v>
      </c>
      <c r="D131">
        <v>0</v>
      </c>
      <c r="E131">
        <v>0</v>
      </c>
    </row>
    <row r="132" spans="1:5" x14ac:dyDescent="0.25">
      <c r="A132" s="5">
        <v>43069</v>
      </c>
      <c r="B132">
        <v>1.4639415467844685</v>
      </c>
      <c r="C132">
        <v>-3.0690649520153102E-3</v>
      </c>
      <c r="D132">
        <v>0</v>
      </c>
      <c r="E132">
        <v>0</v>
      </c>
    </row>
    <row r="133" spans="1:5" x14ac:dyDescent="0.25">
      <c r="A133" s="5">
        <v>43100</v>
      </c>
      <c r="B133">
        <v>1.4883679162816552</v>
      </c>
      <c r="C133">
        <v>0</v>
      </c>
      <c r="D133">
        <v>0</v>
      </c>
      <c r="E133">
        <v>0</v>
      </c>
    </row>
    <row r="134" spans="1:5" x14ac:dyDescent="0.25">
      <c r="A134" s="5">
        <v>43131</v>
      </c>
      <c r="B134">
        <v>1.5278341296924745</v>
      </c>
      <c r="C134">
        <v>0</v>
      </c>
      <c r="D134">
        <v>0</v>
      </c>
      <c r="E134">
        <v>0</v>
      </c>
    </row>
    <row r="135" spans="1:5" x14ac:dyDescent="0.25">
      <c r="A135" s="5">
        <v>43159</v>
      </c>
      <c r="B135">
        <v>1.515879417697787</v>
      </c>
      <c r="C135">
        <v>-4.7292311842240808E-3</v>
      </c>
      <c r="D135">
        <v>-4.1654523138895394E-2</v>
      </c>
      <c r="E135">
        <v>-2.1954597036999202E-2</v>
      </c>
    </row>
    <row r="136" spans="1:5" x14ac:dyDescent="0.25">
      <c r="A136" s="5">
        <v>43190</v>
      </c>
      <c r="B136">
        <v>1.522018370278857</v>
      </c>
      <c r="C136">
        <v>-2.3006886984016095E-3</v>
      </c>
      <c r="D136">
        <v>-6.1542026595341026E-2</v>
      </c>
      <c r="E136">
        <v>-2.8048279372468121E-2</v>
      </c>
    </row>
    <row r="137" spans="1:5" x14ac:dyDescent="0.25">
      <c r="A137" s="5">
        <v>43220</v>
      </c>
      <c r="B137">
        <v>1.5410907183998703</v>
      </c>
      <c r="C137">
        <v>0</v>
      </c>
      <c r="D137">
        <v>-5.2142359797277105E-2</v>
      </c>
      <c r="E137">
        <v>-2.4988916564002595E-2</v>
      </c>
    </row>
    <row r="138" spans="1:5" x14ac:dyDescent="0.25">
      <c r="A138" s="5">
        <v>43251</v>
      </c>
      <c r="B138">
        <v>1.5580729975447909</v>
      </c>
      <c r="C138">
        <v>0</v>
      </c>
      <c r="D138">
        <v>-5.0378323717854334E-2</v>
      </c>
      <c r="E138">
        <v>-2.2260290215227796E-2</v>
      </c>
    </row>
    <row r="139" spans="1:5" x14ac:dyDescent="0.25">
      <c r="A139" s="5">
        <v>43281</v>
      </c>
      <c r="B139">
        <v>1.565059379376351</v>
      </c>
      <c r="C139">
        <v>0</v>
      </c>
      <c r="D139">
        <v>-5.5137488884211661E-2</v>
      </c>
      <c r="E139">
        <v>-2.3799132336121298E-2</v>
      </c>
    </row>
    <row r="140" spans="1:5" x14ac:dyDescent="0.25">
      <c r="A140" s="5">
        <v>43312</v>
      </c>
      <c r="B140">
        <v>1.5787508770828698</v>
      </c>
      <c r="C140">
        <v>0</v>
      </c>
      <c r="D140">
        <v>-2.6334852248529939E-2</v>
      </c>
      <c r="E140">
        <v>-8.7864035928894024E-3</v>
      </c>
    </row>
    <row r="141" spans="1:5" x14ac:dyDescent="0.25">
      <c r="A141" s="5">
        <v>43343</v>
      </c>
      <c r="B141">
        <v>1.5637657474301299</v>
      </c>
      <c r="C141">
        <v>-5.8110032209436335E-3</v>
      </c>
      <c r="D141">
        <v>-1.8273196388368662E-2</v>
      </c>
      <c r="E141">
        <v>-3.1598029051356225E-3</v>
      </c>
    </row>
    <row r="142" spans="1:5" x14ac:dyDescent="0.25">
      <c r="A142" s="5">
        <v>43373</v>
      </c>
      <c r="B142">
        <v>1.5856443347845275</v>
      </c>
      <c r="C142">
        <v>0</v>
      </c>
      <c r="D142">
        <v>-1.3631267720630835E-2</v>
      </c>
      <c r="E142">
        <v>-2.7097361019948751E-3</v>
      </c>
    </row>
    <row r="143" spans="1:5" x14ac:dyDescent="0.25">
      <c r="A143" s="5">
        <v>43404</v>
      </c>
      <c r="B143">
        <v>1.5777597880032666</v>
      </c>
      <c r="C143">
        <v>-3.0493547295699086E-3</v>
      </c>
      <c r="D143">
        <v>-8.7342508735929858E-2</v>
      </c>
      <c r="E143">
        <v>-4.0947802387572674E-2</v>
      </c>
    </row>
    <row r="144" spans="1:5" x14ac:dyDescent="0.25">
      <c r="A144" s="5">
        <v>43434</v>
      </c>
      <c r="B144">
        <v>1.5750491481708648</v>
      </c>
      <c r="C144">
        <v>-4.0976968375450173E-3</v>
      </c>
      <c r="D144">
        <v>-7.3576770312292705E-2</v>
      </c>
      <c r="E144">
        <v>-3.1368880963852264E-2</v>
      </c>
    </row>
    <row r="145" spans="1:5" x14ac:dyDescent="0.25">
      <c r="A145" s="5">
        <v>43465</v>
      </c>
      <c r="B145">
        <v>1.5748747235600451</v>
      </c>
      <c r="C145">
        <v>-4.1651556943077539E-3</v>
      </c>
      <c r="D145">
        <v>-0.13843182571367341</v>
      </c>
      <c r="E145">
        <v>-5.8278075888445691E-2</v>
      </c>
    </row>
    <row r="146" spans="1:5" x14ac:dyDescent="0.25">
      <c r="A146" s="5">
        <v>43496</v>
      </c>
      <c r="B146">
        <v>1.6317729158530918</v>
      </c>
      <c r="C146">
        <v>0</v>
      </c>
      <c r="D146">
        <v>-7.0135198491379835E-2</v>
      </c>
      <c r="E146">
        <v>-1.5965598503171363E-2</v>
      </c>
    </row>
    <row r="147" spans="1:5" x14ac:dyDescent="0.25">
      <c r="A147" s="5">
        <v>43524</v>
      </c>
      <c r="B147">
        <v>1.6495617798631543</v>
      </c>
      <c r="C147">
        <v>0</v>
      </c>
      <c r="D147">
        <v>-4.4859206978512423E-2</v>
      </c>
      <c r="E147">
        <v>-2.0000841718431639E-3</v>
      </c>
    </row>
    <row r="148" spans="1:5" x14ac:dyDescent="0.25">
      <c r="A148" s="5">
        <v>43555</v>
      </c>
      <c r="B148">
        <v>1.6555245767345874</v>
      </c>
      <c r="C148">
        <v>0</v>
      </c>
      <c r="D148">
        <v>-3.2212703891888461E-2</v>
      </c>
      <c r="E148">
        <v>0</v>
      </c>
    </row>
    <row r="149" spans="1:5" x14ac:dyDescent="0.25">
      <c r="A149" s="5">
        <v>43585</v>
      </c>
      <c r="B149">
        <v>1.6503548570653068</v>
      </c>
      <c r="C149">
        <v>-1.9467790712890398E-3</v>
      </c>
      <c r="D149">
        <v>0</v>
      </c>
      <c r="E149">
        <v>0</v>
      </c>
    </row>
    <row r="150" spans="1:5" x14ac:dyDescent="0.25">
      <c r="A150" s="5">
        <v>43616</v>
      </c>
      <c r="B150">
        <v>1.6409228127119277</v>
      </c>
      <c r="C150">
        <v>-5.498636371354948E-3</v>
      </c>
      <c r="D150">
        <v>-5.8606755374715047E-2</v>
      </c>
      <c r="E150">
        <v>-2.210877842751835E-2</v>
      </c>
    </row>
    <row r="151" spans="1:5" x14ac:dyDescent="0.25">
      <c r="A151" s="5">
        <v>43646</v>
      </c>
      <c r="B151">
        <v>1.6632502811393639</v>
      </c>
      <c r="C151">
        <v>0</v>
      </c>
      <c r="D151">
        <v>0</v>
      </c>
      <c r="E151">
        <v>0</v>
      </c>
    </row>
    <row r="152" spans="1:5" x14ac:dyDescent="0.25">
      <c r="A152" s="5">
        <v>43677</v>
      </c>
      <c r="B152">
        <v>1.6770135254598619</v>
      </c>
      <c r="C152">
        <v>0</v>
      </c>
      <c r="D152">
        <v>0</v>
      </c>
      <c r="E152">
        <v>0</v>
      </c>
    </row>
    <row r="153" spans="1:5" x14ac:dyDescent="0.25">
      <c r="A153" s="5">
        <v>43708</v>
      </c>
      <c r="B153">
        <v>1.7177319921086203</v>
      </c>
      <c r="C153">
        <v>0</v>
      </c>
      <c r="D153">
        <v>-2.3268577414550462E-2</v>
      </c>
      <c r="E153">
        <v>-2.9509853680764753E-4</v>
      </c>
    </row>
    <row r="154" spans="1:5" x14ac:dyDescent="0.25">
      <c r="A154" s="5">
        <v>43738</v>
      </c>
      <c r="B154">
        <v>1.6867110024385981</v>
      </c>
      <c r="C154">
        <v>-1.1414293153297228E-2</v>
      </c>
      <c r="D154">
        <v>-2.2946666104558533E-3</v>
      </c>
      <c r="E154">
        <v>0</v>
      </c>
    </row>
    <row r="155" spans="1:5" x14ac:dyDescent="0.25">
      <c r="A155" s="5">
        <v>43769</v>
      </c>
      <c r="B155">
        <v>1.6984565539066003</v>
      </c>
      <c r="C155">
        <v>-7.0924720531638785E-3</v>
      </c>
      <c r="D155">
        <v>0</v>
      </c>
      <c r="E155">
        <v>0</v>
      </c>
    </row>
    <row r="156" spans="1:5" x14ac:dyDescent="0.25">
      <c r="A156" s="5">
        <v>43799</v>
      </c>
      <c r="B156">
        <v>1.6908542034149017</v>
      </c>
      <c r="C156">
        <v>-9.8897863261582231E-3</v>
      </c>
      <c r="D156">
        <v>0</v>
      </c>
      <c r="E156">
        <v>0</v>
      </c>
    </row>
    <row r="157" spans="1:5" x14ac:dyDescent="0.25">
      <c r="A157" s="5">
        <v>43830</v>
      </c>
      <c r="B157">
        <v>1.714714593961737</v>
      </c>
      <c r="C157">
        <v>-1.1102633209031376E-3</v>
      </c>
      <c r="D157">
        <v>0</v>
      </c>
      <c r="E157">
        <v>0</v>
      </c>
    </row>
    <row r="158" spans="1:5" x14ac:dyDescent="0.25">
      <c r="A158" s="5">
        <v>43861</v>
      </c>
      <c r="B158">
        <v>1.7217100338332028</v>
      </c>
      <c r="C158">
        <v>0</v>
      </c>
      <c r="D158">
        <v>-1.0777789068534327E-2</v>
      </c>
      <c r="E158">
        <v>0</v>
      </c>
    </row>
    <row r="159" spans="1:5" x14ac:dyDescent="0.25">
      <c r="A159" s="5">
        <v>43890</v>
      </c>
      <c r="B159">
        <v>1.7332271237044186</v>
      </c>
      <c r="C159">
        <v>0</v>
      </c>
      <c r="D159">
        <v>-9.0393206991436714E-2</v>
      </c>
      <c r="E159">
        <v>-3.4121857669646927E-2</v>
      </c>
    </row>
    <row r="160" spans="1:5" x14ac:dyDescent="0.25">
      <c r="A160" s="5">
        <v>43921</v>
      </c>
      <c r="B160">
        <v>1.7499867993194371</v>
      </c>
      <c r="C160">
        <v>0</v>
      </c>
      <c r="D160">
        <v>-0.21276151856020153</v>
      </c>
      <c r="E160">
        <v>-0.10660720929296086</v>
      </c>
    </row>
    <row r="161" spans="1:5" x14ac:dyDescent="0.25">
      <c r="A161" s="5">
        <v>43951</v>
      </c>
      <c r="B161">
        <v>1.8070578589748609</v>
      </c>
      <c r="C161">
        <v>0</v>
      </c>
      <c r="D161">
        <v>-0.12789008881114106</v>
      </c>
      <c r="E161">
        <v>-5.1217818647973035E-2</v>
      </c>
    </row>
    <row r="162" spans="1:5" x14ac:dyDescent="0.25">
      <c r="A162" s="5">
        <v>43982</v>
      </c>
      <c r="B162">
        <v>1.8466392027410223</v>
      </c>
      <c r="C162">
        <v>0</v>
      </c>
      <c r="D162">
        <v>-8.9467129007554491E-2</v>
      </c>
      <c r="E162">
        <v>-2.8972828663160199E-2</v>
      </c>
    </row>
    <row r="163" spans="1:5" x14ac:dyDescent="0.25">
      <c r="A163" s="5">
        <v>44012</v>
      </c>
      <c r="B163">
        <v>1.8602533872138816</v>
      </c>
      <c r="C163">
        <v>0</v>
      </c>
      <c r="D163">
        <v>-6.000873231979853E-2</v>
      </c>
      <c r="E163">
        <v>-1.0842004264003835E-2</v>
      </c>
    </row>
    <row r="164" spans="1:5" x14ac:dyDescent="0.25">
      <c r="A164" s="5">
        <v>44043</v>
      </c>
      <c r="B164">
        <v>1.9014864671315292</v>
      </c>
      <c r="C164">
        <v>0</v>
      </c>
      <c r="D164">
        <v>-9.9231562374146876E-3</v>
      </c>
      <c r="E164">
        <v>0</v>
      </c>
    </row>
    <row r="165" spans="1:5" x14ac:dyDescent="0.25">
      <c r="A165" s="5">
        <v>44074</v>
      </c>
      <c r="B165">
        <v>1.9177572253837272</v>
      </c>
      <c r="C165">
        <v>0</v>
      </c>
      <c r="D165">
        <v>0</v>
      </c>
      <c r="E165">
        <v>0</v>
      </c>
    </row>
    <row r="166" spans="1:5" x14ac:dyDescent="0.25">
      <c r="A166" s="5">
        <v>44104</v>
      </c>
      <c r="B166">
        <v>1.9065139613676969</v>
      </c>
      <c r="C166">
        <v>-3.8533925709159922E-3</v>
      </c>
      <c r="D166">
        <v>-3.2027031436620446E-2</v>
      </c>
      <c r="E166">
        <v>-1.4186974121603524E-2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590B-ACEA-493C-B7D2-508257C0C753}">
  <dimension ref="A1:F26"/>
  <sheetViews>
    <sheetView workbookViewId="0"/>
  </sheetViews>
  <sheetFormatPr defaultRowHeight="15" x14ac:dyDescent="0.25"/>
  <cols>
    <col min="1" max="1" width="21.5703125" style="42" customWidth="1"/>
    <col min="2" max="2" width="10.42578125" style="42" customWidth="1"/>
    <col min="3" max="4" width="10.42578125" customWidth="1"/>
    <col min="5" max="5" width="15.85546875" customWidth="1"/>
    <col min="6" max="6" width="10.42578125" customWidth="1"/>
  </cols>
  <sheetData>
    <row r="1" spans="1:6" s="6" customFormat="1" x14ac:dyDescent="0.25">
      <c r="A1" s="62" t="s">
        <v>214</v>
      </c>
      <c r="B1" s="62" t="s">
        <v>251</v>
      </c>
      <c r="C1" s="46" t="s">
        <v>252</v>
      </c>
      <c r="D1" s="6" t="s">
        <v>253</v>
      </c>
      <c r="E1" s="6" t="s">
        <v>254</v>
      </c>
      <c r="F1" s="6" t="s">
        <v>255</v>
      </c>
    </row>
    <row r="2" spans="1:6" x14ac:dyDescent="0.25">
      <c r="A2" s="42">
        <v>10890</v>
      </c>
      <c r="B2" s="42">
        <v>10920</v>
      </c>
      <c r="C2" s="43" t="str">
        <f>IF(OR(D2&lt;&gt;"",E2&lt;&gt;"",F2&lt;&gt;""),"The Great Crash of Wall Street","")</f>
        <v/>
      </c>
      <c r="D2" t="str" cm="1">
        <f t="array" ref="D2">_xll.ASPortfolioStatistic('PBA Summary'!$C$2,"Return","OR",,,,"M",EOMONTH($A2,0),EOMONTH($B2,0))</f>
        <v/>
      </c>
      <c r="E2" s="10" t="str" cm="1">
        <f t="array" ref="E2">_xll.ASAssetStatistic('PBA Summary'!$D$2,"Return",,,,"m",EOMONTH($A2,0),EOMONTH($B2,0))</f>
        <v/>
      </c>
      <c r="F2" s="40" t="str" cm="1">
        <f t="array" ref="F2">_xll.ASAssetStatistic('PBA Summary'!$D$3,"Return",,,,"m",EOMONTH($A2,0),EOMONTH($B2,0))</f>
        <v/>
      </c>
    </row>
    <row r="3" spans="1:6" x14ac:dyDescent="0.25">
      <c r="A3" s="42">
        <v>26665</v>
      </c>
      <c r="B3" s="42">
        <v>27729</v>
      </c>
      <c r="C3" t="str">
        <f>IF(OR(D3&lt;&gt;"",E3&lt;&gt;"",F3&lt;&gt;""),"The Secondary Banking Crisis","")</f>
        <v>The Secondary Banking Crisis</v>
      </c>
      <c r="D3" t="str" cm="1">
        <f t="array" ref="D3">_xll.ASPortfolioStatistic('PBA Summary'!$C$2,"Return","OR",,,,"M",EOMONTH($A3,0),EOMONTH($B3,0))</f>
        <v/>
      </c>
      <c r="E3" s="10" cm="1">
        <f t="array" ref="E3">_xll.ASAssetStatistic('PBA Summary'!$D$2,"Return",,,,"m",EOMONTH($A3,0),EOMONTH($B3,0))</f>
        <v>-0.23600169419737371</v>
      </c>
      <c r="F3" s="40" cm="1">
        <f t="array" ref="F3">_xll.ASAssetStatistic('PBA Summary'!$D$3,"Return",,,,"m",EOMONTH($A3,0),EOMONTH($B3,0))</f>
        <v>-0.23600169419737371</v>
      </c>
    </row>
    <row r="4" spans="1:6" x14ac:dyDescent="0.25">
      <c r="A4" s="42">
        <v>26665</v>
      </c>
      <c r="B4" s="42">
        <v>27394</v>
      </c>
      <c r="C4" t="str">
        <f>IF(OR(D4&lt;&gt;"",E4&lt;&gt;"",F4&lt;&gt;""),"Post Bretton Woods Stock Market Crash","")</f>
        <v>Post Bretton Woods Stock Market Crash</v>
      </c>
      <c r="D4" t="str" cm="1">
        <f t="array" ref="D4">_xll.ASPortfolioStatistic('PBA Summary'!$C$2,"Return","OR",,,,"M",EOMONTH($A4,0),EOMONTH($B4,0))</f>
        <v/>
      </c>
      <c r="E4" s="10" cm="1">
        <f t="array" ref="E4">_xll.ASAssetStatistic('PBA Summary'!$D$2,"Return",,,,"m",EOMONTH($A4,0),EOMONTH($B4,0))</f>
        <v>-0.41922914019483193</v>
      </c>
      <c r="F4" s="40" cm="1">
        <f t="array" ref="F4">_xll.ASAssetStatistic('PBA Summary'!$D$3,"Return",,,,"m",EOMONTH($A4,0),EOMONTH($B4,0))</f>
        <v>-0.41922914019483193</v>
      </c>
    </row>
    <row r="5" spans="1:6" x14ac:dyDescent="0.25">
      <c r="A5" s="42">
        <v>31413</v>
      </c>
      <c r="B5" s="42">
        <v>33208</v>
      </c>
      <c r="C5" t="str">
        <f>IF(OR(D5&lt;&gt;"",E5&lt;&gt;"",F5&lt;&gt;""),"The Japanese Asset Price Bubble","")</f>
        <v>The Japanese Asset Price Bubble</v>
      </c>
      <c r="D5" t="str" cm="1">
        <f t="array" ref="D5">_xll.ASPortfolioStatistic('PBA Summary'!$C$2,"Return","OR",,,,"M",EOMONTH($A5,0),EOMONTH($B5,0))</f>
        <v/>
      </c>
      <c r="E5" s="10" cm="1">
        <f t="array" ref="E5">_xll.ASAssetStatistic('PBA Summary'!$D$2,"Return",,,,"m",EOMONTH($A5,0),EOMONTH($B5,0))</f>
        <v>0.56294964028776451</v>
      </c>
      <c r="F5" s="40" cm="1">
        <f t="array" ref="F5">_xll.ASAssetStatistic('PBA Summary'!$D$3,"Return",,,,"m",EOMONTH($A5,0),EOMONTH($B5,0))</f>
        <v>0.56294964028776451</v>
      </c>
    </row>
    <row r="6" spans="1:6" x14ac:dyDescent="0.25">
      <c r="A6" s="42">
        <v>31977</v>
      </c>
      <c r="B6" s="42">
        <v>32161</v>
      </c>
      <c r="C6" t="str">
        <f>IF(OR(D6&lt;&gt;"",E6&lt;&gt;"",F6&lt;&gt;""),"Black Monday Crash","")</f>
        <v>Black Monday Crash</v>
      </c>
      <c r="D6" t="str" cm="1">
        <f t="array" ref="D6">_xll.ASPortfolioStatistic('PBA Summary'!$C$2,"Return","OR",,,,"M",EOMONTH($A6,0),EOMONTH($B6,0))</f>
        <v/>
      </c>
      <c r="E6" s="10" cm="1">
        <f t="array" ref="E6">_xll.ASAssetStatistic('PBA Summary'!$D$2,"Return",,,,"m",EOMONTH($A6,0),EOMONTH($B6,0))</f>
        <v>-0.15437500000000026</v>
      </c>
      <c r="F6" s="40" cm="1">
        <f t="array" ref="F6">_xll.ASAssetStatistic('PBA Summary'!$D$3,"Return",,,,"m",EOMONTH($A6,0),EOMONTH($B6,0))</f>
        <v>-0.15437500000000026</v>
      </c>
    </row>
    <row r="7" spans="1:6" x14ac:dyDescent="0.25">
      <c r="A7" s="42">
        <v>33055</v>
      </c>
      <c r="B7" s="42">
        <v>33117</v>
      </c>
      <c r="C7" t="str">
        <f>IF(OR(D7&lt;&gt;"",E7&lt;&gt;"",F7&lt;&gt;""),"First Gulf War","")</f>
        <v>First Gulf War</v>
      </c>
      <c r="D7" t="str" cm="1">
        <f t="array" ref="D7">_xll.ASPortfolioStatistic('PBA Summary'!$C$2,"Return","OR",,,,"M",EOMONTH($A7,0),EOMONTH($B7,0))</f>
        <v/>
      </c>
      <c r="E7" s="10" cm="1">
        <f t="array" ref="E7">_xll.ASAssetStatistic('PBA Summary'!$D$2,"Return",,,,"m",EOMONTH($A7,0),EOMONTH($B7,0))</f>
        <v>-0.14515948829674341</v>
      </c>
      <c r="F7" s="40" cm="1">
        <f t="array" ref="F7">_xll.ASAssetStatistic('PBA Summary'!$D$3,"Return",,,,"m",EOMONTH($A7,0),EOMONTH($B7,0))</f>
        <v>-0.14515948829674341</v>
      </c>
    </row>
    <row r="8" spans="1:6" x14ac:dyDescent="0.25">
      <c r="A8" s="42">
        <v>34366</v>
      </c>
      <c r="B8" s="42">
        <v>34455</v>
      </c>
      <c r="C8" t="str">
        <f>IF(OR(D8&lt;&gt;"",E8&lt;&gt;"",F8&lt;&gt;""),"Fed Hike","")</f>
        <v>Fed Hike</v>
      </c>
      <c r="D8" t="str" cm="1">
        <f t="array" ref="D8">_xll.ASPortfolioStatistic('PBA Summary'!$C$2,"Return","OR",,,,"M",EOMONTH($A8,0),EOMONTH($B8,0))</f>
        <v/>
      </c>
      <c r="E8" s="10" cm="1">
        <f t="array" ref="E8">_xll.ASAssetStatistic('PBA Summary'!$D$2,"Return",,,,"m",EOMONTH($A8,0),EOMONTH($B8,0))</f>
        <v>-5.2137621727124217E-2</v>
      </c>
      <c r="F8" s="40" cm="1">
        <f t="array" ref="F8">_xll.ASAssetStatistic('PBA Summary'!$D$3,"Return",,,,"m",EOMONTH($A8,0),EOMONTH($B8,0))</f>
        <v>-5.2137621727124217E-2</v>
      </c>
    </row>
    <row r="9" spans="1:6" x14ac:dyDescent="0.25">
      <c r="A9" s="42">
        <v>34608</v>
      </c>
      <c r="B9" s="42">
        <v>34700</v>
      </c>
      <c r="C9" t="str">
        <f>IF(OR(D9&lt;&gt;"",E9&lt;&gt;"",F9&lt;&gt;""),"Tequila Crisis","")</f>
        <v>Tequila Crisis</v>
      </c>
      <c r="D9" t="str" cm="1">
        <f t="array" ref="D9">_xll.ASPortfolioStatistic('PBA Summary'!$C$2,"Return","OR",,,,"M",EOMONTH($A9,0),EOMONTH($B9,0))</f>
        <v/>
      </c>
      <c r="E9" s="10" cm="1">
        <f t="array" ref="E9">_xll.ASAssetStatistic('PBA Summary'!$D$2,"Return",,,,"m",EOMONTH($A9,0),EOMONTH($B9,0))</f>
        <v>1.6706650240981835E-2</v>
      </c>
      <c r="F9" s="40" cm="1">
        <f t="array" ref="F9">_xll.ASAssetStatistic('PBA Summary'!$D$3,"Return",,,,"m",EOMONTH($A9,0),EOMONTH($B9,0))</f>
        <v>1.6706650240981835E-2</v>
      </c>
    </row>
    <row r="10" spans="1:6" x14ac:dyDescent="0.25">
      <c r="A10" s="42">
        <v>35612</v>
      </c>
      <c r="B10" s="42">
        <v>35704</v>
      </c>
      <c r="C10" t="str">
        <f>IF(OR(D10&lt;&gt;"",E10&lt;&gt;"",F10&lt;&gt;""),"Asian Crisis","")</f>
        <v>Asian Crisis</v>
      </c>
      <c r="D10" t="str" cm="1">
        <f t="array" ref="D10">_xll.ASPortfolioStatistic('PBA Summary'!$C$2,"Return","OR",,,,"M",EOMONTH($A10,0),EOMONTH($B10,0))</f>
        <v/>
      </c>
      <c r="E10" s="10" cm="1">
        <f t="array" ref="E10">_xll.ASAssetStatistic('PBA Summary'!$D$2,"Return",,,,"m",EOMONTH($A10,0),EOMONTH($B10,0))</f>
        <v>3.3305465802019762E-2</v>
      </c>
      <c r="F10" s="40" cm="1">
        <f t="array" ref="F10">_xll.ASAssetStatistic('PBA Summary'!$D$3,"Return",,,,"m",EOMONTH($A10,0),EOMONTH($B10,0))</f>
        <v>3.3305465802019762E-2</v>
      </c>
    </row>
    <row r="11" spans="1:6" x14ac:dyDescent="0.25">
      <c r="A11" s="42">
        <v>35977</v>
      </c>
      <c r="B11" s="42">
        <v>36039</v>
      </c>
      <c r="C11" t="str">
        <f>IF(OR(D11&lt;&gt;"",E11&lt;&gt;"",F11&lt;&gt;""),"Russian Crisis","")</f>
        <v>Russian Crisis</v>
      </c>
      <c r="D11" t="str" cm="1">
        <f t="array" ref="D11">_xll.ASPortfolioStatistic('PBA Summary'!$C$2,"Return","OR",,,,"M",EOMONTH($A11,0),EOMONTH($B11,0))</f>
        <v/>
      </c>
      <c r="E11" s="10" cm="1">
        <f t="array" ref="E11">_xll.ASAssetStatistic('PBA Summary'!$D$2,"Return",,,,"m",EOMONTH($A11,0),EOMONTH($B11,0))</f>
        <v>-0.10303922952092015</v>
      </c>
      <c r="F11" s="40" cm="1">
        <f t="array" ref="F11">_xll.ASAssetStatistic('PBA Summary'!$D$3,"Return",,,,"m",EOMONTH($A11,0),EOMONTH($B11,0))</f>
        <v>-0.10303922952092015</v>
      </c>
    </row>
    <row r="12" spans="1:6" x14ac:dyDescent="0.25">
      <c r="A12" s="42">
        <v>36372</v>
      </c>
      <c r="B12" s="42">
        <v>36557</v>
      </c>
      <c r="C12" t="str">
        <f>IF(OR(D12&lt;&gt;"",E12&lt;&gt;"",F12&lt;&gt;""),"The Fall of LTCM","")</f>
        <v>The Fall of LTCM</v>
      </c>
      <c r="D12" t="str" cm="1">
        <f t="array" ref="D12">_xll.ASPortfolioStatistic('PBA Summary'!$C$2,"Return","OR",,,,"M",EOMONTH($A12,0),EOMONTH($B12,0))</f>
        <v/>
      </c>
      <c r="E12" s="10" cm="1">
        <f t="array" ref="E12">_xll.ASAssetStatistic('PBA Summary'!$D$2,"Return",,,,"m",EOMONTH($A12,0),EOMONTH($B12,0))</f>
        <v>-4.5821768618288239E-3</v>
      </c>
      <c r="F12" s="40" cm="1">
        <f t="array" ref="F12">_xll.ASAssetStatistic('PBA Summary'!$D$3,"Return",,,,"m",EOMONTH($A12,0),EOMONTH($B12,0))</f>
        <v>-4.5821768618288239E-3</v>
      </c>
    </row>
    <row r="13" spans="1:6" x14ac:dyDescent="0.25">
      <c r="A13" s="42">
        <v>36770</v>
      </c>
      <c r="B13" s="42">
        <v>36951</v>
      </c>
      <c r="C13" t="str">
        <f>IF(OR(D13&lt;&gt;"",E13&lt;&gt;"",F13&lt;&gt;""),"Technology Bubble","")</f>
        <v>Technology Bubble</v>
      </c>
      <c r="D13" t="str" cm="1">
        <f t="array" ref="D13">_xll.ASPortfolioStatistic('PBA Summary'!$C$2,"Return","OR",,,,"M",EOMONTH($A13,0),EOMONTH($B13,0))</f>
        <v/>
      </c>
      <c r="E13" s="10" cm="1">
        <f t="array" ref="E13">_xll.ASAssetStatistic('PBA Summary'!$D$2,"Return",,,,"m",EOMONTH($A13,0),EOMONTH($B13,0))</f>
        <v>-0.23545806757682675</v>
      </c>
      <c r="F13" s="40" cm="1">
        <f t="array" ref="F13">_xll.ASAssetStatistic('PBA Summary'!$D$3,"Return",,,,"m",EOMONTH($A13,0),EOMONTH($B13,0))</f>
        <v>-0.23545806757682675</v>
      </c>
    </row>
    <row r="14" spans="1:6" x14ac:dyDescent="0.25">
      <c r="A14" s="42">
        <v>37145</v>
      </c>
      <c r="B14" s="42">
        <v>37151</v>
      </c>
      <c r="C14" t="str">
        <f>IF(OR(D14&lt;&gt;"",E14&lt;&gt;"",F14&lt;&gt;""),"World Trade Center Attack","")</f>
        <v>World Trade Center Attack</v>
      </c>
      <c r="D14" t="str" cm="1">
        <f t="array" ref="D14">_xll.ASPortfolioStatistic('PBA Summary'!$C$2,"Return","OR",,,,"M",EOMONTH($A14,0),EOMONTH($B14,0))</f>
        <v/>
      </c>
      <c r="E14" s="10" cm="1">
        <f t="array" ref="E14">_xll.ASAssetStatistic('PBA Summary'!$D$2,"Return",,,,"m",EOMONTH($A14,0),EOMONTH($B14,0))</f>
        <v>-8.1723389615201092E-2</v>
      </c>
      <c r="F14" s="40" cm="1">
        <f t="array" ref="F14">_xll.ASAssetStatistic('PBA Summary'!$D$3,"Return",,,,"m",EOMONTH($A14,0),EOMONTH($B14,0))</f>
        <v>-8.1723389615201092E-2</v>
      </c>
    </row>
    <row r="15" spans="1:6" x14ac:dyDescent="0.25">
      <c r="A15" s="42">
        <v>37377</v>
      </c>
      <c r="B15" s="42">
        <v>37500</v>
      </c>
      <c r="C15" t="str">
        <f>IF(OR(D15&lt;&gt;"",E15&lt;&gt;"",F15&lt;&gt;""),"Recession","")</f>
        <v>Recession</v>
      </c>
      <c r="D15" t="str" cm="1">
        <f t="array" ref="D15">_xll.ASPortfolioStatistic('PBA Summary'!$C$2,"Return","OR",,,,"M",EOMONTH($A15,0),EOMONTH($B15,0))</f>
        <v/>
      </c>
      <c r="E15" s="10" cm="1">
        <f t="array" ref="E15">_xll.ASAssetStatistic('PBA Summary'!$D$2,"Return",,,,"m",EOMONTH($A15,0),EOMONTH($B15,0))</f>
        <v>-0.24295212272035127</v>
      </c>
      <c r="F15" s="40" cm="1">
        <f t="array" ref="F15">_xll.ASAssetStatistic('PBA Summary'!$D$3,"Return",,,,"m",EOMONTH($A15,0),EOMONTH($B15,0))</f>
        <v>-0.24295212272035127</v>
      </c>
    </row>
    <row r="16" spans="1:6" x14ac:dyDescent="0.25">
      <c r="A16" s="42">
        <v>37591</v>
      </c>
      <c r="B16" s="42">
        <v>37681</v>
      </c>
      <c r="C16" t="str">
        <f>IF(OR(D16&lt;&gt;"",E16&lt;&gt;"",F16&lt;&gt;""),"Second Gulf War","")</f>
        <v>Second Gulf War</v>
      </c>
      <c r="D16" t="str" cm="1">
        <f t="array" ref="D16">_xll.ASPortfolioStatistic('PBA Summary'!$C$2,"Return","OR",,,,"M",EOMONTH($A16,0),EOMONTH($B16,0))</f>
        <v/>
      </c>
      <c r="E16" s="10" cm="1">
        <f t="array" ref="E16">_xll.ASAssetStatistic('PBA Summary'!$D$2,"Return",,,,"m",EOMONTH($A16,0),EOMONTH($B16,0))</f>
        <v>-9.4124809091006068E-2</v>
      </c>
      <c r="F16" s="40" cm="1">
        <f t="array" ref="F16">_xll.ASAssetStatistic('PBA Summary'!$D$3,"Return",,,,"m",EOMONTH($A16,0),EOMONTH($B16,0))</f>
        <v>-9.4124809091006068E-2</v>
      </c>
    </row>
    <row r="17" spans="1:6" x14ac:dyDescent="0.25">
      <c r="A17" s="42">
        <v>38443</v>
      </c>
      <c r="B17" s="42">
        <v>38473</v>
      </c>
      <c r="C17" t="str">
        <f>IF(OR(D17&lt;&gt;"",E17&lt;&gt;"",F17&lt;&gt;""),"GM Credit Crunch","")</f>
        <v>GM Credit Crunch</v>
      </c>
      <c r="D17" t="str" cm="1">
        <f t="array" ref="D17">_xll.ASPortfolioStatistic('PBA Summary'!$C$2,"Return","OR",,,,"M",EOMONTH($A17,0),EOMONTH($B17,0))</f>
        <v/>
      </c>
      <c r="E17" s="10" cm="1">
        <f t="array" ref="E17">_xll.ASAssetStatistic('PBA Summary'!$D$2,"Return",,,,"m",EOMONTH($A17,0),EOMONTH($B17,0))</f>
        <v>9.2411421407943006E-3</v>
      </c>
      <c r="F17" s="40" cm="1">
        <f t="array" ref="F17">_xll.ASAssetStatistic('PBA Summary'!$D$3,"Return",,,,"m",EOMONTH($A17,0),EOMONTH($B17,0))</f>
        <v>9.2411421407943006E-3</v>
      </c>
    </row>
    <row r="18" spans="1:6" x14ac:dyDescent="0.25">
      <c r="A18" s="42">
        <v>39295</v>
      </c>
      <c r="B18" s="42">
        <v>39386</v>
      </c>
      <c r="C18" t="str">
        <f>IF(OR(D18&lt;&gt;"",E18&lt;&gt;"",F18&lt;&gt;""),"Subprime Crisis","")</f>
        <v>Subprime Crisis</v>
      </c>
      <c r="D18" t="str" cm="1">
        <f t="array" ref="D18">_xll.ASPortfolioStatistic('PBA Summary'!$C$2,"Return","OR",,,,"M",EOMONTH($A18,0),EOMONTH($B18,0))</f>
        <v/>
      </c>
      <c r="E18" s="10" cm="1">
        <f t="array" ref="E18">_xll.ASAssetStatistic('PBA Summary'!$D$2,"Return",,,,"m",EOMONTH($A18,0),EOMONTH($B18,0))</f>
        <v>6.4661096146445995E-2</v>
      </c>
      <c r="F18" s="40" cm="1">
        <f t="array" ref="F18">_xll.ASAssetStatistic('PBA Summary'!$D$3,"Return",,,,"m",EOMONTH($A18,0),EOMONTH($B18,0))</f>
        <v>6.4661096146445995E-2</v>
      </c>
    </row>
    <row r="19" spans="1:6" x14ac:dyDescent="0.25">
      <c r="A19" s="42">
        <v>39387</v>
      </c>
      <c r="B19" s="42">
        <v>39447</v>
      </c>
      <c r="C19" t="str">
        <f>IF(OR(D19&lt;&gt;"",E19&lt;&gt;"",F19&lt;&gt;""),"Subprime Crisis II","")</f>
        <v>Subprime Crisis II</v>
      </c>
      <c r="D19" t="str" cm="1">
        <f t="array" ref="D19">_xll.ASPortfolioStatistic('PBA Summary'!$C$2,"Return","OR",,,,"M",EOMONTH($A19,0),EOMONTH($B19,0))</f>
        <v/>
      </c>
      <c r="E19" s="10" cm="1">
        <f t="array" ref="E19">_xll.ASAssetStatistic('PBA Summary'!$D$2,"Return",,,,"m",EOMONTH($A19,0),EOMONTH($B19,0))</f>
        <v>-5.2291884495734187E-2</v>
      </c>
      <c r="F19" s="40" cm="1">
        <f t="array" ref="F19">_xll.ASAssetStatistic('PBA Summary'!$D$3,"Return",,,,"m",EOMONTH($A19,0),EOMONTH($B19,0))</f>
        <v>-5.2291884495734187E-2</v>
      </c>
    </row>
    <row r="20" spans="1:6" x14ac:dyDescent="0.25">
      <c r="A20" s="42">
        <v>39661</v>
      </c>
      <c r="B20" s="42">
        <v>39752</v>
      </c>
      <c r="C20" t="str">
        <f>IF(OR(D20&lt;&gt;"",E20&lt;&gt;"",F20&lt;&gt;""),"Credit Meltdown","")</f>
        <v>Credit Meltdown</v>
      </c>
      <c r="D20" t="str" cm="1">
        <f t="array" ref="D20">_xll.ASPortfolioStatistic('PBA Summary'!$C$2,"Return","OR",,,,"M",EOMONTH($A20,0),EOMONTH($B20,0))</f>
        <v/>
      </c>
      <c r="E20" s="10" cm="1">
        <f t="array" ref="E20">_xll.ASAssetStatistic('PBA Summary'!$D$2,"Return",,,,"m",EOMONTH($A20,0),EOMONTH($B20,0))</f>
        <v>-0.23562783064274317</v>
      </c>
      <c r="F20" s="40" cm="1">
        <f t="array" ref="F20">_xll.ASAssetStatistic('PBA Summary'!$D$3,"Return",,,,"m",EOMONTH($A20,0),EOMONTH($B20,0))</f>
        <v>-0.23562783064274317</v>
      </c>
    </row>
    <row r="21" spans="1:6" x14ac:dyDescent="0.25">
      <c r="A21" s="42">
        <v>40299</v>
      </c>
      <c r="B21" s="42">
        <v>40421</v>
      </c>
      <c r="C21" t="str">
        <f>IF(OR(D21&lt;&gt;"",E21&lt;&gt;"",F21&lt;&gt;""),"European Debt Crisis","")</f>
        <v>European Debt Crisis</v>
      </c>
      <c r="D21" t="str" cm="1">
        <f t="array" ref="D21">_xll.ASPortfolioStatistic('PBA Summary'!$C$2,"Return","OR",,,,"M",EOMONTH($A21,0),EOMONTH($B21,0))</f>
        <v/>
      </c>
      <c r="E21" s="10" cm="1">
        <f t="array" ref="E21">_xll.ASAssetStatistic('PBA Summary'!$D$2,"Return",,,,"m",EOMONTH($A21,0),EOMONTH($B21,0))</f>
        <v>-0.1090576387117993</v>
      </c>
      <c r="F21" s="40" cm="1">
        <f t="array" ref="F21">_xll.ASAssetStatistic('PBA Summary'!$D$3,"Return",,,,"m",EOMONTH($A21,0),EOMONTH($B21,0))</f>
        <v>-0.1090576387117993</v>
      </c>
    </row>
    <row r="22" spans="1:6" x14ac:dyDescent="0.25">
      <c r="A22" s="42">
        <v>40477</v>
      </c>
      <c r="B22" s="42">
        <v>40493</v>
      </c>
      <c r="C22" t="str">
        <f>IF(OR(D22&lt;&gt;"",E22&lt;&gt;"",F22&lt;&gt;""),"Peripheral European Bond Crisis","")</f>
        <v>Peripheral European Bond Crisis</v>
      </c>
      <c r="D22" t="str" cm="1">
        <f t="array" ref="D22">_xll.ASPortfolioStatistic('PBA Summary'!$C$2,"Return","OR",,,,"M",EOMONTH($A22,0),EOMONTH($B22,0))</f>
        <v/>
      </c>
      <c r="E22" s="10" cm="1">
        <f t="array" ref="E22">_xll.ASAssetStatistic('PBA Summary'!$D$2,"Return",,,,"m",EOMONTH($A22,0),EOMONTH($B22,0))</f>
        <v>3.8173207372956375E-2</v>
      </c>
      <c r="F22" s="40" cm="1">
        <f t="array" ref="F22">_xll.ASAssetStatistic('PBA Summary'!$D$3,"Return",,,,"m",EOMONTH($A22,0),EOMONTH($B22,0))</f>
        <v>3.8173207372956375E-2</v>
      </c>
    </row>
    <row r="23" spans="1:6" x14ac:dyDescent="0.25">
      <c r="A23" s="42">
        <v>40544</v>
      </c>
      <c r="B23" s="42">
        <v>40574</v>
      </c>
      <c r="C23" t="str">
        <f>IF(OR(D23&lt;&gt;"",E23&lt;&gt;"",F23&lt;&gt;""),"Egyptian Unrest","")</f>
        <v>Egyptian Unrest</v>
      </c>
      <c r="D23" t="str" cm="1">
        <f t="array" ref="D23">_xll.ASPortfolioStatistic('PBA Summary'!$C$2,"Return","OR",,,,"M",EOMONTH($A23,0),EOMONTH($B23,0))</f>
        <v/>
      </c>
      <c r="E23" s="10" cm="1">
        <f t="array" ref="E23">_xll.ASAssetStatistic('PBA Summary'!$D$2,"Return",,,,"m",EOMONTH($A23,0),EOMONTH($B23,0))</f>
        <v>2.3697310795865123E-2</v>
      </c>
      <c r="F23" s="40" cm="1">
        <f t="array" ref="F23">_xll.ASAssetStatistic('PBA Summary'!$D$3,"Return",,,,"m",EOMONTH($A23,0),EOMONTH($B23,0))</f>
        <v>2.3697310795865123E-2</v>
      </c>
    </row>
    <row r="24" spans="1:6" x14ac:dyDescent="0.25">
      <c r="A24" s="42">
        <v>40613</v>
      </c>
      <c r="B24" s="42">
        <v>40633</v>
      </c>
      <c r="C24" t="str">
        <f>IF(OR(D24&lt;&gt;"",E24&lt;&gt;"",F24&lt;&gt;""),"Japanese Earthquake","")</f>
        <v>Japanese Earthquake</v>
      </c>
      <c r="D24" t="str" cm="1">
        <f t="array" ref="D24">_xll.ASPortfolioStatistic('PBA Summary'!$C$2,"Return","OR",,,,"M",EOMONTH($A24,0),EOMONTH($B24,0))</f>
        <v/>
      </c>
      <c r="E24" s="10" cm="1">
        <f t="array" ref="E24">_xll.ASAssetStatistic('PBA Summary'!$D$2,"Return",,,,"m",EOMONTH($A24,0),EOMONTH($B24,0))</f>
        <v>4.0341316987979603E-4</v>
      </c>
      <c r="F24" s="40" cm="1">
        <f t="array" ref="F24">_xll.ASAssetStatistic('PBA Summary'!$D$3,"Return",,,,"m",EOMONTH($A24,0),EOMONTH($B24,0))</f>
        <v>4.0341316987979603E-4</v>
      </c>
    </row>
    <row r="25" spans="1:6" x14ac:dyDescent="0.25">
      <c r="A25" s="42">
        <v>41275</v>
      </c>
      <c r="B25" s="42">
        <v>41639</v>
      </c>
      <c r="C25" t="str">
        <f>IF(OR(D25&lt;&gt;"",E25&lt;&gt;"",F25&lt;&gt;""),"Equity Bull Market","")</f>
        <v>Equity Bull Market</v>
      </c>
      <c r="D25" t="str" cm="1">
        <f t="array" ref="D25">_xll.ASPortfolioStatistic('PBA Summary'!$C$2,"Return","OR",,,,"M",EOMONTH($A25,0),EOMONTH($B25,0))</f>
        <v/>
      </c>
      <c r="E25" s="10" cm="1">
        <f t="array" ref="E25">_xll.ASAssetStatistic('PBA Summary'!$D$2,"Return",,,,"m",EOMONTH($A25,0),EOMONTH($B25,0))</f>
        <v>0.32374176754793815</v>
      </c>
      <c r="F25" s="40" cm="1">
        <f t="array" ref="F25">_xll.ASAssetStatistic('PBA Summary'!$D$3,"Return",,,,"m",EOMONTH($A25,0),EOMONTH($B25,0))</f>
        <v>0.32374176754793815</v>
      </c>
    </row>
    <row r="26" spans="1:6" x14ac:dyDescent="0.25">
      <c r="A26" s="42">
        <v>42544</v>
      </c>
      <c r="B26" s="42">
        <v>42545</v>
      </c>
      <c r="C26" t="str">
        <f>IF(OR(D26&lt;&gt;"",E26&lt;&gt;"",F26&lt;&gt;""),"Brexit","")</f>
        <v>Brexit</v>
      </c>
      <c r="D26" t="str" cm="1">
        <f t="array" ref="D26">_xll.ASPortfolioStatistic('PBA Summary'!$C$2,"Return","OR",,,,"M",EOMONTH($A26,0),EOMONTH($B26,0))</f>
        <v/>
      </c>
      <c r="E26" s="10" cm="1">
        <f t="array" ref="E26">_xll.ASAssetStatistic('PBA Summary'!$D$2,"Return",,,,"m",EOMONTH($A26,0),EOMONTH($B26,0))</f>
        <v>2.5953403751755033E-3</v>
      </c>
      <c r="F26" s="40" cm="1">
        <f t="array" ref="F26">_xll.ASAssetStatistic('PBA Summary'!$D$3,"Return",,,,"m",EOMONTH($A26,0),EOMONTH($B26,0))</f>
        <v>2.5953403751755033E-3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3C1D25B8035947A117B20F091A65F7" ma:contentTypeVersion="11" ma:contentTypeDescription="Create a new document." ma:contentTypeScope="" ma:versionID="9cba8cc7d9eca23f3db4bbd303a48254">
  <xsd:schema xmlns:xsd="http://www.w3.org/2001/XMLSchema" xmlns:xs="http://www.w3.org/2001/XMLSchema" xmlns:p="http://schemas.microsoft.com/office/2006/metadata/properties" xmlns:ns2="ccb6fc39-5a1d-4ae2-89d3-eb8e0aa51423" xmlns:ns3="02358eda-7eac-48a5-beee-fcf3922a4b30" targetNamespace="http://schemas.microsoft.com/office/2006/metadata/properties" ma:root="true" ma:fieldsID="4469f7053c7e8bb684359bb7f64dbc2d" ns2:_="" ns3:_="">
    <xsd:import namespace="ccb6fc39-5a1d-4ae2-89d3-eb8e0aa51423"/>
    <xsd:import namespace="02358eda-7eac-48a5-beee-fcf3922a4b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fc39-5a1d-4ae2-89d3-eb8e0aa514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58eda-7eac-48a5-beee-fcf3922a4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64A3C1-1009-480D-8E28-ED189D924AD3}">
  <ds:schemaRefs>
    <ds:schemaRef ds:uri="http://schemas.microsoft.com/office/2006/metadata/properties"/>
    <ds:schemaRef ds:uri="02358eda-7eac-48a5-beee-fcf3922a4b30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ccb6fc39-5a1d-4ae2-89d3-eb8e0aa5142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1CD12A-4AB4-4554-913C-F744B76C8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502DD4-9E79-46CE-A8A8-93D2DFD13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6fc39-5a1d-4ae2-89d3-eb8e0aa51423"/>
    <ds:schemaRef ds:uri="02358eda-7eac-48a5-beee-fcf3922a4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PBA Summary</vt:lpstr>
      <vt:lpstr>Monthly Returns</vt:lpstr>
      <vt:lpstr>Returns_PB</vt:lpstr>
      <vt:lpstr>Returns_A</vt:lpstr>
      <vt:lpstr>Cumulative Returns_PB</vt:lpstr>
      <vt:lpstr>Cumulative Returns_A</vt:lpstr>
      <vt:lpstr>Statistics_PB</vt:lpstr>
      <vt:lpstr>Statistics_A</vt:lpstr>
      <vt:lpstr>Stress Test_Negative</vt:lpstr>
      <vt:lpstr>Stress Test_Positive</vt:lpstr>
      <vt:lpstr>Drawdown</vt:lpstr>
      <vt:lpstr>Crisis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Solstium</dc:creator>
  <cp:lastModifiedBy>Solstium</cp:lastModifiedBy>
  <dcterms:created xsi:type="dcterms:W3CDTF">2020-08-05T08:27:11Z</dcterms:created>
  <dcterms:modified xsi:type="dcterms:W3CDTF">2020-12-08T15:17:15Z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0x010100F63C1D25B8035947A117B20F091A65F7</vt:lpwstr>
  </property>
</Properties>
</file>